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backupFile="1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KOLTSEGV\2023\I-III. negyedéves tájékoztató\"/>
    </mc:Choice>
  </mc:AlternateContent>
  <bookViews>
    <workbookView xWindow="915" yWindow="450" windowWidth="11550" windowHeight="15840" tabRatio="924" activeTab="1"/>
  </bookViews>
  <sheets>
    <sheet name="1. mell.bevétel_össz" sheetId="240" r:id="rId1"/>
    <sheet name="1.mell.kiadás_össz" sheetId="241" r:id="rId2"/>
    <sheet name="2.mell.működés  " sheetId="242" r:id="rId3"/>
    <sheet name="3.mell.felhalm " sheetId="243" r:id="rId4"/>
    <sheet name="4. mell.Önkorm" sheetId="239" r:id="rId5"/>
    <sheet name="5.Int.össz" sheetId="238" r:id="rId6"/>
    <sheet name="6.Polg_Hivatal" sheetId="237" r:id="rId7"/>
    <sheet name="7.TIK" sheetId="236" r:id="rId8"/>
    <sheet name="8.Humán" sheetId="235" r:id="rId9"/>
    <sheet name="9.Óvoda" sheetId="234" r:id="rId10"/>
    <sheet name="10.TMKK" sheetId="233" r:id="rId11"/>
    <sheet name="11.Rendelő" sheetId="232" r:id="rId12"/>
    <sheet name="12.Városüzemeltetés" sheetId="36" r:id="rId13"/>
    <sheet name="13.támogatás" sheetId="37" r:id="rId14"/>
    <sheet name="14.Szoc. " sheetId="103" r:id="rId15"/>
    <sheet name="15.felh.felúj." sheetId="58" r:id="rId16"/>
    <sheet name="16.beruh." sheetId="394" state="hidden" r:id="rId17"/>
    <sheet name="17.felúj." sheetId="395" state="hidden" r:id="rId18"/>
    <sheet name="18.adósság" sheetId="407" state="hidden" r:id="rId19"/>
    <sheet name="19.sajátbev." sheetId="408" state="hidden" r:id="rId20"/>
    <sheet name="20. fejl.célok" sheetId="398" state="hidden" r:id="rId21"/>
    <sheet name="21.elism.tart" sheetId="399" state="hidden" r:id="rId22"/>
    <sheet name="18. vezetői pótlék" sheetId="404" state="hidden" r:id="rId23"/>
    <sheet name="19.int.pótlékok  " sheetId="405" state="hidden" r:id="rId24"/>
    <sheet name="24.címpótl. " sheetId="406" state="hidden" r:id="rId25"/>
    <sheet name="25.EU_projekt. " sheetId="403" state="hidden" r:id="rId26"/>
    <sheet name="26._köt_össz_bev" sheetId="364" state="hidden" r:id="rId27"/>
    <sheet name="26._köt_össz_kiad" sheetId="365" state="hidden" r:id="rId28"/>
    <sheet name="26._önként_össz_bev" sheetId="366" state="hidden" r:id="rId29"/>
    <sheet name="26._önként_össz_kiad" sheetId="367" state="hidden" r:id="rId30"/>
    <sheet name="26._államig_össz_bev" sheetId="368" state="hidden" r:id="rId31"/>
    <sheet name="26._államig_össz_kiad" sheetId="369" state="hidden" r:id="rId32"/>
    <sheet name="27._önkorm_köt" sheetId="370" state="hidden" r:id="rId33"/>
    <sheet name="27._önkorm_önként" sheetId="371" state="hidden" r:id="rId34"/>
    <sheet name="27._önkorm_államig" sheetId="372" state="hidden" r:id="rId35"/>
    <sheet name="28._Int össz_köt" sheetId="373" state="hidden" r:id="rId36"/>
    <sheet name="28._Int össz_önk" sheetId="374" state="hidden" r:id="rId37"/>
    <sheet name="28._Int.össz_államig" sheetId="375" state="hidden" r:id="rId38"/>
    <sheet name="29._Hivatal_köt" sheetId="376" state="hidden" r:id="rId39"/>
    <sheet name="29._Hivatal_önként" sheetId="377" state="hidden" r:id="rId40"/>
    <sheet name="29._Hivatal_államig" sheetId="378" state="hidden" r:id="rId41"/>
    <sheet name="30._TIK_köt" sheetId="379" state="hidden" r:id="rId42"/>
    <sheet name="30._TIK_önként" sheetId="380" state="hidden" r:id="rId43"/>
    <sheet name="30._TIK_államig" sheetId="381" state="hidden" r:id="rId44"/>
    <sheet name="31._Humán_köt" sheetId="382" state="hidden" r:id="rId45"/>
    <sheet name="31._Humán_önként" sheetId="383" state="hidden" r:id="rId46"/>
    <sheet name="31._Humán_államig" sheetId="384" state="hidden" r:id="rId47"/>
    <sheet name="32._Óvoda_köt" sheetId="385" state="hidden" r:id="rId48"/>
    <sheet name="32._Óvoda_önként" sheetId="386" state="hidden" r:id="rId49"/>
    <sheet name="32._Óvoda_államig" sheetId="387" state="hidden" r:id="rId50"/>
    <sheet name="33._TMKK_köt" sheetId="388" state="hidden" r:id="rId51"/>
    <sheet name="33._TMKK_önként" sheetId="389" state="hidden" r:id="rId52"/>
    <sheet name="33._TMKK_államig" sheetId="390" state="hidden" r:id="rId53"/>
    <sheet name="34._Rendelő_köt" sheetId="391" state="hidden" r:id="rId54"/>
    <sheet name="34._Rendelő_önként" sheetId="392" state="hidden" r:id="rId55"/>
    <sheet name="34._Rendelő_államig" sheetId="393" state="hidden" r:id="rId56"/>
    <sheet name="Munka4" sheetId="78" state="hidden" r:id="rId57"/>
    <sheet name="Munka3" sheetId="77" state="hidden" r:id="rId58"/>
    <sheet name="Munka1" sheetId="79" state="hidden" r:id="rId59"/>
    <sheet name="Munka5" sheetId="82" state="hidden" r:id="rId60"/>
    <sheet name="Munka2" sheetId="81" state="hidden" r:id="rId61"/>
  </sheets>
  <definedNames>
    <definedName name="_xlnm.Print_Titles" localSheetId="0">'1. mell.bevétel_össz'!$1:$8</definedName>
    <definedName name="_xlnm.Print_Titles" localSheetId="1">'1.mell.kiadás_össz'!$3:$5</definedName>
    <definedName name="_xlnm.Print_Titles" localSheetId="10">'10.TMKK'!$4:$8</definedName>
    <definedName name="_xlnm.Print_Titles" localSheetId="11">'11.Rendelő'!$4:$8</definedName>
    <definedName name="_xlnm.Print_Titles" localSheetId="13">'13.támogatás'!$1:$7</definedName>
    <definedName name="_xlnm.Print_Titles" localSheetId="15">'15.felh.felúj.'!$1:$6</definedName>
    <definedName name="_xlnm.Print_Titles" localSheetId="16">'16.beruh.'!$1:$7</definedName>
    <definedName name="_xlnm.Print_Titles" localSheetId="17">'17.felúj.'!$2:$7</definedName>
    <definedName name="_xlnm.Print_Titles" localSheetId="25">'25.EU_projekt. '!$1:$2</definedName>
    <definedName name="_xlnm.Print_Titles" localSheetId="30">'26._államig_össz_bev'!$1:$10</definedName>
    <definedName name="_xlnm.Print_Titles" localSheetId="31">'26._államig_össz_kiad'!$3:$6</definedName>
    <definedName name="_xlnm.Print_Titles" localSheetId="26">'26._köt_össz_bev'!$1:$10</definedName>
    <definedName name="_xlnm.Print_Titles" localSheetId="27">'26._köt_össz_kiad'!$3:$6</definedName>
    <definedName name="_xlnm.Print_Titles" localSheetId="28">'26._önként_össz_bev'!$1:$11</definedName>
    <definedName name="_xlnm.Print_Titles" localSheetId="29">'26._önként_össz_kiad'!$3:$6</definedName>
    <definedName name="_xlnm.Print_Titles" localSheetId="34">'27._önkorm_államig'!$1:$6</definedName>
    <definedName name="_xlnm.Print_Titles" localSheetId="32">'27._önkorm_köt'!$1:$5</definedName>
    <definedName name="_xlnm.Print_Titles" localSheetId="33">'27._önkorm_önként'!$1:$6</definedName>
    <definedName name="_xlnm.Print_Titles" localSheetId="35">'28._Int össz_köt'!$3:$9</definedName>
    <definedName name="_xlnm.Print_Titles" localSheetId="40">'29._Hivatal_államig'!$3:$8</definedName>
    <definedName name="_xlnm.Print_Titles" localSheetId="38">'29._Hivatal_köt'!$3:$8</definedName>
    <definedName name="_xlnm.Print_Titles" localSheetId="39">'29._Hivatal_önként'!$3:$8</definedName>
    <definedName name="_xlnm.Print_Titles" localSheetId="43">'30._TIK_államig'!$3:$8</definedName>
    <definedName name="_xlnm.Print_Titles" localSheetId="41">'30._TIK_köt'!$3:$8</definedName>
    <definedName name="_xlnm.Print_Titles" localSheetId="42">'30._TIK_önként'!$3:$8</definedName>
    <definedName name="_xlnm.Print_Titles" localSheetId="46">'31._Humán_államig'!$3:$8</definedName>
    <definedName name="_xlnm.Print_Titles" localSheetId="44">'31._Humán_köt'!$3:$8</definedName>
    <definedName name="_xlnm.Print_Titles" localSheetId="45">'31._Humán_önként'!$3:$8</definedName>
    <definedName name="_xlnm.Print_Titles" localSheetId="49">'32._Óvoda_államig'!$3:$8</definedName>
    <definedName name="_xlnm.Print_Titles" localSheetId="47">'32._Óvoda_köt'!$3:$8</definedName>
    <definedName name="_xlnm.Print_Titles" localSheetId="48">'32._Óvoda_önként'!$3:$8</definedName>
    <definedName name="_xlnm.Print_Titles" localSheetId="52">'33._TMKK_államig'!$3:$8</definedName>
    <definedName name="_xlnm.Print_Titles" localSheetId="50">'33._TMKK_köt'!$3:$8</definedName>
    <definedName name="_xlnm.Print_Titles" localSheetId="51">'33._TMKK_önként'!$3:$8</definedName>
    <definedName name="_xlnm.Print_Titles" localSheetId="55">'34._Rendelő_államig'!$3:$8</definedName>
    <definedName name="_xlnm.Print_Titles" localSheetId="53">'34._Rendelő_köt'!$3:$8</definedName>
    <definedName name="_xlnm.Print_Titles" localSheetId="54">'34._Rendelő_önként'!$3:$8</definedName>
    <definedName name="_xlnm.Print_Titles" localSheetId="4">'4. mell.Önkorm'!$1:$5</definedName>
    <definedName name="_xlnm.Print_Titles" localSheetId="5">'5.Int.össz'!$3:$8</definedName>
    <definedName name="_xlnm.Print_Titles" localSheetId="6">'6.Polg_Hivatal'!$3:$8</definedName>
    <definedName name="_xlnm.Print_Titles" localSheetId="7">'7.TIK'!$3:$8</definedName>
    <definedName name="_xlnm.Print_Titles" localSheetId="8">'8.Humán'!$4:$8</definedName>
    <definedName name="_xlnm.Print_Titles" localSheetId="9">'9.Óvoda'!$4:$8</definedName>
    <definedName name="_xlnm.Print_Area" localSheetId="0">'1. mell.bevétel_össz'!$A$1:$L$83</definedName>
    <definedName name="_xlnm.Print_Area" localSheetId="1">'1.mell.kiadás_össz'!$A$1:$L$67</definedName>
    <definedName name="_xlnm.Print_Area" localSheetId="10">'10.TMKK'!$A$1:$L$72</definedName>
    <definedName name="_xlnm.Print_Area" localSheetId="11">'11.Rendelő'!$A$1:$L$72</definedName>
    <definedName name="_xlnm.Print_Area" localSheetId="12">'12.Városüzemeltetés'!$A$1:$L$22</definedName>
    <definedName name="_xlnm.Print_Area" localSheetId="13">'13.támogatás'!$B$1:$L$99</definedName>
    <definedName name="_xlnm.Print_Area" localSheetId="14">'14.Szoc. '!$A$1:$L$22</definedName>
    <definedName name="_xlnm.Print_Area" localSheetId="15">'15.felh.felúj.'!$A$1:$L$115</definedName>
    <definedName name="_xlnm.Print_Area" localSheetId="16">'16.beruh.'!$A$1:$H$67</definedName>
    <definedName name="_xlnm.Print_Area" localSheetId="17">'17.felúj.'!$A$1:$H$33</definedName>
    <definedName name="_xlnm.Print_Area" localSheetId="22">'18. vezetői pótlék'!$A$1:$C$55</definedName>
    <definedName name="_xlnm.Print_Area" localSheetId="18">'18.adósság'!$A$1:$G$16</definedName>
    <definedName name="_xlnm.Print_Area" localSheetId="23">'19.int.pótlékok  '!$A$1:$N$18</definedName>
    <definedName name="_xlnm.Print_Area" localSheetId="19">'19.sajátbev.'!$A$1:$C$24</definedName>
    <definedName name="_xlnm.Print_Area" localSheetId="2">'2.mell.működés  '!$A$1:$Y$33</definedName>
    <definedName name="_xlnm.Print_Area" localSheetId="25">'25.EU_projekt. '!$A$1:$F$79</definedName>
    <definedName name="_xlnm.Print_Area" localSheetId="31">'26._államig_össz_kiad'!$A$1:$H$59</definedName>
    <definedName name="_xlnm.Print_Area" localSheetId="26">'26._köt_össz_bev'!$A$1:$H$84</definedName>
    <definedName name="_xlnm.Print_Area" localSheetId="27">'26._köt_össz_kiad'!$A$1:$H$58</definedName>
    <definedName name="_xlnm.Print_Area" localSheetId="28">'26._önként_össz_bev'!$A$1:$H$85</definedName>
    <definedName name="_xlnm.Print_Area" localSheetId="29">'26._önként_össz_kiad'!$A$1:$H$58</definedName>
    <definedName name="_xlnm.Print_Area" localSheetId="34">'27._önkorm_államig'!$A$1:$H$136</definedName>
    <definedName name="_xlnm.Print_Area" localSheetId="32">'27._önkorm_köt'!$A$1:$H$134</definedName>
    <definedName name="_xlnm.Print_Area" localSheetId="33">'27._önkorm_önként'!$A$1:$H$135</definedName>
    <definedName name="_xlnm.Print_Area" localSheetId="35">'28._Int össz_köt'!$A$1:$H$71</definedName>
    <definedName name="_xlnm.Print_Area" localSheetId="36">'28._Int össz_önk'!$A$1:$H$71</definedName>
    <definedName name="_xlnm.Print_Area" localSheetId="37">'28._Int.össz_államig'!$A$1:$H$73</definedName>
    <definedName name="_xlnm.Print_Area" localSheetId="40">'29._Hivatal_államig'!$A$1:$H$74</definedName>
    <definedName name="_xlnm.Print_Area" localSheetId="38">'29._Hivatal_köt'!$A$1:$H$72</definedName>
    <definedName name="_xlnm.Print_Area" localSheetId="39">'29._Hivatal_önként'!$A$1:$K$72</definedName>
    <definedName name="_xlnm.Print_Area" localSheetId="3">'3.mell.felhalm '!$A$1:$Y$31</definedName>
    <definedName name="_xlnm.Print_Area" localSheetId="43">'30._TIK_államig'!$A$1:$H$74</definedName>
    <definedName name="_xlnm.Print_Area" localSheetId="41">'30._TIK_köt'!$A$1:$H$72</definedName>
    <definedName name="_xlnm.Print_Area" localSheetId="42">'30._TIK_önként'!$A$1:$H$72</definedName>
    <definedName name="_xlnm.Print_Area" localSheetId="46">'31._Humán_államig'!$A$1:$H$74</definedName>
    <definedName name="_xlnm.Print_Area" localSheetId="44">'31._Humán_köt'!$A$1:$H$72</definedName>
    <definedName name="_xlnm.Print_Area" localSheetId="45">'31._Humán_önként'!$A$1:$H$72</definedName>
    <definedName name="_xlnm.Print_Area" localSheetId="49">'32._Óvoda_államig'!$A$1:$H$74</definedName>
    <definedName name="_xlnm.Print_Area" localSheetId="47">'32._Óvoda_köt'!$A$1:$H$72</definedName>
    <definedName name="_xlnm.Print_Area" localSheetId="48">'32._Óvoda_önként'!$A$1:$H$72</definedName>
    <definedName name="_xlnm.Print_Area" localSheetId="52">'33._TMKK_államig'!$A$1:$H$74</definedName>
    <definedName name="_xlnm.Print_Area" localSheetId="50">'33._TMKK_köt'!$A$1:$H$72</definedName>
    <definedName name="_xlnm.Print_Area" localSheetId="51">'33._TMKK_önként'!$A$1:$H$72</definedName>
    <definedName name="_xlnm.Print_Area" localSheetId="55">'34._Rendelő_államig'!$A$1:$H$74</definedName>
    <definedName name="_xlnm.Print_Area" localSheetId="53">'34._Rendelő_köt'!$A$1:$H$73</definedName>
    <definedName name="_xlnm.Print_Area" localSheetId="54">'34._Rendelő_önként'!$A$1:$H$72</definedName>
    <definedName name="_xlnm.Print_Area" localSheetId="4">'4. mell.Önkorm'!$A$1:$L$136</definedName>
    <definedName name="_xlnm.Print_Area" localSheetId="5">'5.Int.össz'!$A$1:$L$72</definedName>
    <definedName name="_xlnm.Print_Area" localSheetId="6">'6.Polg_Hivatal'!$A$1:$L$72</definedName>
    <definedName name="_xlnm.Print_Area" localSheetId="7">'7.TIK'!$A$1:$L$72</definedName>
    <definedName name="_xlnm.Print_Area" localSheetId="8">'8.Humán'!$A$1:$L$72</definedName>
    <definedName name="_xlnm.Print_Area" localSheetId="9">'9.Óvoda'!$A$1:$L$73</definedName>
  </definedNames>
  <calcPr calcId="152511"/>
</workbook>
</file>

<file path=xl/calcChain.xml><?xml version="1.0" encoding="utf-8"?>
<calcChain xmlns="http://schemas.openxmlformats.org/spreadsheetml/2006/main">
  <c r="J40" i="240" l="1"/>
  <c r="J42" i="240"/>
  <c r="L31" i="243"/>
  <c r="J50" i="239" l="1"/>
  <c r="J21" i="36" l="1"/>
  <c r="J74" i="239" l="1"/>
  <c r="J47" i="236" l="1"/>
  <c r="H59" i="58"/>
  <c r="H58" i="58"/>
  <c r="H57" i="58"/>
  <c r="H56" i="58"/>
  <c r="H55" i="58"/>
  <c r="J52" i="241" l="1"/>
  <c r="J51" i="241"/>
  <c r="J50" i="241"/>
  <c r="J46" i="241"/>
  <c r="J45" i="241"/>
  <c r="J44" i="241"/>
  <c r="J43" i="241" s="1"/>
  <c r="J42" i="241"/>
  <c r="J41" i="241"/>
  <c r="J40" i="241"/>
  <c r="J39" i="241" s="1"/>
  <c r="J37" i="241"/>
  <c r="J36" i="241"/>
  <c r="J35" i="241"/>
  <c r="J33" i="241" s="1"/>
  <c r="J34" i="241"/>
  <c r="J32" i="241"/>
  <c r="J31" i="241"/>
  <c r="J27" i="241"/>
  <c r="J26" i="241"/>
  <c r="J25" i="241"/>
  <c r="J24" i="241"/>
  <c r="J23" i="241" s="1"/>
  <c r="J22" i="241"/>
  <c r="J21" i="241"/>
  <c r="J20" i="241"/>
  <c r="J19" i="241"/>
  <c r="J18" i="241"/>
  <c r="J17" i="241"/>
  <c r="J15" i="241"/>
  <c r="J13" i="241"/>
  <c r="J12" i="241"/>
  <c r="J11" i="241"/>
  <c r="N17" i="240"/>
  <c r="J81" i="240"/>
  <c r="J80" i="240"/>
  <c r="J79" i="240"/>
  <c r="J78" i="240" s="1"/>
  <c r="J77" i="240"/>
  <c r="J76" i="240"/>
  <c r="J75" i="240" s="1"/>
  <c r="J74" i="240"/>
  <c r="J73" i="240"/>
  <c r="J72" i="240"/>
  <c r="J71" i="240" s="1"/>
  <c r="J70" i="240"/>
  <c r="J69" i="240"/>
  <c r="J68" i="240"/>
  <c r="J67" i="240" s="1"/>
  <c r="J65" i="240"/>
  <c r="J64" i="240"/>
  <c r="J63" i="240"/>
  <c r="J61" i="240"/>
  <c r="J60" i="240"/>
  <c r="J59" i="240"/>
  <c r="J58" i="240" s="1"/>
  <c r="J57" i="240"/>
  <c r="J56" i="240"/>
  <c r="J54" i="240"/>
  <c r="J53" i="240"/>
  <c r="J51" i="240"/>
  <c r="J50" i="240"/>
  <c r="J49" i="240"/>
  <c r="J48" i="240"/>
  <c r="J47" i="240"/>
  <c r="J46" i="240"/>
  <c r="J45" i="240"/>
  <c r="J44" i="240"/>
  <c r="J43" i="240"/>
  <c r="J41" i="240"/>
  <c r="J39" i="240"/>
  <c r="J38" i="240"/>
  <c r="J37" i="240"/>
  <c r="J36" i="240"/>
  <c r="J35" i="240"/>
  <c r="J34" i="240"/>
  <c r="J33" i="240"/>
  <c r="J32" i="240"/>
  <c r="J31" i="240" s="1"/>
  <c r="J30" i="240" s="1"/>
  <c r="J29" i="240"/>
  <c r="J28" i="240"/>
  <c r="J27" i="240"/>
  <c r="J26" i="240"/>
  <c r="J25" i="240"/>
  <c r="J24" i="240"/>
  <c r="J23" i="240"/>
  <c r="J22" i="240"/>
  <c r="J21" i="240"/>
  <c r="J20" i="240"/>
  <c r="J19" i="240"/>
  <c r="J17" i="240"/>
  <c r="J16" i="240"/>
  <c r="J15" i="240"/>
  <c r="J14" i="240"/>
  <c r="J13" i="240"/>
  <c r="J12" i="240"/>
  <c r="J11" i="240"/>
  <c r="J18" i="240" s="1"/>
  <c r="J10" i="240" s="1"/>
  <c r="J62" i="240" l="1"/>
  <c r="J16" i="241"/>
  <c r="J82" i="240"/>
  <c r="L130" i="239"/>
  <c r="J60" i="234"/>
  <c r="J59" i="234"/>
  <c r="J53" i="236"/>
  <c r="F46" i="237" l="1"/>
  <c r="J51" i="37"/>
  <c r="J58" i="37"/>
  <c r="J7" i="58"/>
  <c r="J19" i="37"/>
  <c r="J9" i="37"/>
  <c r="J20" i="239"/>
  <c r="L14" i="37"/>
  <c r="F20" i="239" l="1"/>
  <c r="G20" i="239"/>
  <c r="H20" i="239"/>
  <c r="I20" i="239"/>
  <c r="F81" i="239"/>
  <c r="F132" i="239"/>
  <c r="F106" i="239" l="1"/>
  <c r="F15" i="239"/>
  <c r="C62" i="237" l="1"/>
  <c r="C62" i="236"/>
  <c r="C62" i="235"/>
  <c r="F62" i="234"/>
  <c r="C62" i="233"/>
  <c r="F62" i="233"/>
  <c r="E62" i="232"/>
  <c r="G62" i="232"/>
  <c r="H62" i="232"/>
  <c r="F62" i="232"/>
  <c r="J97" i="58"/>
  <c r="W28" i="242"/>
  <c r="W18" i="242"/>
  <c r="W17" i="242"/>
  <c r="W16" i="242"/>
  <c r="W15" i="242"/>
  <c r="W14" i="242"/>
  <c r="W13" i="242"/>
  <c r="W12" i="242"/>
  <c r="G12" i="242" l="1"/>
  <c r="H12" i="242"/>
  <c r="I12" i="242"/>
  <c r="F37" i="238"/>
  <c r="G37" i="238"/>
  <c r="H37" i="238"/>
  <c r="I37" i="238"/>
  <c r="J37" i="238"/>
  <c r="L43" i="241"/>
  <c r="L36" i="241"/>
  <c r="L18" i="241"/>
  <c r="D59" i="233"/>
  <c r="E59" i="233"/>
  <c r="F59" i="233"/>
  <c r="G59" i="233"/>
  <c r="H59" i="233"/>
  <c r="I59" i="233"/>
  <c r="D60" i="233"/>
  <c r="E60" i="233"/>
  <c r="F60" i="233"/>
  <c r="G60" i="233"/>
  <c r="H60" i="233"/>
  <c r="I60" i="233"/>
  <c r="F59" i="234"/>
  <c r="G59" i="234"/>
  <c r="H59" i="234"/>
  <c r="I59" i="234"/>
  <c r="E59" i="234"/>
  <c r="F60" i="234"/>
  <c r="G60" i="234"/>
  <c r="H60" i="234"/>
  <c r="I60" i="234"/>
  <c r="D59" i="237"/>
  <c r="E59" i="237"/>
  <c r="G59" i="237"/>
  <c r="H59" i="237"/>
  <c r="I59" i="237"/>
  <c r="I60" i="237"/>
  <c r="H60" i="237"/>
  <c r="G60" i="237"/>
  <c r="J65" i="232"/>
  <c r="J63" i="232"/>
  <c r="J65" i="234"/>
  <c r="J65" i="235"/>
  <c r="J65" i="236"/>
  <c r="L80" i="240"/>
  <c r="L74" i="240"/>
  <c r="L73" i="240"/>
  <c r="L70" i="240"/>
  <c r="L69" i="240"/>
  <c r="L68" i="240"/>
  <c r="L67" i="240"/>
  <c r="L63" i="240"/>
  <c r="L59" i="240"/>
  <c r="L57" i="240"/>
  <c r="L56" i="240"/>
  <c r="L55" i="240"/>
  <c r="L54" i="240"/>
  <c r="L53" i="240"/>
  <c r="L50" i="240"/>
  <c r="L49" i="240"/>
  <c r="L44" i="240"/>
  <c r="L41" i="240"/>
  <c r="L39" i="240"/>
  <c r="L38" i="240"/>
  <c r="L37" i="240"/>
  <c r="L36" i="240"/>
  <c r="L35" i="240"/>
  <c r="L34" i="240"/>
  <c r="L33" i="240"/>
  <c r="L32" i="240"/>
  <c r="L31" i="240"/>
  <c r="L30" i="240"/>
  <c r="L29" i="240"/>
  <c r="L28" i="240"/>
  <c r="L27" i="240"/>
  <c r="L26" i="240"/>
  <c r="L25" i="240"/>
  <c r="L24" i="240"/>
  <c r="L23" i="240"/>
  <c r="L21" i="240"/>
  <c r="L20" i="240"/>
  <c r="L19" i="240"/>
  <c r="L17" i="240"/>
  <c r="L16" i="240"/>
  <c r="L15" i="240"/>
  <c r="L14" i="240"/>
  <c r="L12" i="240"/>
  <c r="L11" i="240"/>
  <c r="L55" i="241"/>
  <c r="L51" i="241"/>
  <c r="L50" i="241"/>
  <c r="L46" i="241"/>
  <c r="L45" i="241"/>
  <c r="L42" i="241"/>
  <c r="L41" i="241"/>
  <c r="L40" i="241"/>
  <c r="L39" i="241"/>
  <c r="L34" i="241"/>
  <c r="L32" i="241"/>
  <c r="L27" i="241"/>
  <c r="L21" i="241"/>
  <c r="L19" i="241"/>
  <c r="L17" i="241"/>
  <c r="L18" i="242"/>
  <c r="L17" i="242"/>
  <c r="L16" i="242"/>
  <c r="L15" i="242"/>
  <c r="L14" i="242"/>
  <c r="O18" i="243"/>
  <c r="P18" i="243"/>
  <c r="S18" i="243"/>
  <c r="D18" i="243"/>
  <c r="E18" i="243"/>
  <c r="F18" i="243"/>
  <c r="G18" i="243"/>
  <c r="H18" i="243"/>
  <c r="I18" i="243"/>
  <c r="O28" i="243"/>
  <c r="P28" i="243"/>
  <c r="Q28" i="243"/>
  <c r="R28" i="243"/>
  <c r="S28" i="243"/>
  <c r="T28" i="243"/>
  <c r="O29" i="243"/>
  <c r="O31" i="243" s="1"/>
  <c r="P29" i="243"/>
  <c r="S29" i="243"/>
  <c r="S31" i="243" s="1"/>
  <c r="O30" i="243"/>
  <c r="P30" i="243"/>
  <c r="S30" i="243"/>
  <c r="P31" i="243"/>
  <c r="D28" i="243"/>
  <c r="E28" i="243"/>
  <c r="F28" i="243"/>
  <c r="F29" i="243" s="1"/>
  <c r="G28" i="243"/>
  <c r="H28" i="243"/>
  <c r="I28" i="243"/>
  <c r="D29" i="243"/>
  <c r="E29" i="243"/>
  <c r="H29" i="243"/>
  <c r="I29" i="243"/>
  <c r="D30" i="243"/>
  <c r="E30" i="243"/>
  <c r="H30" i="243"/>
  <c r="E31" i="243"/>
  <c r="W28" i="243"/>
  <c r="W27" i="243"/>
  <c r="W26" i="243"/>
  <c r="W25" i="243"/>
  <c r="W24" i="243"/>
  <c r="W23" i="243"/>
  <c r="W22" i="243"/>
  <c r="W21" i="243"/>
  <c r="W20" i="243"/>
  <c r="W19" i="243"/>
  <c r="W17" i="243"/>
  <c r="W16" i="243"/>
  <c r="W15" i="243"/>
  <c r="W14" i="243"/>
  <c r="W13" i="243"/>
  <c r="W12" i="243"/>
  <c r="L27" i="243"/>
  <c r="L26" i="243"/>
  <c r="L25" i="243"/>
  <c r="L24" i="243"/>
  <c r="L23" i="243"/>
  <c r="L22" i="243"/>
  <c r="L21" i="243"/>
  <c r="L17" i="243"/>
  <c r="L16" i="243"/>
  <c r="L15" i="243"/>
  <c r="L14" i="243"/>
  <c r="L13" i="243"/>
  <c r="L12" i="243"/>
  <c r="L136" i="239"/>
  <c r="L135" i="239"/>
  <c r="L132" i="239"/>
  <c r="L131" i="239"/>
  <c r="L126" i="239"/>
  <c r="L125" i="239"/>
  <c r="L124" i="239"/>
  <c r="L122" i="239"/>
  <c r="L121" i="239"/>
  <c r="L120" i="239"/>
  <c r="L119" i="239"/>
  <c r="L116" i="239"/>
  <c r="L114" i="239"/>
  <c r="L112" i="239"/>
  <c r="L110" i="239"/>
  <c r="L107" i="239"/>
  <c r="L106" i="239"/>
  <c r="L104" i="239"/>
  <c r="L101" i="239"/>
  <c r="L99" i="239"/>
  <c r="L98" i="239"/>
  <c r="L97" i="239"/>
  <c r="L93" i="239"/>
  <c r="L92" i="239"/>
  <c r="L91" i="239"/>
  <c r="L83" i="239"/>
  <c r="L82" i="239"/>
  <c r="L81" i="239"/>
  <c r="L79" i="239"/>
  <c r="L78" i="239"/>
  <c r="L76" i="239"/>
  <c r="L75" i="239"/>
  <c r="L74" i="239"/>
  <c r="L72" i="239"/>
  <c r="L71" i="239"/>
  <c r="L70" i="239"/>
  <c r="L69" i="239"/>
  <c r="L67" i="239"/>
  <c r="L66" i="239"/>
  <c r="L65" i="239"/>
  <c r="L63" i="239"/>
  <c r="L62" i="239"/>
  <c r="L61" i="239"/>
  <c r="L59" i="239"/>
  <c r="L58" i="239"/>
  <c r="L57" i="239"/>
  <c r="L56" i="239"/>
  <c r="L55" i="239"/>
  <c r="L53" i="239"/>
  <c r="L52" i="239"/>
  <c r="L51" i="239"/>
  <c r="L50" i="239"/>
  <c r="L49" i="239"/>
  <c r="L48" i="239"/>
  <c r="L47" i="239"/>
  <c r="L46" i="239"/>
  <c r="L45" i="239"/>
  <c r="L44" i="239"/>
  <c r="L43" i="239"/>
  <c r="L41" i="239"/>
  <c r="L40" i="239"/>
  <c r="L39" i="239"/>
  <c r="L37" i="239"/>
  <c r="L36" i="239"/>
  <c r="L34" i="239"/>
  <c r="L31" i="239"/>
  <c r="L30" i="239"/>
  <c r="L29" i="239"/>
  <c r="L28" i="239"/>
  <c r="L27" i="239"/>
  <c r="L25" i="239"/>
  <c r="L24" i="239"/>
  <c r="L23" i="239"/>
  <c r="L22" i="239"/>
  <c r="L21" i="239"/>
  <c r="L20" i="239"/>
  <c r="L19" i="239"/>
  <c r="L18" i="239"/>
  <c r="L17" i="239"/>
  <c r="L16" i="239"/>
  <c r="L15" i="239"/>
  <c r="L14" i="239"/>
  <c r="L13" i="239"/>
  <c r="F36" i="232"/>
  <c r="G36" i="232"/>
  <c r="H36" i="232"/>
  <c r="I36" i="232"/>
  <c r="F47" i="232"/>
  <c r="F105" i="239"/>
  <c r="F103" i="239" s="1"/>
  <c r="L103" i="239" s="1"/>
  <c r="J12" i="239"/>
  <c r="F12" i="239"/>
  <c r="G12" i="239"/>
  <c r="H12" i="239"/>
  <c r="I12" i="239"/>
  <c r="E38" i="239"/>
  <c r="F38" i="239"/>
  <c r="E35" i="239"/>
  <c r="F35" i="239"/>
  <c r="E33" i="239"/>
  <c r="F33" i="239"/>
  <c r="L71" i="238"/>
  <c r="L69" i="238"/>
  <c r="L68" i="238"/>
  <c r="L67" i="238"/>
  <c r="L66" i="238"/>
  <c r="L65" i="238"/>
  <c r="L61" i="238"/>
  <c r="L58" i="238"/>
  <c r="L39" i="238"/>
  <c r="L37" i="238"/>
  <c r="L35" i="238"/>
  <c r="L34" i="238"/>
  <c r="L33" i="238"/>
  <c r="L32" i="238"/>
  <c r="L31" i="238"/>
  <c r="L30" i="238"/>
  <c r="L29" i="238"/>
  <c r="L28" i="238"/>
  <c r="L27" i="238"/>
  <c r="L26" i="238"/>
  <c r="L24" i="238"/>
  <c r="L23" i="238"/>
  <c r="L20" i="238"/>
  <c r="L19" i="238"/>
  <c r="L18" i="238"/>
  <c r="L14" i="238"/>
  <c r="L11" i="238"/>
  <c r="L72" i="237"/>
  <c r="L71" i="237"/>
  <c r="L69" i="237"/>
  <c r="L68" i="237"/>
  <c r="L67" i="237"/>
  <c r="L66" i="237"/>
  <c r="L65" i="237"/>
  <c r="L64" i="237"/>
  <c r="L61" i="237"/>
  <c r="L58" i="237"/>
  <c r="L57" i="237"/>
  <c r="L56" i="237"/>
  <c r="L55" i="237"/>
  <c r="L54" i="237"/>
  <c r="L45" i="237"/>
  <c r="L44" i="237"/>
  <c r="L41" i="237"/>
  <c r="L40" i="237"/>
  <c r="L39" i="237"/>
  <c r="L38" i="237"/>
  <c r="L37" i="237"/>
  <c r="L36" i="237"/>
  <c r="L35" i="237"/>
  <c r="L34" i="237"/>
  <c r="L33" i="237"/>
  <c r="L32" i="237"/>
  <c r="L31" i="237"/>
  <c r="L30" i="237"/>
  <c r="L29" i="237"/>
  <c r="L28" i="237"/>
  <c r="L27" i="237"/>
  <c r="L26" i="237"/>
  <c r="L25" i="237"/>
  <c r="L24" i="237"/>
  <c r="L23" i="237"/>
  <c r="L21" i="237"/>
  <c r="L20" i="237"/>
  <c r="L19" i="237"/>
  <c r="L18" i="237"/>
  <c r="L17" i="237"/>
  <c r="L16" i="237"/>
  <c r="L15" i="237"/>
  <c r="L14" i="237"/>
  <c r="L13" i="237"/>
  <c r="L12" i="237"/>
  <c r="L11" i="237"/>
  <c r="L72" i="236"/>
  <c r="L71" i="236"/>
  <c r="L69" i="236"/>
  <c r="L68" i="236"/>
  <c r="L67" i="236"/>
  <c r="L66" i="236"/>
  <c r="L65" i="236"/>
  <c r="L64" i="236"/>
  <c r="L61" i="236"/>
  <c r="L60" i="236"/>
  <c r="L59" i="236"/>
  <c r="L58" i="236"/>
  <c r="L57" i="236"/>
  <c r="L56" i="236"/>
  <c r="L55" i="236"/>
  <c r="L54" i="236"/>
  <c r="L45" i="236"/>
  <c r="L44" i="236"/>
  <c r="L41" i="236"/>
  <c r="L40" i="236"/>
  <c r="L39" i="236"/>
  <c r="L38" i="236"/>
  <c r="L37" i="236"/>
  <c r="L36" i="236"/>
  <c r="L35" i="236"/>
  <c r="L34" i="236"/>
  <c r="L33" i="236"/>
  <c r="L32" i="236"/>
  <c r="L31" i="236"/>
  <c r="L30" i="236"/>
  <c r="L29" i="236"/>
  <c r="L28" i="236"/>
  <c r="L27" i="236"/>
  <c r="L26" i="236"/>
  <c r="L25" i="236"/>
  <c r="L24" i="236"/>
  <c r="L23" i="236"/>
  <c r="L21" i="236"/>
  <c r="L20" i="236"/>
  <c r="L19" i="236"/>
  <c r="L18" i="236"/>
  <c r="L17" i="236"/>
  <c r="L16" i="236"/>
  <c r="L15" i="236"/>
  <c r="L14" i="236"/>
  <c r="L13" i="236"/>
  <c r="L12" i="236"/>
  <c r="L11" i="236"/>
  <c r="L72" i="235"/>
  <c r="L71" i="235"/>
  <c r="L69" i="235"/>
  <c r="L68" i="235"/>
  <c r="L67" i="235"/>
  <c r="L66" i="235"/>
  <c r="L65" i="235"/>
  <c r="L64" i="235"/>
  <c r="L61" i="235"/>
  <c r="L60" i="235"/>
  <c r="L59" i="235"/>
  <c r="L58" i="235"/>
  <c r="L57" i="235"/>
  <c r="L56" i="235"/>
  <c r="L55" i="235"/>
  <c r="L54" i="235"/>
  <c r="L45" i="235"/>
  <c r="L44" i="235"/>
  <c r="L41" i="235"/>
  <c r="L40" i="235"/>
  <c r="L39" i="235"/>
  <c r="L38" i="235"/>
  <c r="L37" i="235"/>
  <c r="L36" i="235"/>
  <c r="L35" i="235"/>
  <c r="L34" i="235"/>
  <c r="L33" i="235"/>
  <c r="L32" i="235"/>
  <c r="L31" i="235"/>
  <c r="L30" i="235"/>
  <c r="L29" i="235"/>
  <c r="L28" i="235"/>
  <c r="L27" i="235"/>
  <c r="L26" i="235"/>
  <c r="L25" i="235"/>
  <c r="L24" i="235"/>
  <c r="L23" i="235"/>
  <c r="L21" i="235"/>
  <c r="L20" i="235"/>
  <c r="L19" i="235"/>
  <c r="L18" i="235"/>
  <c r="L17" i="235"/>
  <c r="L16" i="235"/>
  <c r="L15" i="235"/>
  <c r="L14" i="235"/>
  <c r="L13" i="235"/>
  <c r="L12" i="235"/>
  <c r="L11" i="235"/>
  <c r="L72" i="234"/>
  <c r="L71" i="234"/>
  <c r="L69" i="234"/>
  <c r="L68" i="234"/>
  <c r="L67" i="234"/>
  <c r="L66" i="234"/>
  <c r="L65" i="234"/>
  <c r="L64" i="234"/>
  <c r="L61" i="234"/>
  <c r="L60" i="234"/>
  <c r="L58" i="234"/>
  <c r="L57" i="234"/>
  <c r="L56" i="234"/>
  <c r="L55" i="234"/>
  <c r="L54" i="234"/>
  <c r="L45" i="234"/>
  <c r="L44" i="234"/>
  <c r="L41" i="234"/>
  <c r="L40" i="234"/>
  <c r="L39" i="234"/>
  <c r="L38" i="234"/>
  <c r="L37" i="234"/>
  <c r="L36" i="234"/>
  <c r="L35" i="234"/>
  <c r="L34" i="234"/>
  <c r="L33" i="234"/>
  <c r="L32" i="234"/>
  <c r="L31" i="234"/>
  <c r="L30" i="234"/>
  <c r="L29" i="234"/>
  <c r="L28" i="234"/>
  <c r="L27" i="234"/>
  <c r="L26" i="234"/>
  <c r="L25" i="234"/>
  <c r="L24" i="234"/>
  <c r="L23" i="234"/>
  <c r="L21" i="234"/>
  <c r="L20" i="234"/>
  <c r="L19" i="234"/>
  <c r="L18" i="234"/>
  <c r="L17" i="234"/>
  <c r="L16" i="234"/>
  <c r="L15" i="234"/>
  <c r="L14" i="234"/>
  <c r="L13" i="234"/>
  <c r="L12" i="234"/>
  <c r="L11" i="234"/>
  <c r="L10" i="234"/>
  <c r="L72" i="233"/>
  <c r="L71" i="233"/>
  <c r="L69" i="233"/>
  <c r="L68" i="233"/>
  <c r="L67" i="233"/>
  <c r="L66" i="233"/>
  <c r="L65" i="233"/>
  <c r="L64" i="233"/>
  <c r="L61" i="233"/>
  <c r="L58" i="233"/>
  <c r="L57" i="233"/>
  <c r="L56" i="233"/>
  <c r="L55" i="233"/>
  <c r="L54" i="233"/>
  <c r="L45" i="233"/>
  <c r="L44" i="233"/>
  <c r="L41" i="233"/>
  <c r="L40" i="233"/>
  <c r="L39" i="233"/>
  <c r="L38" i="233"/>
  <c r="L37" i="233"/>
  <c r="L36" i="233"/>
  <c r="L35" i="233"/>
  <c r="L34" i="233"/>
  <c r="L33" i="233"/>
  <c r="L32" i="233"/>
  <c r="L31" i="233"/>
  <c r="L30" i="233"/>
  <c r="L29" i="233"/>
  <c r="L28" i="233"/>
  <c r="L27" i="233"/>
  <c r="L26" i="233"/>
  <c r="L25" i="233"/>
  <c r="L24" i="233"/>
  <c r="L23" i="233"/>
  <c r="L21" i="233"/>
  <c r="L20" i="233"/>
  <c r="L19" i="233"/>
  <c r="L18" i="233"/>
  <c r="L17" i="233"/>
  <c r="L16" i="233"/>
  <c r="L15" i="233"/>
  <c r="L14" i="233"/>
  <c r="L13" i="233"/>
  <c r="L12" i="233"/>
  <c r="L11" i="233"/>
  <c r="J10" i="232"/>
  <c r="L72" i="232"/>
  <c r="L71" i="232"/>
  <c r="L69" i="232"/>
  <c r="L68" i="232"/>
  <c r="L67" i="232"/>
  <c r="L66" i="232"/>
  <c r="L65" i="232"/>
  <c r="L64" i="232"/>
  <c r="L63" i="232"/>
  <c r="L61" i="232"/>
  <c r="L60" i="232"/>
  <c r="L59" i="232"/>
  <c r="L58" i="232"/>
  <c r="L57" i="232"/>
  <c r="L56" i="232"/>
  <c r="L55" i="232"/>
  <c r="L54" i="232"/>
  <c r="L45" i="232"/>
  <c r="L44" i="232"/>
  <c r="L41" i="232"/>
  <c r="L40" i="232"/>
  <c r="L39" i="232"/>
  <c r="L37" i="232"/>
  <c r="L36" i="232"/>
  <c r="L35" i="232"/>
  <c r="L34" i="232"/>
  <c r="L33" i="232"/>
  <c r="L32" i="232"/>
  <c r="L31" i="232"/>
  <c r="L30" i="232"/>
  <c r="L29" i="232"/>
  <c r="L28" i="232"/>
  <c r="L27" i="232"/>
  <c r="L26" i="232"/>
  <c r="L25" i="232"/>
  <c r="L24" i="232"/>
  <c r="L23" i="232"/>
  <c r="L21" i="232"/>
  <c r="L20" i="232"/>
  <c r="L19" i="232"/>
  <c r="L18" i="232"/>
  <c r="L17" i="232"/>
  <c r="L16" i="232"/>
  <c r="L15" i="232"/>
  <c r="L14" i="232"/>
  <c r="L13" i="232"/>
  <c r="L12" i="232"/>
  <c r="L11" i="232"/>
  <c r="G20" i="36"/>
  <c r="H20" i="36"/>
  <c r="I20" i="36"/>
  <c r="J20" i="36"/>
  <c r="L20" i="36" s="1"/>
  <c r="F20" i="36"/>
  <c r="L21" i="36"/>
  <c r="L19" i="36"/>
  <c r="L18" i="36"/>
  <c r="L17" i="36"/>
  <c r="L16" i="36"/>
  <c r="L15" i="36"/>
  <c r="L14" i="36"/>
  <c r="L13" i="36"/>
  <c r="L12" i="36"/>
  <c r="L11" i="36"/>
  <c r="E20" i="36"/>
  <c r="L98" i="37"/>
  <c r="L97" i="37"/>
  <c r="L96" i="37"/>
  <c r="L95" i="37"/>
  <c r="L94" i="37"/>
  <c r="L93" i="37"/>
  <c r="L92" i="37"/>
  <c r="L91" i="37"/>
  <c r="L90" i="37"/>
  <c r="L89" i="37"/>
  <c r="L88" i="37"/>
  <c r="L87" i="37"/>
  <c r="L86" i="37"/>
  <c r="L85" i="37"/>
  <c r="L84" i="37"/>
  <c r="L82" i="37"/>
  <c r="L81" i="37"/>
  <c r="L80" i="37"/>
  <c r="L79" i="37"/>
  <c r="L77" i="37"/>
  <c r="L76" i="37"/>
  <c r="L74" i="37"/>
  <c r="L73" i="37"/>
  <c r="L72" i="37"/>
  <c r="L71" i="37"/>
  <c r="L70" i="37"/>
  <c r="L69" i="37"/>
  <c r="L67" i="37"/>
  <c r="L66" i="37"/>
  <c r="L65" i="37"/>
  <c r="L64" i="37"/>
  <c r="L63" i="37"/>
  <c r="L62" i="37"/>
  <c r="L61" i="37"/>
  <c r="L60" i="37"/>
  <c r="L59" i="37"/>
  <c r="L57" i="37"/>
  <c r="L56" i="37"/>
  <c r="L55" i="37"/>
  <c r="L54" i="37"/>
  <c r="L53" i="37"/>
  <c r="L52" i="37"/>
  <c r="L49" i="37"/>
  <c r="L48" i="37"/>
  <c r="L47" i="37"/>
  <c r="L46" i="37"/>
  <c r="L45" i="37"/>
  <c r="L44" i="37"/>
  <c r="L43" i="37"/>
  <c r="L42" i="37"/>
  <c r="L41" i="37"/>
  <c r="L40" i="37"/>
  <c r="L39" i="37"/>
  <c r="L38" i="37"/>
  <c r="L37" i="37"/>
  <c r="L36" i="37"/>
  <c r="L35" i="37"/>
  <c r="L34" i="37"/>
  <c r="L33" i="37"/>
  <c r="L32" i="37"/>
  <c r="L31" i="37"/>
  <c r="L30" i="37"/>
  <c r="L29" i="37"/>
  <c r="L28" i="37"/>
  <c r="L27" i="37"/>
  <c r="L26" i="37"/>
  <c r="L25" i="37"/>
  <c r="L24" i="37"/>
  <c r="L23" i="37"/>
  <c r="L22" i="37"/>
  <c r="L21" i="37"/>
  <c r="L18" i="37"/>
  <c r="L17" i="37"/>
  <c r="L16" i="37"/>
  <c r="L15" i="37"/>
  <c r="L13" i="37"/>
  <c r="L12" i="37"/>
  <c r="L11" i="37"/>
  <c r="L10" i="37"/>
  <c r="G83" i="37"/>
  <c r="H83" i="37"/>
  <c r="I83" i="37"/>
  <c r="G85" i="37"/>
  <c r="G84" i="37" s="1"/>
  <c r="H85" i="37"/>
  <c r="H84" i="37" s="1"/>
  <c r="I85" i="37"/>
  <c r="I84" i="37" s="1"/>
  <c r="I97" i="37" s="1"/>
  <c r="J85" i="37"/>
  <c r="J84" i="37" s="1"/>
  <c r="J97" i="37" s="1"/>
  <c r="G88" i="37"/>
  <c r="H88" i="37"/>
  <c r="I88" i="37"/>
  <c r="J88" i="37"/>
  <c r="G93" i="37"/>
  <c r="H93" i="37"/>
  <c r="I93" i="37"/>
  <c r="J93" i="37"/>
  <c r="G95" i="37"/>
  <c r="G92" i="37" s="1"/>
  <c r="H95" i="37"/>
  <c r="H92" i="37" s="1"/>
  <c r="I95" i="37"/>
  <c r="I92" i="37" s="1"/>
  <c r="J95" i="37"/>
  <c r="J92" i="37" s="1"/>
  <c r="G99" i="37"/>
  <c r="H99" i="37"/>
  <c r="G81" i="37"/>
  <c r="H81" i="37"/>
  <c r="I81" i="37"/>
  <c r="J81" i="37"/>
  <c r="J60" i="233" s="1"/>
  <c r="J59" i="233" s="1"/>
  <c r="G75" i="37"/>
  <c r="H75" i="37"/>
  <c r="I75" i="37"/>
  <c r="J75" i="37"/>
  <c r="J60" i="237" s="1"/>
  <c r="J59" i="237" s="1"/>
  <c r="G78" i="37"/>
  <c r="H78" i="37"/>
  <c r="I78" i="37"/>
  <c r="J78" i="37"/>
  <c r="L78" i="37" s="1"/>
  <c r="E19" i="37"/>
  <c r="E8" i="37" s="1"/>
  <c r="F19" i="37"/>
  <c r="F58" i="37"/>
  <c r="E58" i="37"/>
  <c r="E51" i="37"/>
  <c r="F51" i="37"/>
  <c r="G51" i="37"/>
  <c r="H51" i="37"/>
  <c r="I51" i="37"/>
  <c r="L21" i="103"/>
  <c r="L20" i="103"/>
  <c r="L19" i="103"/>
  <c r="L18" i="103"/>
  <c r="L17" i="103"/>
  <c r="L16" i="103"/>
  <c r="L15" i="103"/>
  <c r="L14" i="103"/>
  <c r="L13" i="103"/>
  <c r="L12" i="103"/>
  <c r="L11" i="103"/>
  <c r="L9" i="103"/>
  <c r="J113" i="58"/>
  <c r="J110" i="58"/>
  <c r="F97" i="58"/>
  <c r="E97" i="58"/>
  <c r="L97" i="58"/>
  <c r="J86" i="58"/>
  <c r="L86" i="58" s="1"/>
  <c r="J77" i="58"/>
  <c r="J63" i="234" s="1"/>
  <c r="L63" i="234" s="1"/>
  <c r="J67" i="58"/>
  <c r="J63" i="235" s="1"/>
  <c r="J52" i="58"/>
  <c r="J63" i="236" s="1"/>
  <c r="J40" i="58"/>
  <c r="J24" i="58"/>
  <c r="L113" i="58"/>
  <c r="L111" i="58"/>
  <c r="L109" i="58"/>
  <c r="L108" i="58"/>
  <c r="L107" i="58"/>
  <c r="L106" i="58"/>
  <c r="L105" i="58"/>
  <c r="L104" i="58"/>
  <c r="L103" i="58"/>
  <c r="L102" i="58"/>
  <c r="L101" i="58"/>
  <c r="L100" i="58"/>
  <c r="L99" i="58"/>
  <c r="L98" i="58"/>
  <c r="L96" i="58"/>
  <c r="L94" i="58"/>
  <c r="L93" i="58"/>
  <c r="L92" i="58"/>
  <c r="L91" i="58"/>
  <c r="L90" i="58"/>
  <c r="L89" i="58"/>
  <c r="L88" i="58"/>
  <c r="L87" i="58"/>
  <c r="L85" i="58"/>
  <c r="L83" i="58"/>
  <c r="L82" i="58"/>
  <c r="L81" i="58"/>
  <c r="L80" i="58"/>
  <c r="L79" i="58"/>
  <c r="L78" i="58"/>
  <c r="L77" i="58"/>
  <c r="L76" i="58"/>
  <c r="L74" i="58"/>
  <c r="L73" i="58"/>
  <c r="L72" i="58"/>
  <c r="L71" i="58"/>
  <c r="L70" i="58"/>
  <c r="L69" i="58"/>
  <c r="L68" i="58"/>
  <c r="L67" i="58"/>
  <c r="L66" i="58"/>
  <c r="L64" i="58"/>
  <c r="L63" i="58"/>
  <c r="L62" i="58"/>
  <c r="L61" i="58"/>
  <c r="L60" i="58"/>
  <c r="L59" i="58"/>
  <c r="L58" i="58"/>
  <c r="L57" i="58"/>
  <c r="L56" i="58"/>
  <c r="L55" i="58"/>
  <c r="L54" i="58"/>
  <c r="L53" i="58"/>
  <c r="L51" i="58"/>
  <c r="L49" i="58"/>
  <c r="L48" i="58"/>
  <c r="L47" i="58"/>
  <c r="L46" i="58"/>
  <c r="L45" i="58"/>
  <c r="L44" i="58"/>
  <c r="L43" i="58"/>
  <c r="L42" i="58"/>
  <c r="L41" i="58"/>
  <c r="L39" i="58"/>
  <c r="L37" i="58"/>
  <c r="L36" i="58"/>
  <c r="L35" i="58"/>
  <c r="L34" i="58"/>
  <c r="L33" i="58"/>
  <c r="L32" i="58"/>
  <c r="L31" i="58"/>
  <c r="L30" i="58"/>
  <c r="L29" i="58"/>
  <c r="L28" i="58"/>
  <c r="L27" i="58"/>
  <c r="L26" i="58"/>
  <c r="L25" i="58"/>
  <c r="L24" i="58"/>
  <c r="L23" i="58"/>
  <c r="L22" i="58"/>
  <c r="L21" i="58"/>
  <c r="L20" i="58"/>
  <c r="L19" i="58"/>
  <c r="L18" i="58"/>
  <c r="L17" i="58"/>
  <c r="L16" i="58"/>
  <c r="L15" i="58"/>
  <c r="L14" i="58"/>
  <c r="L13" i="58"/>
  <c r="L12" i="58"/>
  <c r="L11" i="58"/>
  <c r="L10" i="58"/>
  <c r="L9" i="58"/>
  <c r="L8" i="58"/>
  <c r="J62" i="232" l="1"/>
  <c r="J47" i="232"/>
  <c r="J46" i="232" s="1"/>
  <c r="L63" i="235"/>
  <c r="J47" i="235"/>
  <c r="J46" i="236"/>
  <c r="L60" i="233"/>
  <c r="J112" i="58"/>
  <c r="L12" i="239"/>
  <c r="J83" i="37"/>
  <c r="L51" i="37"/>
  <c r="L40" i="58"/>
  <c r="L105" i="239"/>
  <c r="L44" i="241"/>
  <c r="L24" i="241"/>
  <c r="G29" i="243"/>
  <c r="H31" i="243"/>
  <c r="D31" i="243"/>
  <c r="H97" i="37"/>
  <c r="G97" i="37"/>
  <c r="J46" i="235" l="1"/>
  <c r="L46" i="235" s="1"/>
  <c r="L47" i="235"/>
  <c r="F7" i="58"/>
  <c r="E7" i="58"/>
  <c r="F24" i="58"/>
  <c r="E24" i="58"/>
  <c r="F6" i="58"/>
  <c r="F83" i="37"/>
  <c r="L83" i="37" s="1"/>
  <c r="F85" i="37"/>
  <c r="F84" i="37" s="1"/>
  <c r="F88" i="37"/>
  <c r="F93" i="37"/>
  <c r="F95" i="37"/>
  <c r="F92" i="37" s="1"/>
  <c r="F80" i="37"/>
  <c r="G80" i="37"/>
  <c r="H80" i="37"/>
  <c r="I80" i="37"/>
  <c r="F81" i="37"/>
  <c r="F77" i="37"/>
  <c r="G77" i="37"/>
  <c r="H77" i="37"/>
  <c r="I77" i="37"/>
  <c r="F78" i="37"/>
  <c r="F75" i="37"/>
  <c r="L75" i="37" l="1"/>
  <c r="F60" i="237"/>
  <c r="F97" i="37"/>
  <c r="E110" i="239"/>
  <c r="F59" i="237" l="1"/>
  <c r="L59" i="237" s="1"/>
  <c r="L60" i="237"/>
  <c r="C44" i="403"/>
  <c r="E71" i="403"/>
  <c r="D71" i="403"/>
  <c r="C71" i="403"/>
  <c r="B71" i="403"/>
  <c r="F70" i="403"/>
  <c r="F69" i="403"/>
  <c r="F68" i="403"/>
  <c r="F67" i="403"/>
  <c r="F66" i="403"/>
  <c r="F65" i="403"/>
  <c r="F64" i="403"/>
  <c r="E61" i="403"/>
  <c r="D61" i="403"/>
  <c r="C61" i="403"/>
  <c r="B61" i="403"/>
  <c r="F60" i="403"/>
  <c r="F59" i="403"/>
  <c r="F58" i="403"/>
  <c r="F57" i="403"/>
  <c r="F56" i="403"/>
  <c r="F55" i="403"/>
  <c r="F54" i="403"/>
  <c r="F71" i="403" l="1"/>
  <c r="F61" i="403"/>
  <c r="E69" i="388"/>
  <c r="E68" i="388"/>
  <c r="E66" i="388"/>
  <c r="E64" i="388"/>
  <c r="D69" i="388"/>
  <c r="D68" i="388"/>
  <c r="D66" i="388"/>
  <c r="D64" i="388"/>
  <c r="C69" i="388"/>
  <c r="C68" i="388"/>
  <c r="C66" i="388"/>
  <c r="C64" i="388"/>
  <c r="E9" i="37"/>
  <c r="H15" i="37"/>
  <c r="H16" i="37"/>
  <c r="H17" i="37"/>
  <c r="E35" i="371" l="1"/>
  <c r="C52" i="404" l="1"/>
  <c r="E62" i="37" l="1"/>
  <c r="E56" i="389" l="1"/>
  <c r="E54" i="389"/>
  <c r="E56" i="383"/>
  <c r="E54" i="383"/>
  <c r="E57" i="380"/>
  <c r="E56" i="380"/>
  <c r="E54" i="380"/>
  <c r="E57" i="392"/>
  <c r="E56" i="392"/>
  <c r="E100" i="371" l="1"/>
  <c r="E98" i="371"/>
  <c r="E115" i="371"/>
  <c r="E113" i="371"/>
  <c r="E114" i="371"/>
  <c r="E56" i="237" l="1"/>
  <c r="E33" i="37"/>
  <c r="E32" i="37"/>
  <c r="E106" i="239" l="1"/>
  <c r="E37" i="37"/>
  <c r="E94" i="371"/>
  <c r="H93" i="371"/>
  <c r="E41" i="392"/>
  <c r="E40" i="392"/>
  <c r="E36" i="392"/>
  <c r="E37" i="392"/>
  <c r="E35" i="367"/>
  <c r="E37" i="367"/>
  <c r="E18" i="369"/>
  <c r="E38" i="369"/>
  <c r="E37" i="369"/>
  <c r="E36" i="369"/>
  <c r="E35" i="369"/>
  <c r="E33" i="369"/>
  <c r="E32" i="369"/>
  <c r="E62" i="370"/>
  <c r="E120" i="370"/>
  <c r="E133" i="370"/>
  <c r="E128" i="370"/>
  <c r="E127" i="370"/>
  <c r="E123" i="370"/>
  <c r="E122" i="370"/>
  <c r="E121" i="370"/>
  <c r="E119" i="370"/>
  <c r="E118" i="370"/>
  <c r="E117" i="370"/>
  <c r="E111" i="370"/>
  <c r="E109" i="370"/>
  <c r="E107" i="370"/>
  <c r="E104" i="370"/>
  <c r="E103" i="370"/>
  <c r="E101" i="370"/>
  <c r="E98" i="370"/>
  <c r="E96" i="370"/>
  <c r="E95" i="370"/>
  <c r="E94" i="370"/>
  <c r="E92" i="370"/>
  <c r="E89" i="370"/>
  <c r="E81" i="370"/>
  <c r="E80" i="370"/>
  <c r="E77" i="370"/>
  <c r="E76" i="370"/>
  <c r="E75" i="370" s="1"/>
  <c r="E74" i="370"/>
  <c r="E73" i="370"/>
  <c r="E72" i="370"/>
  <c r="E71" i="370" s="1"/>
  <c r="E70" i="370"/>
  <c r="E69" i="370"/>
  <c r="E68" i="370"/>
  <c r="E65" i="370"/>
  <c r="E64" i="370"/>
  <c r="E63" i="370"/>
  <c r="E61" i="370"/>
  <c r="E60" i="370"/>
  <c r="E59" i="370"/>
  <c r="E58" i="370" s="1"/>
  <c r="E57" i="370"/>
  <c r="E56" i="370"/>
  <c r="E55" i="370"/>
  <c r="E54" i="370"/>
  <c r="E53" i="370"/>
  <c r="E51" i="370"/>
  <c r="E50" i="370"/>
  <c r="E49" i="370"/>
  <c r="E47" i="370"/>
  <c r="E46" i="370"/>
  <c r="E45" i="370"/>
  <c r="E44" i="370"/>
  <c r="E43" i="370"/>
  <c r="E42" i="370"/>
  <c r="E41" i="370"/>
  <c r="E39" i="370"/>
  <c r="E38" i="370"/>
  <c r="E37" i="370"/>
  <c r="E35" i="370"/>
  <c r="E32" i="370"/>
  <c r="E29" i="370"/>
  <c r="E28" i="370"/>
  <c r="E27" i="370"/>
  <c r="E26" i="370"/>
  <c r="E25" i="370"/>
  <c r="E24" i="370" s="1"/>
  <c r="E23" i="370"/>
  <c r="E21" i="370"/>
  <c r="E20" i="370"/>
  <c r="E19" i="370"/>
  <c r="E17" i="370"/>
  <c r="E16" i="370"/>
  <c r="E15" i="370"/>
  <c r="E11" i="370"/>
  <c r="E35" i="372"/>
  <c r="E57" i="232"/>
  <c r="E56" i="232"/>
  <c r="E57" i="233"/>
  <c r="E56" i="233"/>
  <c r="E54" i="233"/>
  <c r="E56" i="234"/>
  <c r="E54" i="234"/>
  <c r="E56" i="235"/>
  <c r="E54" i="235"/>
  <c r="E57" i="236"/>
  <c r="E56" i="236"/>
  <c r="E54" i="236"/>
  <c r="E54" i="237"/>
  <c r="E52" i="370" l="1"/>
  <c r="E53" i="394"/>
  <c r="F53" i="394"/>
  <c r="G53" i="394"/>
  <c r="B53" i="394" s="1"/>
  <c r="A53" i="394"/>
  <c r="E56" i="394"/>
  <c r="F56" i="394"/>
  <c r="A56" i="394"/>
  <c r="E55" i="392"/>
  <c r="E54" i="392"/>
  <c r="E54" i="232"/>
  <c r="E34" i="58" l="1"/>
  <c r="E21" i="36"/>
  <c r="E38" i="37"/>
  <c r="E107" i="371" l="1"/>
  <c r="E92" i="371"/>
  <c r="E89" i="371"/>
  <c r="E98" i="58"/>
  <c r="G56" i="394" s="1"/>
  <c r="B56" i="394" s="1"/>
  <c r="E41" i="232" l="1"/>
  <c r="E36" i="232"/>
  <c r="E37" i="232"/>
  <c r="E40" i="232"/>
  <c r="E55" i="234" l="1"/>
  <c r="E55" i="237"/>
  <c r="E18" i="36" l="1"/>
  <c r="E59" i="58" l="1"/>
  <c r="D103" i="58"/>
  <c r="E91" i="239"/>
  <c r="E88" i="370" s="1"/>
  <c r="E57" i="235" l="1"/>
  <c r="E93" i="239"/>
  <c r="E90" i="370" s="1"/>
  <c r="E60" i="37" l="1"/>
  <c r="E116" i="239"/>
  <c r="E113" i="370" s="1"/>
  <c r="H66" i="37" l="1"/>
  <c r="E86" i="58"/>
  <c r="H91" i="58"/>
  <c r="E89" i="58"/>
  <c r="F9" i="395" l="1"/>
  <c r="G9" i="395"/>
  <c r="B9" i="395" s="1"/>
  <c r="F10" i="395"/>
  <c r="G10" i="395"/>
  <c r="F11" i="395"/>
  <c r="G11" i="395"/>
  <c r="F12" i="395"/>
  <c r="G12" i="395"/>
  <c r="G13" i="395"/>
  <c r="F14" i="395"/>
  <c r="F15" i="395"/>
  <c r="G15" i="395"/>
  <c r="G16" i="395"/>
  <c r="F17" i="395"/>
  <c r="G18" i="395"/>
  <c r="F19" i="395"/>
  <c r="F20" i="395"/>
  <c r="G20" i="395"/>
  <c r="B20" i="395" s="1"/>
  <c r="E10" i="395"/>
  <c r="E11" i="395"/>
  <c r="E12" i="395"/>
  <c r="E13" i="395"/>
  <c r="E14" i="395"/>
  <c r="E15" i="395"/>
  <c r="E16" i="395"/>
  <c r="E17" i="395"/>
  <c r="E18" i="395"/>
  <c r="E19" i="395"/>
  <c r="E20" i="395"/>
  <c r="E9" i="395"/>
  <c r="G57" i="394"/>
  <c r="B57" i="394" s="1"/>
  <c r="F58" i="394"/>
  <c r="G58" i="394"/>
  <c r="B58" i="394" s="1"/>
  <c r="G59" i="394"/>
  <c r="B59" i="394" s="1"/>
  <c r="F60" i="394"/>
  <c r="G60" i="394"/>
  <c r="B60" i="394" s="1"/>
  <c r="F61" i="394"/>
  <c r="G61" i="394"/>
  <c r="B61" i="394" s="1"/>
  <c r="F62" i="394"/>
  <c r="G62" i="394"/>
  <c r="B62" i="394" s="1"/>
  <c r="F63" i="394"/>
  <c r="G63" i="394"/>
  <c r="B63" i="394" s="1"/>
  <c r="E58" i="394"/>
  <c r="E60" i="394"/>
  <c r="E61" i="394"/>
  <c r="E62" i="394"/>
  <c r="E63" i="394"/>
  <c r="E57" i="394"/>
  <c r="H66" i="394"/>
  <c r="D66" i="394"/>
  <c r="F52" i="394"/>
  <c r="G52" i="394"/>
  <c r="B52" i="394" s="1"/>
  <c r="E51" i="394"/>
  <c r="E52" i="394"/>
  <c r="G50" i="394"/>
  <c r="G51" i="394"/>
  <c r="B51" i="394" s="1"/>
  <c r="F45" i="394"/>
  <c r="G45" i="394"/>
  <c r="B45" i="394" s="1"/>
  <c r="F46" i="394"/>
  <c r="G46" i="394"/>
  <c r="B46" i="394" s="1"/>
  <c r="G41" i="394"/>
  <c r="B41" i="394" s="1"/>
  <c r="F42" i="394"/>
  <c r="G42" i="394"/>
  <c r="F35" i="394"/>
  <c r="G35" i="394"/>
  <c r="B35" i="394" s="1"/>
  <c r="F36" i="394"/>
  <c r="G36" i="394"/>
  <c r="B36" i="394" s="1"/>
  <c r="F37" i="394"/>
  <c r="G37" i="394"/>
  <c r="B37" i="394" s="1"/>
  <c r="F38" i="394"/>
  <c r="G38" i="394"/>
  <c r="B38" i="394" s="1"/>
  <c r="G26" i="394"/>
  <c r="B26" i="394" s="1"/>
  <c r="F27" i="394"/>
  <c r="G27" i="394"/>
  <c r="B27" i="394" s="1"/>
  <c r="G28" i="394"/>
  <c r="B28" i="394" s="1"/>
  <c r="F29" i="394"/>
  <c r="G29" i="394"/>
  <c r="B29" i="394" s="1"/>
  <c r="F9" i="394"/>
  <c r="F10" i="394"/>
  <c r="G10" i="394"/>
  <c r="B10" i="394" s="1"/>
  <c r="G11" i="394"/>
  <c r="F12" i="394"/>
  <c r="G13" i="394"/>
  <c r="B13" i="394" s="1"/>
  <c r="G14" i="394"/>
  <c r="B14" i="394" s="1"/>
  <c r="F15" i="394"/>
  <c r="F17" i="394"/>
  <c r="G17" i="394"/>
  <c r="B17" i="394" s="1"/>
  <c r="F18" i="394"/>
  <c r="G19" i="394"/>
  <c r="B19" i="394" s="1"/>
  <c r="G20" i="394"/>
  <c r="B20" i="394" s="1"/>
  <c r="F21" i="394"/>
  <c r="G21" i="394"/>
  <c r="F22" i="394"/>
  <c r="G22" i="394"/>
  <c r="B22" i="394" s="1"/>
  <c r="F23" i="394"/>
  <c r="G23" i="394"/>
  <c r="B23" i="394" s="1"/>
  <c r="E50" i="394"/>
  <c r="E46" i="394"/>
  <c r="E47" i="394"/>
  <c r="E45" i="394"/>
  <c r="E42" i="394"/>
  <c r="E41" i="394"/>
  <c r="E35" i="394"/>
  <c r="E36" i="394"/>
  <c r="E37" i="394"/>
  <c r="E38" i="394"/>
  <c r="E34" i="394"/>
  <c r="E27" i="394"/>
  <c r="E28" i="394"/>
  <c r="E29" i="394"/>
  <c r="E26" i="394"/>
  <c r="E23" i="394"/>
  <c r="E10" i="394"/>
  <c r="E11" i="394"/>
  <c r="E12" i="394"/>
  <c r="E13" i="394"/>
  <c r="E14" i="394"/>
  <c r="E15" i="394"/>
  <c r="E16" i="394"/>
  <c r="E17" i="394"/>
  <c r="E18" i="394"/>
  <c r="E19" i="394"/>
  <c r="E20" i="394"/>
  <c r="E21" i="394"/>
  <c r="E22" i="394"/>
  <c r="B50" i="394"/>
  <c r="B42" i="394"/>
  <c r="B21" i="394"/>
  <c r="B11" i="394"/>
  <c r="E32" i="395" l="1"/>
  <c r="A63" i="394"/>
  <c r="E36" i="233" l="1"/>
  <c r="E25" i="233"/>
  <c r="E25" i="232" l="1"/>
  <c r="E15" i="239" l="1"/>
  <c r="E13" i="370" s="1"/>
  <c r="E77" i="37"/>
  <c r="E60" i="234"/>
  <c r="E25" i="235"/>
  <c r="E132" i="239"/>
  <c r="E129" i="370" s="1"/>
  <c r="E81" i="239"/>
  <c r="E79" i="370" s="1"/>
  <c r="E24" i="239"/>
  <c r="E22" i="370" s="1"/>
  <c r="E78" i="370" l="1"/>
  <c r="H55" i="383"/>
  <c r="E78" i="37" l="1"/>
  <c r="D78" i="37"/>
  <c r="C78" i="37"/>
  <c r="E80" i="58" l="1"/>
  <c r="G47" i="394" s="1"/>
  <c r="B47" i="394" s="1"/>
  <c r="E57" i="234"/>
  <c r="E50" i="239" l="1"/>
  <c r="E48" i="370" s="1"/>
  <c r="E36" i="239"/>
  <c r="E34" i="370" s="1"/>
  <c r="E40" i="370" l="1"/>
  <c r="E14" i="58"/>
  <c r="G15" i="394" s="1"/>
  <c r="B15" i="394" s="1"/>
  <c r="E11" i="58"/>
  <c r="G12" i="394" s="1"/>
  <c r="B12" i="394" s="1"/>
  <c r="E32" i="239" l="1"/>
  <c r="H48" i="37" l="1"/>
  <c r="E13" i="237" l="1"/>
  <c r="E55" i="58" l="1"/>
  <c r="G34" i="394" s="1"/>
  <c r="B34" i="394" s="1"/>
  <c r="E22" i="37"/>
  <c r="E20" i="37" s="1"/>
  <c r="H105" i="58"/>
  <c r="E14" i="239" l="1"/>
  <c r="E12" i="370" s="1"/>
  <c r="E16" i="239"/>
  <c r="E14" i="370" s="1"/>
  <c r="E8" i="58" l="1"/>
  <c r="G9" i="394" s="1"/>
  <c r="E20" i="103"/>
  <c r="E21" i="103"/>
  <c r="E15" i="58"/>
  <c r="G16" i="394" s="1"/>
  <c r="B16" i="394" s="1"/>
  <c r="E17" i="58"/>
  <c r="G18" i="394" s="1"/>
  <c r="B18" i="394" s="1"/>
  <c r="E35" i="58"/>
  <c r="G19" i="395" s="1"/>
  <c r="E33" i="58"/>
  <c r="G17" i="395" s="1"/>
  <c r="E30" i="58"/>
  <c r="G14" i="395" s="1"/>
  <c r="B9" i="394" l="1"/>
  <c r="G66" i="394"/>
  <c r="C54" i="404"/>
  <c r="E72" i="232"/>
  <c r="H20" i="367" l="1"/>
  <c r="H134" i="371"/>
  <c r="H130" i="371"/>
  <c r="H129" i="371"/>
  <c r="H128" i="371"/>
  <c r="H124" i="371"/>
  <c r="H123" i="371"/>
  <c r="H122" i="371"/>
  <c r="H120" i="371"/>
  <c r="H119" i="371"/>
  <c r="H118" i="371"/>
  <c r="H114" i="371"/>
  <c r="H112" i="371"/>
  <c r="H110" i="371"/>
  <c r="H109" i="371"/>
  <c r="H108" i="371"/>
  <c r="H107" i="371"/>
  <c r="H105" i="371"/>
  <c r="H104" i="371"/>
  <c r="H102" i="371"/>
  <c r="H99" i="371"/>
  <c r="H97" i="371"/>
  <c r="H96" i="371"/>
  <c r="H95" i="371"/>
  <c r="H92" i="371"/>
  <c r="H91" i="371"/>
  <c r="H90" i="371"/>
  <c r="H89" i="371"/>
  <c r="H82" i="371"/>
  <c r="H81" i="371"/>
  <c r="H80" i="371"/>
  <c r="H78" i="371"/>
  <c r="H77" i="371"/>
  <c r="H75" i="371"/>
  <c r="H74" i="371"/>
  <c r="H73" i="371"/>
  <c r="H71" i="371"/>
  <c r="H70" i="371"/>
  <c r="H69" i="371"/>
  <c r="H66" i="371"/>
  <c r="H65" i="371"/>
  <c r="H64" i="371"/>
  <c r="H62" i="371"/>
  <c r="H61" i="371"/>
  <c r="H60" i="371"/>
  <c r="H58" i="371"/>
  <c r="H57" i="371"/>
  <c r="H56" i="371"/>
  <c r="H55" i="371"/>
  <c r="H54" i="371"/>
  <c r="H52" i="371"/>
  <c r="H51" i="371"/>
  <c r="H50" i="371"/>
  <c r="H49" i="371"/>
  <c r="H48" i="371"/>
  <c r="H47" i="371"/>
  <c r="H46" i="371"/>
  <c r="H45" i="371"/>
  <c r="H44" i="371"/>
  <c r="H43" i="371"/>
  <c r="H42" i="371"/>
  <c r="H40" i="371"/>
  <c r="H39" i="371"/>
  <c r="H38" i="371"/>
  <c r="H36" i="371"/>
  <c r="H33" i="371"/>
  <c r="H30" i="371"/>
  <c r="H29" i="371"/>
  <c r="H28" i="371"/>
  <c r="H27" i="371"/>
  <c r="H26" i="371"/>
  <c r="H24" i="371"/>
  <c r="H23" i="371"/>
  <c r="H22" i="371"/>
  <c r="H21" i="371"/>
  <c r="H20" i="371"/>
  <c r="H18" i="371"/>
  <c r="H17" i="371"/>
  <c r="H16" i="371"/>
  <c r="H15" i="371"/>
  <c r="H14" i="371"/>
  <c r="H13" i="371"/>
  <c r="H12" i="371"/>
  <c r="H134" i="372"/>
  <c r="H130" i="372"/>
  <c r="H129" i="372"/>
  <c r="H128" i="372"/>
  <c r="H124" i="372"/>
  <c r="H123" i="372"/>
  <c r="H122" i="372"/>
  <c r="H120" i="372"/>
  <c r="H119" i="372"/>
  <c r="H118" i="372"/>
  <c r="H115" i="372"/>
  <c r="H114" i="372"/>
  <c r="H113" i="372"/>
  <c r="H112" i="372"/>
  <c r="H110" i="372"/>
  <c r="H109" i="372"/>
  <c r="H108" i="372"/>
  <c r="H107" i="372"/>
  <c r="H105" i="372"/>
  <c r="H104" i="372"/>
  <c r="H102" i="372"/>
  <c r="H100" i="372"/>
  <c r="H99" i="372"/>
  <c r="H98" i="372"/>
  <c r="H97" i="372"/>
  <c r="H96" i="372"/>
  <c r="H95" i="372"/>
  <c r="H93" i="372"/>
  <c r="H92" i="372"/>
  <c r="H91" i="372"/>
  <c r="H90" i="372"/>
  <c r="H89" i="372"/>
  <c r="H82" i="372"/>
  <c r="H81" i="372"/>
  <c r="H80" i="372"/>
  <c r="H78" i="372"/>
  <c r="H77" i="372"/>
  <c r="H75" i="372"/>
  <c r="H74" i="372"/>
  <c r="H73" i="372"/>
  <c r="H71" i="372"/>
  <c r="H70" i="372"/>
  <c r="H69" i="372"/>
  <c r="H66" i="372"/>
  <c r="H65" i="372"/>
  <c r="H64" i="372"/>
  <c r="H62" i="372"/>
  <c r="H61" i="372"/>
  <c r="H60" i="372"/>
  <c r="H58" i="372"/>
  <c r="H57" i="372"/>
  <c r="H56" i="372"/>
  <c r="H55" i="372"/>
  <c r="H54" i="372"/>
  <c r="H52" i="372"/>
  <c r="H51" i="372"/>
  <c r="H50" i="372"/>
  <c r="H49" i="372"/>
  <c r="H48" i="372"/>
  <c r="H47" i="372"/>
  <c r="H46" i="372"/>
  <c r="H45" i="372"/>
  <c r="H44" i="372"/>
  <c r="H43" i="372"/>
  <c r="H42" i="372"/>
  <c r="H40" i="372"/>
  <c r="H39" i="372"/>
  <c r="H38" i="372"/>
  <c r="H36" i="372"/>
  <c r="H33" i="372"/>
  <c r="H30" i="372"/>
  <c r="H29" i="372"/>
  <c r="H28" i="372"/>
  <c r="H27" i="372"/>
  <c r="H26" i="372"/>
  <c r="H24" i="372"/>
  <c r="H23" i="372"/>
  <c r="H22" i="372"/>
  <c r="H21" i="372"/>
  <c r="H20" i="372"/>
  <c r="H18" i="372"/>
  <c r="H17" i="372"/>
  <c r="H16" i="372"/>
  <c r="H15" i="372"/>
  <c r="H14" i="372"/>
  <c r="H13" i="372"/>
  <c r="H12" i="372"/>
  <c r="E25" i="374"/>
  <c r="H72" i="376"/>
  <c r="H72" i="377"/>
  <c r="H69" i="376"/>
  <c r="H68" i="376"/>
  <c r="H67" i="376"/>
  <c r="H66" i="376"/>
  <c r="H65" i="376"/>
  <c r="H64" i="376"/>
  <c r="H63" i="376"/>
  <c r="H60" i="376"/>
  <c r="H59" i="376"/>
  <c r="H58" i="376"/>
  <c r="H57" i="376"/>
  <c r="H56" i="376"/>
  <c r="H55" i="376"/>
  <c r="H54" i="376"/>
  <c r="H48" i="376"/>
  <c r="H47" i="376"/>
  <c r="H46" i="376"/>
  <c r="H45" i="376"/>
  <c r="H44" i="376"/>
  <c r="H43" i="376"/>
  <c r="H42" i="376"/>
  <c r="H41" i="376"/>
  <c r="H40" i="376"/>
  <c r="H39" i="376"/>
  <c r="H38" i="376"/>
  <c r="H37" i="376"/>
  <c r="H36" i="376"/>
  <c r="H35" i="376"/>
  <c r="H34" i="376"/>
  <c r="H33" i="376"/>
  <c r="H32" i="376"/>
  <c r="H31" i="376"/>
  <c r="H30" i="376"/>
  <c r="H29" i="376"/>
  <c r="H28" i="376"/>
  <c r="H27" i="376"/>
  <c r="H26" i="376"/>
  <c r="H25" i="376"/>
  <c r="H24" i="376"/>
  <c r="H23" i="376"/>
  <c r="H22" i="376"/>
  <c r="H21" i="376"/>
  <c r="H20" i="376"/>
  <c r="H19" i="376"/>
  <c r="H18" i="376"/>
  <c r="H17" i="376"/>
  <c r="H16" i="376"/>
  <c r="H15" i="376"/>
  <c r="H14" i="376"/>
  <c r="H13" i="376"/>
  <c r="H12" i="376"/>
  <c r="H11" i="376"/>
  <c r="H10" i="376"/>
  <c r="H70" i="377"/>
  <c r="H69" i="377"/>
  <c r="H68" i="377"/>
  <c r="H67" i="377"/>
  <c r="H66" i="377"/>
  <c r="H65" i="377"/>
  <c r="H64" i="377"/>
  <c r="H63" i="377"/>
  <c r="H62" i="377"/>
  <c r="H61" i="377"/>
  <c r="H60" i="377"/>
  <c r="H59" i="377"/>
  <c r="H58" i="377"/>
  <c r="H57" i="377"/>
  <c r="H56" i="377"/>
  <c r="H55" i="377"/>
  <c r="H54" i="377"/>
  <c r="H53" i="377"/>
  <c r="H48" i="377"/>
  <c r="H47" i="377"/>
  <c r="H46" i="377"/>
  <c r="H45" i="377"/>
  <c r="H44" i="377"/>
  <c r="H43" i="377"/>
  <c r="H42" i="377"/>
  <c r="H41" i="377"/>
  <c r="H40" i="377"/>
  <c r="H39" i="377"/>
  <c r="H38" i="377"/>
  <c r="H37" i="377"/>
  <c r="H36" i="377"/>
  <c r="H35" i="377"/>
  <c r="H34" i="377"/>
  <c r="H33" i="377"/>
  <c r="H32" i="377"/>
  <c r="H31" i="377"/>
  <c r="H30" i="377"/>
  <c r="H29" i="377"/>
  <c r="H28" i="377"/>
  <c r="H27" i="377"/>
  <c r="H26" i="377"/>
  <c r="H25" i="377"/>
  <c r="H24" i="377"/>
  <c r="H23" i="377"/>
  <c r="H22" i="377"/>
  <c r="H21" i="377"/>
  <c r="H20" i="377"/>
  <c r="H19" i="377"/>
  <c r="H18" i="377"/>
  <c r="H17" i="377"/>
  <c r="H16" i="377"/>
  <c r="H15" i="377"/>
  <c r="H14" i="377"/>
  <c r="H13" i="377"/>
  <c r="H12" i="377"/>
  <c r="H11" i="377"/>
  <c r="H10" i="377"/>
  <c r="H27" i="378"/>
  <c r="H72" i="380"/>
  <c r="H69" i="380"/>
  <c r="H68" i="380"/>
  <c r="H67" i="380"/>
  <c r="H66" i="380"/>
  <c r="H65" i="380"/>
  <c r="H64" i="380"/>
  <c r="H63" i="380"/>
  <c r="H61" i="380"/>
  <c r="H60" i="380"/>
  <c r="H59" i="380"/>
  <c r="H58" i="380"/>
  <c r="H55" i="380"/>
  <c r="H45" i="380"/>
  <c r="H44" i="380"/>
  <c r="H41" i="380"/>
  <c r="H40" i="380"/>
  <c r="H39" i="380"/>
  <c r="H38" i="380"/>
  <c r="H37" i="380"/>
  <c r="H36" i="380"/>
  <c r="H35" i="380"/>
  <c r="H34" i="380"/>
  <c r="H33" i="380"/>
  <c r="H31" i="380"/>
  <c r="H30" i="380"/>
  <c r="H29" i="380"/>
  <c r="H27" i="380"/>
  <c r="H26" i="380"/>
  <c r="H25" i="380"/>
  <c r="H24" i="380"/>
  <c r="H23" i="380"/>
  <c r="H21" i="380"/>
  <c r="H20" i="380"/>
  <c r="H19" i="380"/>
  <c r="H18" i="380"/>
  <c r="H17" i="380"/>
  <c r="H16" i="380"/>
  <c r="H15" i="380"/>
  <c r="H14" i="380"/>
  <c r="H13" i="380"/>
  <c r="H12" i="380"/>
  <c r="H11" i="380"/>
  <c r="H70" i="381"/>
  <c r="H72" i="381"/>
  <c r="H69" i="381"/>
  <c r="H68" i="381"/>
  <c r="H67" i="381"/>
  <c r="H66" i="381"/>
  <c r="H65" i="381"/>
  <c r="H64" i="381"/>
  <c r="H63" i="381"/>
  <c r="H62" i="381"/>
  <c r="H61" i="381"/>
  <c r="H60" i="381"/>
  <c r="H59" i="381"/>
  <c r="H58" i="381"/>
  <c r="H57" i="381"/>
  <c r="H56" i="381"/>
  <c r="H55" i="381"/>
  <c r="H54" i="381"/>
  <c r="H53" i="381"/>
  <c r="H48" i="381"/>
  <c r="H47" i="381"/>
  <c r="H46" i="381"/>
  <c r="H45" i="381"/>
  <c r="H44" i="381"/>
  <c r="H43" i="381"/>
  <c r="H42" i="381"/>
  <c r="H41" i="381"/>
  <c r="H40" i="381"/>
  <c r="H39" i="381"/>
  <c r="H38" i="381"/>
  <c r="H37" i="381"/>
  <c r="H36" i="381"/>
  <c r="H35" i="381"/>
  <c r="H34" i="381"/>
  <c r="H33" i="381"/>
  <c r="H32" i="381"/>
  <c r="H31" i="381"/>
  <c r="H30" i="381"/>
  <c r="H29" i="381"/>
  <c r="H28" i="381"/>
  <c r="H27" i="381"/>
  <c r="H26" i="381"/>
  <c r="H25" i="381"/>
  <c r="H24" i="381"/>
  <c r="H23" i="381"/>
  <c r="H22" i="381"/>
  <c r="H21" i="381"/>
  <c r="H20" i="381"/>
  <c r="H19" i="381"/>
  <c r="H18" i="381"/>
  <c r="H17" i="381"/>
  <c r="H16" i="381"/>
  <c r="H15" i="381"/>
  <c r="H14" i="381"/>
  <c r="H13" i="381"/>
  <c r="H12" i="381"/>
  <c r="H11" i="381"/>
  <c r="H10" i="381"/>
  <c r="H72" i="383"/>
  <c r="H69" i="383"/>
  <c r="H68" i="383"/>
  <c r="H66" i="383"/>
  <c r="H65" i="383"/>
  <c r="H64" i="383"/>
  <c r="H63" i="383"/>
  <c r="H61" i="383"/>
  <c r="H60" i="383"/>
  <c r="H58" i="383"/>
  <c r="H45" i="383"/>
  <c r="H44" i="383"/>
  <c r="H41" i="383"/>
  <c r="H40" i="383"/>
  <c r="H39" i="383"/>
  <c r="H38" i="383"/>
  <c r="H37" i="383"/>
  <c r="H36" i="383"/>
  <c r="H35" i="383"/>
  <c r="H34" i="383"/>
  <c r="H33" i="383"/>
  <c r="H31" i="383"/>
  <c r="H30" i="383"/>
  <c r="H29" i="383"/>
  <c r="H27" i="383"/>
  <c r="H26" i="383"/>
  <c r="H25" i="383"/>
  <c r="H24" i="383"/>
  <c r="H23" i="383"/>
  <c r="H21" i="383"/>
  <c r="H20" i="383"/>
  <c r="H19" i="383"/>
  <c r="H18" i="383"/>
  <c r="H17" i="383"/>
  <c r="H16" i="383"/>
  <c r="H15" i="383"/>
  <c r="H14" i="383"/>
  <c r="H13" i="383"/>
  <c r="H12" i="383"/>
  <c r="H11" i="383"/>
  <c r="H72" i="384"/>
  <c r="H70" i="384"/>
  <c r="H69" i="384"/>
  <c r="H68" i="384"/>
  <c r="H67" i="384"/>
  <c r="H66" i="384"/>
  <c r="H65" i="384"/>
  <c r="H64" i="384"/>
  <c r="H63" i="384"/>
  <c r="H62" i="384"/>
  <c r="H61" i="384"/>
  <c r="H60" i="384"/>
  <c r="H59" i="384"/>
  <c r="H58" i="384"/>
  <c r="H57" i="384"/>
  <c r="H56" i="384"/>
  <c r="H55" i="384"/>
  <c r="H54" i="384"/>
  <c r="H53" i="384"/>
  <c r="H48" i="384"/>
  <c r="H47" i="384"/>
  <c r="H46" i="384"/>
  <c r="H45" i="384"/>
  <c r="H44" i="384"/>
  <c r="H43" i="384"/>
  <c r="H42" i="384"/>
  <c r="H41" i="384"/>
  <c r="H40" i="384"/>
  <c r="H39" i="384"/>
  <c r="H38" i="384"/>
  <c r="H37" i="384"/>
  <c r="H36" i="384"/>
  <c r="H35" i="384"/>
  <c r="H34" i="384"/>
  <c r="H33" i="384"/>
  <c r="H32" i="384"/>
  <c r="H31" i="384"/>
  <c r="H30" i="384"/>
  <c r="H29" i="384"/>
  <c r="H28" i="384"/>
  <c r="H27" i="384"/>
  <c r="H26" i="384"/>
  <c r="H25" i="384"/>
  <c r="H24" i="384"/>
  <c r="H23" i="384"/>
  <c r="H22" i="384"/>
  <c r="H21" i="384"/>
  <c r="H20" i="384"/>
  <c r="H19" i="384"/>
  <c r="H18" i="384"/>
  <c r="H17" i="384"/>
  <c r="H16" i="384"/>
  <c r="H15" i="384"/>
  <c r="H14" i="384"/>
  <c r="H13" i="384"/>
  <c r="H12" i="384"/>
  <c r="H11" i="384"/>
  <c r="H10" i="384"/>
  <c r="H72" i="386"/>
  <c r="H69" i="386"/>
  <c r="H68" i="386"/>
  <c r="H66" i="386"/>
  <c r="H65" i="386"/>
  <c r="H64" i="386"/>
  <c r="H63" i="386"/>
  <c r="H61" i="386"/>
  <c r="H60" i="386"/>
  <c r="H58" i="386"/>
  <c r="H57" i="386"/>
  <c r="H56" i="386"/>
  <c r="H55" i="386"/>
  <c r="H54" i="386"/>
  <c r="H45" i="386"/>
  <c r="H44" i="386"/>
  <c r="H41" i="386"/>
  <c r="H40" i="386"/>
  <c r="H39" i="386"/>
  <c r="H38" i="386"/>
  <c r="H37" i="386"/>
  <c r="H36" i="386"/>
  <c r="H35" i="386"/>
  <c r="H34" i="386"/>
  <c r="H33" i="386"/>
  <c r="H31" i="386"/>
  <c r="H30" i="386"/>
  <c r="H29" i="386"/>
  <c r="H27" i="386"/>
  <c r="H26" i="386"/>
  <c r="H25" i="386"/>
  <c r="H24" i="386"/>
  <c r="H23" i="386"/>
  <c r="H21" i="386"/>
  <c r="H20" i="386"/>
  <c r="H19" i="386"/>
  <c r="H18" i="386"/>
  <c r="H17" i="386"/>
  <c r="H16" i="386"/>
  <c r="H15" i="386"/>
  <c r="H14" i="386"/>
  <c r="H13" i="386"/>
  <c r="H12" i="386"/>
  <c r="H11" i="386"/>
  <c r="E60" i="388"/>
  <c r="E59" i="388"/>
  <c r="E58" i="388"/>
  <c r="E57" i="388"/>
  <c r="E56" i="388"/>
  <c r="E55" i="388"/>
  <c r="E54" i="388"/>
  <c r="H72" i="388"/>
  <c r="H69" i="388"/>
  <c r="H68" i="388"/>
  <c r="H66" i="388"/>
  <c r="H72" i="389"/>
  <c r="H69" i="389"/>
  <c r="H68" i="389"/>
  <c r="H66" i="389"/>
  <c r="H65" i="389"/>
  <c r="H64" i="389"/>
  <c r="H63" i="389"/>
  <c r="H61" i="389"/>
  <c r="H60" i="389"/>
  <c r="H59" i="389"/>
  <c r="H58" i="389"/>
  <c r="H57" i="389"/>
  <c r="H55" i="389"/>
  <c r="H45" i="389"/>
  <c r="H44" i="389"/>
  <c r="H41" i="389"/>
  <c r="H40" i="389"/>
  <c r="H39" i="389"/>
  <c r="H38" i="389"/>
  <c r="H37" i="389"/>
  <c r="H36" i="389"/>
  <c r="H35" i="389"/>
  <c r="H34" i="389"/>
  <c r="H33" i="389"/>
  <c r="H31" i="389"/>
  <c r="H30" i="389"/>
  <c r="H29" i="389"/>
  <c r="H27" i="389"/>
  <c r="H26" i="389"/>
  <c r="H25" i="389"/>
  <c r="H24" i="389"/>
  <c r="H23" i="389"/>
  <c r="H21" i="389"/>
  <c r="H20" i="389"/>
  <c r="H19" i="389"/>
  <c r="H18" i="389"/>
  <c r="H17" i="389"/>
  <c r="H16" i="389"/>
  <c r="H15" i="389"/>
  <c r="H14" i="389"/>
  <c r="H13" i="389"/>
  <c r="H12" i="389"/>
  <c r="H11" i="389"/>
  <c r="E38" i="392"/>
  <c r="H72" i="392"/>
  <c r="H69" i="392"/>
  <c r="H68" i="392"/>
  <c r="H67" i="392"/>
  <c r="H66" i="392"/>
  <c r="H65" i="392"/>
  <c r="H64" i="392"/>
  <c r="H63" i="392"/>
  <c r="H61" i="392"/>
  <c r="H60" i="392"/>
  <c r="H59" i="392"/>
  <c r="H58" i="392"/>
  <c r="H57" i="392"/>
  <c r="H55" i="392"/>
  <c r="H45" i="392"/>
  <c r="H41" i="392"/>
  <c r="H40" i="392"/>
  <c r="H39" i="392"/>
  <c r="H37" i="392"/>
  <c r="H36" i="392"/>
  <c r="H35" i="392"/>
  <c r="H34" i="392"/>
  <c r="H33" i="392"/>
  <c r="H31" i="392"/>
  <c r="H30" i="392"/>
  <c r="H29" i="392"/>
  <c r="H27" i="392"/>
  <c r="H26" i="392"/>
  <c r="H25" i="392"/>
  <c r="H24" i="392"/>
  <c r="H23" i="392"/>
  <c r="H21" i="392"/>
  <c r="H20" i="392"/>
  <c r="H19" i="392"/>
  <c r="H18" i="392"/>
  <c r="H17" i="392"/>
  <c r="H16" i="392"/>
  <c r="H15" i="392"/>
  <c r="H14" i="392"/>
  <c r="H13" i="392"/>
  <c r="H12" i="392"/>
  <c r="H11" i="392"/>
  <c r="S27" i="243"/>
  <c r="S26" i="243"/>
  <c r="S25" i="243"/>
  <c r="S23" i="243"/>
  <c r="S19" i="243"/>
  <c r="S17" i="243"/>
  <c r="S16" i="243"/>
  <c r="S15" i="243"/>
  <c r="S14" i="243"/>
  <c r="S13" i="243"/>
  <c r="S12" i="243"/>
  <c r="H27" i="243"/>
  <c r="H26" i="243"/>
  <c r="H22" i="243"/>
  <c r="H21" i="243"/>
  <c r="H17" i="243"/>
  <c r="H16" i="243"/>
  <c r="H15" i="243"/>
  <c r="H14" i="243"/>
  <c r="H13" i="243"/>
  <c r="H12" i="243"/>
  <c r="S28" i="242"/>
  <c r="S18" i="242"/>
  <c r="S17" i="242"/>
  <c r="S16" i="242"/>
  <c r="S15" i="242"/>
  <c r="S14" i="242"/>
  <c r="S13" i="242"/>
  <c r="S12" i="242"/>
  <c r="H18" i="242"/>
  <c r="H17" i="242"/>
  <c r="H16" i="242"/>
  <c r="H15" i="242"/>
  <c r="H14" i="242"/>
  <c r="E37" i="238"/>
  <c r="E61" i="240" s="1"/>
  <c r="H136" i="239"/>
  <c r="H131" i="239"/>
  <c r="H130" i="239"/>
  <c r="H126" i="239"/>
  <c r="H125" i="239"/>
  <c r="H124" i="239"/>
  <c r="H122" i="239"/>
  <c r="H121" i="239"/>
  <c r="H120" i="239"/>
  <c r="H116" i="239"/>
  <c r="H114" i="239"/>
  <c r="H112" i="239"/>
  <c r="H110" i="239"/>
  <c r="H104" i="239"/>
  <c r="H101" i="239"/>
  <c r="H99" i="239"/>
  <c r="H98" i="239"/>
  <c r="H97" i="239"/>
  <c r="H92" i="239"/>
  <c r="H83" i="239"/>
  <c r="H82" i="239"/>
  <c r="H79" i="239"/>
  <c r="H78" i="239"/>
  <c r="H76" i="239"/>
  <c r="H75" i="239"/>
  <c r="H72" i="239"/>
  <c r="H71" i="239"/>
  <c r="H70" i="239"/>
  <c r="H67" i="239"/>
  <c r="H66" i="239"/>
  <c r="H65" i="239"/>
  <c r="H63" i="239"/>
  <c r="H62" i="239"/>
  <c r="H61" i="239"/>
  <c r="H59" i="239"/>
  <c r="H58" i="239"/>
  <c r="H57" i="239"/>
  <c r="H56" i="239"/>
  <c r="H55" i="239"/>
  <c r="H53" i="239"/>
  <c r="H52" i="239"/>
  <c r="H51" i="239"/>
  <c r="H50" i="239"/>
  <c r="H49" i="239"/>
  <c r="H48" i="239"/>
  <c r="H47" i="239"/>
  <c r="H46" i="239"/>
  <c r="H45" i="239"/>
  <c r="H44" i="239"/>
  <c r="H43" i="239"/>
  <c r="H41" i="239"/>
  <c r="H40" i="239"/>
  <c r="H39" i="239"/>
  <c r="H37" i="239"/>
  <c r="H36" i="239"/>
  <c r="H34" i="239"/>
  <c r="H29" i="239"/>
  <c r="H28" i="239"/>
  <c r="H27" i="239"/>
  <c r="H25" i="239"/>
  <c r="H23" i="239"/>
  <c r="H22" i="239"/>
  <c r="H21" i="239"/>
  <c r="H19" i="239"/>
  <c r="H18" i="239"/>
  <c r="H72" i="237"/>
  <c r="H69" i="237"/>
  <c r="H68" i="237"/>
  <c r="H66" i="237"/>
  <c r="H64" i="237"/>
  <c r="H61" i="237"/>
  <c r="H58" i="237"/>
  <c r="H45" i="237"/>
  <c r="H41" i="237"/>
  <c r="H40" i="237"/>
  <c r="H39" i="237"/>
  <c r="H37" i="237"/>
  <c r="H36" i="237"/>
  <c r="H35" i="237"/>
  <c r="H34" i="237"/>
  <c r="H33" i="237"/>
  <c r="H31" i="237"/>
  <c r="H30" i="237"/>
  <c r="H29" i="237"/>
  <c r="H27" i="237"/>
  <c r="H26" i="237"/>
  <c r="H25" i="237"/>
  <c r="H24" i="237"/>
  <c r="H23" i="237"/>
  <c r="H21" i="237"/>
  <c r="H20" i="237"/>
  <c r="H19" i="237"/>
  <c r="H18" i="237"/>
  <c r="H17" i="237"/>
  <c r="H16" i="237"/>
  <c r="H15" i="237"/>
  <c r="H14" i="237"/>
  <c r="H13" i="237"/>
  <c r="H12" i="237"/>
  <c r="H11" i="237"/>
  <c r="H72" i="236"/>
  <c r="H69" i="236"/>
  <c r="H68" i="236"/>
  <c r="H67" i="236"/>
  <c r="H66" i="236"/>
  <c r="H64" i="236"/>
  <c r="H61" i="236"/>
  <c r="H60" i="236"/>
  <c r="H58" i="236"/>
  <c r="H55" i="236"/>
  <c r="H45" i="236"/>
  <c r="H41" i="236"/>
  <c r="H40" i="236"/>
  <c r="H39" i="236"/>
  <c r="H38" i="236"/>
  <c r="H37" i="236"/>
  <c r="H36" i="236"/>
  <c r="H35" i="236"/>
  <c r="H34" i="236"/>
  <c r="H33" i="236"/>
  <c r="H31" i="236"/>
  <c r="H30" i="236"/>
  <c r="H29" i="236"/>
  <c r="H27" i="236"/>
  <c r="H26" i="236"/>
  <c r="H25" i="236"/>
  <c r="H24" i="236"/>
  <c r="H23" i="236"/>
  <c r="H21" i="236"/>
  <c r="H20" i="236"/>
  <c r="H19" i="236"/>
  <c r="H18" i="236"/>
  <c r="H17" i="236"/>
  <c r="H16" i="236"/>
  <c r="H15" i="236"/>
  <c r="H14" i="236"/>
  <c r="H13" i="236"/>
  <c r="H12" i="236"/>
  <c r="H11" i="236"/>
  <c r="H72" i="235"/>
  <c r="H69" i="235"/>
  <c r="H68" i="235"/>
  <c r="H67" i="235"/>
  <c r="H66" i="235"/>
  <c r="H64" i="235"/>
  <c r="H61" i="235"/>
  <c r="H60" i="235"/>
  <c r="H59" i="235"/>
  <c r="H58" i="235"/>
  <c r="H55" i="235"/>
  <c r="H45" i="235"/>
  <c r="H44" i="235"/>
  <c r="H41" i="235"/>
  <c r="H40" i="235"/>
  <c r="H39" i="235"/>
  <c r="H38" i="235"/>
  <c r="H37" i="235"/>
  <c r="H36" i="235"/>
  <c r="H35" i="235"/>
  <c r="H34" i="235"/>
  <c r="H33" i="235"/>
  <c r="H31" i="235"/>
  <c r="H30" i="235"/>
  <c r="H29" i="235"/>
  <c r="H27" i="235"/>
  <c r="H26" i="235"/>
  <c r="H25" i="235"/>
  <c r="H24" i="235"/>
  <c r="H23" i="235"/>
  <c r="H21" i="235"/>
  <c r="H20" i="235"/>
  <c r="H19" i="235"/>
  <c r="H18" i="235"/>
  <c r="H17" i="235"/>
  <c r="H16" i="235"/>
  <c r="H15" i="235"/>
  <c r="H14" i="235"/>
  <c r="H13" i="235"/>
  <c r="H12" i="235"/>
  <c r="H11" i="235"/>
  <c r="H72" i="234"/>
  <c r="H69" i="234"/>
  <c r="H68" i="234"/>
  <c r="H67" i="234"/>
  <c r="H66" i="234"/>
  <c r="H64" i="234"/>
  <c r="H61" i="234"/>
  <c r="H58" i="234"/>
  <c r="H55" i="234"/>
  <c r="H45" i="234"/>
  <c r="H41" i="234"/>
  <c r="H40" i="234"/>
  <c r="H39" i="234"/>
  <c r="H38" i="234"/>
  <c r="H37" i="234"/>
  <c r="H36" i="234"/>
  <c r="H35" i="234"/>
  <c r="H34" i="234"/>
  <c r="H33" i="234"/>
  <c r="H31" i="234"/>
  <c r="H30" i="234"/>
  <c r="H29" i="234"/>
  <c r="H27" i="234"/>
  <c r="H26" i="234"/>
  <c r="H25" i="234"/>
  <c r="H24" i="234"/>
  <c r="H23" i="234"/>
  <c r="H21" i="234"/>
  <c r="H20" i="234"/>
  <c r="H19" i="234"/>
  <c r="H18" i="234"/>
  <c r="H17" i="234"/>
  <c r="H16" i="234"/>
  <c r="H15" i="234"/>
  <c r="H14" i="234"/>
  <c r="H13" i="234"/>
  <c r="H12" i="234"/>
  <c r="H11" i="234"/>
  <c r="H72" i="233"/>
  <c r="H69" i="233"/>
  <c r="H68" i="233"/>
  <c r="H67" i="233"/>
  <c r="H66" i="233"/>
  <c r="H64" i="233"/>
  <c r="H61" i="233"/>
  <c r="H58" i="233"/>
  <c r="H55" i="233"/>
  <c r="H45" i="233"/>
  <c r="H41" i="233"/>
  <c r="H40" i="233"/>
  <c r="H39" i="233"/>
  <c r="H37" i="233"/>
  <c r="H36" i="233"/>
  <c r="H35" i="233"/>
  <c r="H34" i="233"/>
  <c r="H33" i="233"/>
  <c r="H31" i="233"/>
  <c r="H30" i="233"/>
  <c r="H29" i="233"/>
  <c r="H27" i="233"/>
  <c r="H26" i="233"/>
  <c r="H25" i="233"/>
  <c r="H24" i="233"/>
  <c r="H23" i="233"/>
  <c r="H21" i="233"/>
  <c r="H20" i="233"/>
  <c r="H19" i="233"/>
  <c r="H18" i="233"/>
  <c r="H17" i="233"/>
  <c r="H16" i="233"/>
  <c r="H15" i="233"/>
  <c r="H14" i="233"/>
  <c r="H13" i="233"/>
  <c r="H12" i="233"/>
  <c r="H11" i="233"/>
  <c r="H40" i="232"/>
  <c r="H69" i="232"/>
  <c r="H68" i="232"/>
  <c r="H67" i="232"/>
  <c r="H66" i="232"/>
  <c r="H64" i="232"/>
  <c r="H61" i="232"/>
  <c r="H60" i="232"/>
  <c r="H58" i="232"/>
  <c r="H55" i="232"/>
  <c r="H45" i="232"/>
  <c r="H41" i="232"/>
  <c r="H39" i="232"/>
  <c r="H37" i="232"/>
  <c r="H35" i="232"/>
  <c r="H34" i="232"/>
  <c r="H33" i="232"/>
  <c r="H31" i="232"/>
  <c r="H30" i="232"/>
  <c r="H29" i="232"/>
  <c r="H27" i="232"/>
  <c r="H26" i="232"/>
  <c r="H25" i="232"/>
  <c r="H25" i="391" s="1"/>
  <c r="H24" i="232"/>
  <c r="H23" i="232"/>
  <c r="H21" i="232"/>
  <c r="H20" i="232"/>
  <c r="H19" i="232"/>
  <c r="H18" i="232"/>
  <c r="H17" i="232"/>
  <c r="H16" i="232"/>
  <c r="H15" i="232"/>
  <c r="H14" i="232"/>
  <c r="H13" i="232"/>
  <c r="H12" i="232"/>
  <c r="H11" i="232"/>
  <c r="H11" i="391" s="1"/>
  <c r="H8" i="58"/>
  <c r="H111" i="58"/>
  <c r="H108" i="58"/>
  <c r="H104" i="58"/>
  <c r="H102" i="58"/>
  <c r="H100" i="58"/>
  <c r="H98" i="58"/>
  <c r="H90" i="58"/>
  <c r="H87" i="58"/>
  <c r="H79" i="58"/>
  <c r="H78" i="58"/>
  <c r="H74" i="58"/>
  <c r="H71" i="58"/>
  <c r="H69" i="58"/>
  <c r="H68" i="58"/>
  <c r="H63" i="58"/>
  <c r="H54" i="58"/>
  <c r="H53" i="58"/>
  <c r="H44" i="58"/>
  <c r="H42" i="58"/>
  <c r="H36" i="58"/>
  <c r="H35" i="58"/>
  <c r="H33" i="58"/>
  <c r="H31" i="58"/>
  <c r="H30" i="58"/>
  <c r="H28" i="58"/>
  <c r="H27" i="58"/>
  <c r="H26" i="58"/>
  <c r="H25" i="58"/>
  <c r="H22" i="58"/>
  <c r="H21" i="58"/>
  <c r="H20" i="58"/>
  <c r="H17" i="58"/>
  <c r="H16" i="58"/>
  <c r="H14" i="58"/>
  <c r="H11" i="58"/>
  <c r="H9" i="58"/>
  <c r="E40" i="58"/>
  <c r="G35" i="395"/>
  <c r="H21" i="103"/>
  <c r="H20" i="103"/>
  <c r="H19" i="103"/>
  <c r="H18" i="103"/>
  <c r="H17" i="103"/>
  <c r="H15" i="103"/>
  <c r="H14" i="103"/>
  <c r="H13" i="103"/>
  <c r="H12" i="103"/>
  <c r="H11" i="103"/>
  <c r="H65" i="37"/>
  <c r="H64" i="37"/>
  <c r="H62" i="37"/>
  <c r="H61" i="37"/>
  <c r="H60" i="37"/>
  <c r="H59" i="37"/>
  <c r="H56" i="37"/>
  <c r="H55" i="37"/>
  <c r="H54" i="37"/>
  <c r="H53" i="37"/>
  <c r="H47" i="37"/>
  <c r="H46" i="37"/>
  <c r="H45" i="37"/>
  <c r="H44" i="37"/>
  <c r="H41" i="37"/>
  <c r="H40" i="37"/>
  <c r="H39" i="37"/>
  <c r="H37" i="37"/>
  <c r="H36" i="37"/>
  <c r="H35" i="37"/>
  <c r="H33" i="37"/>
  <c r="H32" i="37"/>
  <c r="H31" i="37"/>
  <c r="H29" i="37"/>
  <c r="H28" i="37"/>
  <c r="H27" i="37"/>
  <c r="H26" i="37"/>
  <c r="H25" i="37"/>
  <c r="H23" i="37"/>
  <c r="H21" i="37"/>
  <c r="H12" i="37"/>
  <c r="H11" i="37"/>
  <c r="H10" i="37"/>
  <c r="H11" i="36"/>
  <c r="H17" i="36"/>
  <c r="H16" i="36"/>
  <c r="H15" i="36"/>
  <c r="H14" i="36"/>
  <c r="H12" i="36"/>
  <c r="E20" i="239"/>
  <c r="E80" i="37"/>
  <c r="E81" i="37" s="1"/>
  <c r="E85" i="37"/>
  <c r="E88" i="37"/>
  <c r="E93" i="37"/>
  <c r="E95" i="37"/>
  <c r="E75" i="37"/>
  <c r="E60" i="237" s="1"/>
  <c r="E83" i="37" l="1"/>
  <c r="E84" i="37"/>
  <c r="E92" i="37"/>
  <c r="E53" i="388"/>
  <c r="E12" i="239"/>
  <c r="D35" i="371"/>
  <c r="H35" i="371" s="1"/>
  <c r="D44" i="392"/>
  <c r="H44" i="392" s="1"/>
  <c r="E97" i="37" l="1"/>
  <c r="A60" i="394"/>
  <c r="D21" i="36" l="1"/>
  <c r="H21" i="36" s="1"/>
  <c r="D13" i="36"/>
  <c r="H13" i="36" s="1"/>
  <c r="D101" i="58"/>
  <c r="H101" i="58" l="1"/>
  <c r="F59" i="394"/>
  <c r="D106" i="239"/>
  <c r="H106" i="239" s="1"/>
  <c r="D57" i="233"/>
  <c r="H57" i="233" s="1"/>
  <c r="D24" i="239" l="1"/>
  <c r="H24" i="239" s="1"/>
  <c r="D31" i="239"/>
  <c r="H31" i="239" s="1"/>
  <c r="D30" i="239"/>
  <c r="H30" i="239" s="1"/>
  <c r="D72" i="232" l="1"/>
  <c r="H72" i="232" s="1"/>
  <c r="H72" i="391" s="1"/>
  <c r="A23" i="394" l="1"/>
  <c r="A22" i="394"/>
  <c r="D63" i="37" l="1"/>
  <c r="D58" i="37" l="1"/>
  <c r="H58" i="37" s="1"/>
  <c r="H63" i="37"/>
  <c r="H103" i="58"/>
  <c r="D99" i="58"/>
  <c r="F57" i="394" s="1"/>
  <c r="H99" i="58" l="1"/>
  <c r="D97" i="58"/>
  <c r="D12" i="58"/>
  <c r="D113" i="371"/>
  <c r="H113" i="371" s="1"/>
  <c r="D115" i="371"/>
  <c r="H115" i="371" s="1"/>
  <c r="D100" i="371"/>
  <c r="H100" i="371" s="1"/>
  <c r="D38" i="37"/>
  <c r="H38" i="37" s="1"/>
  <c r="H12" i="58" l="1"/>
  <c r="F13" i="394"/>
  <c r="H97" i="58"/>
  <c r="D52" i="37"/>
  <c r="D51" i="37" l="1"/>
  <c r="H52" i="37"/>
  <c r="D34" i="58"/>
  <c r="D19" i="58"/>
  <c r="H19" i="58" l="1"/>
  <c r="F20" i="394"/>
  <c r="H34" i="58"/>
  <c r="F18" i="395"/>
  <c r="A19" i="395"/>
  <c r="B19" i="395"/>
  <c r="A20" i="395"/>
  <c r="A36" i="394"/>
  <c r="A37" i="394"/>
  <c r="A38" i="394"/>
  <c r="A33" i="394"/>
  <c r="F33" i="394"/>
  <c r="B33" i="394" s="1"/>
  <c r="A34" i="394"/>
  <c r="A35" i="394"/>
  <c r="A57" i="394"/>
  <c r="A58" i="394"/>
  <c r="A52" i="394"/>
  <c r="A45" i="394"/>
  <c r="A46" i="394"/>
  <c r="A42" i="394"/>
  <c r="A20" i="394"/>
  <c r="A21" i="394"/>
  <c r="D57" i="236" l="1"/>
  <c r="H57" i="236" s="1"/>
  <c r="D57" i="232"/>
  <c r="H57" i="232" s="1"/>
  <c r="D56" i="392" l="1"/>
  <c r="H56" i="392" s="1"/>
  <c r="D54" i="392"/>
  <c r="H54" i="392" s="1"/>
  <c r="D57" i="380"/>
  <c r="H57" i="380" s="1"/>
  <c r="D56" i="380"/>
  <c r="H56" i="380" s="1"/>
  <c r="D35" i="372" l="1"/>
  <c r="H35" i="372" s="1"/>
  <c r="D54" i="380"/>
  <c r="H54" i="380" s="1"/>
  <c r="D98" i="371"/>
  <c r="H98" i="371" l="1"/>
  <c r="D56" i="389"/>
  <c r="H56" i="389" s="1"/>
  <c r="D54" i="389"/>
  <c r="H54" i="389" s="1"/>
  <c r="D89" i="58" l="1"/>
  <c r="D88" i="58"/>
  <c r="F50" i="394" s="1"/>
  <c r="D57" i="383"/>
  <c r="H57" i="383" s="1"/>
  <c r="D56" i="383"/>
  <c r="H56" i="383" s="1"/>
  <c r="D54" i="383"/>
  <c r="H54" i="383" s="1"/>
  <c r="H89" i="58" l="1"/>
  <c r="F51" i="394"/>
  <c r="D86" i="58"/>
  <c r="H88" i="58"/>
  <c r="D80" i="58"/>
  <c r="H80" i="58" l="1"/>
  <c r="F47" i="394"/>
  <c r="D70" i="58"/>
  <c r="D107" i="239"/>
  <c r="H107" i="239" s="1"/>
  <c r="H70" i="58" l="1"/>
  <c r="F41" i="394"/>
  <c r="D14" i="37"/>
  <c r="H14" i="37" s="1"/>
  <c r="D16" i="103" l="1"/>
  <c r="H16" i="103" s="1"/>
  <c r="D9" i="103"/>
  <c r="H9" i="103" s="1"/>
  <c r="D42" i="37"/>
  <c r="H42" i="37" s="1"/>
  <c r="D93" i="239" l="1"/>
  <c r="H93" i="239" s="1"/>
  <c r="D91" i="239"/>
  <c r="H91" i="239" s="1"/>
  <c r="D30" i="37" l="1"/>
  <c r="H30" i="37" s="1"/>
  <c r="D132" i="239"/>
  <c r="H132" i="239" s="1"/>
  <c r="D57" i="237" l="1"/>
  <c r="H57" i="237" s="1"/>
  <c r="D56" i="237"/>
  <c r="H56" i="237" s="1"/>
  <c r="D18" i="36" l="1"/>
  <c r="H18" i="36" s="1"/>
  <c r="D55" i="58" l="1"/>
  <c r="F34" i="394" l="1"/>
  <c r="D52" i="58"/>
  <c r="D15" i="239"/>
  <c r="H15" i="239" s="1"/>
  <c r="D81" i="239"/>
  <c r="H81" i="239" s="1"/>
  <c r="D41" i="58" l="1"/>
  <c r="F26" i="394" s="1"/>
  <c r="H41" i="58" l="1"/>
  <c r="D37" i="238"/>
  <c r="D61" i="240" s="1"/>
  <c r="H61" i="240" l="1"/>
  <c r="D12" i="242"/>
  <c r="D44" i="232"/>
  <c r="D54" i="232"/>
  <c r="H54" i="232" s="1"/>
  <c r="D56" i="232"/>
  <c r="H56" i="232" s="1"/>
  <c r="D44" i="237"/>
  <c r="H44" i="237" s="1"/>
  <c r="D55" i="237"/>
  <c r="H55" i="237" s="1"/>
  <c r="D54" i="237"/>
  <c r="H54" i="237" s="1"/>
  <c r="D54" i="233"/>
  <c r="H54" i="233" s="1"/>
  <c r="D80" i="37"/>
  <c r="D56" i="233"/>
  <c r="H56" i="233" s="1"/>
  <c r="D44" i="233"/>
  <c r="H44" i="233" s="1"/>
  <c r="D54" i="236"/>
  <c r="H54" i="236" s="1"/>
  <c r="D56" i="236"/>
  <c r="H56" i="236" s="1"/>
  <c r="D44" i="234"/>
  <c r="H44" i="234" s="1"/>
  <c r="D57" i="234"/>
  <c r="H57" i="234" s="1"/>
  <c r="D56" i="234"/>
  <c r="H56" i="234" s="1"/>
  <c r="D54" i="234"/>
  <c r="H54" i="234" s="1"/>
  <c r="D44" i="236"/>
  <c r="H44" i="236" s="1"/>
  <c r="H44" i="232" l="1"/>
  <c r="D44" i="391"/>
  <c r="D56" i="235"/>
  <c r="H56" i="235" s="1"/>
  <c r="D54" i="235"/>
  <c r="H54" i="235" s="1"/>
  <c r="D22" i="37" l="1"/>
  <c r="H22" i="37" s="1"/>
  <c r="D24" i="37"/>
  <c r="H24" i="37" s="1"/>
  <c r="D57" i="235" l="1"/>
  <c r="H57" i="235" s="1"/>
  <c r="D74" i="239" l="1"/>
  <c r="H74" i="239" s="1"/>
  <c r="D17" i="239" l="1"/>
  <c r="H17" i="239" s="1"/>
  <c r="D16" i="239"/>
  <c r="H16" i="239" s="1"/>
  <c r="D14" i="239"/>
  <c r="H14" i="239" s="1"/>
  <c r="D13" i="239"/>
  <c r="H13" i="239" l="1"/>
  <c r="D11" i="240"/>
  <c r="D15" i="58"/>
  <c r="D32" i="58"/>
  <c r="H32" i="58" l="1"/>
  <c r="F16" i="395"/>
  <c r="H15" i="58"/>
  <c r="F16" i="394"/>
  <c r="D34" i="37"/>
  <c r="H34" i="37" s="1"/>
  <c r="D29" i="58" l="1"/>
  <c r="F13" i="395" s="1"/>
  <c r="F32" i="395" s="1"/>
  <c r="D18" i="58"/>
  <c r="H18" i="58" l="1"/>
  <c r="F19" i="394"/>
  <c r="H29" i="58"/>
  <c r="D24" i="58"/>
  <c r="A19" i="394"/>
  <c r="D13" i="58"/>
  <c r="A18" i="394"/>
  <c r="H24" i="58" l="1"/>
  <c r="F35" i="395"/>
  <c r="F37" i="395" s="1"/>
  <c r="H13" i="58"/>
  <c r="F14" i="394"/>
  <c r="D10" i="58"/>
  <c r="F11" i="394" s="1"/>
  <c r="A18" i="395"/>
  <c r="A17" i="394"/>
  <c r="A62" i="394"/>
  <c r="H10" i="58" l="1"/>
  <c r="D7" i="58"/>
  <c r="H7" i="58" s="1"/>
  <c r="B18" i="395"/>
  <c r="D109" i="239"/>
  <c r="D13" i="37"/>
  <c r="D43" i="58"/>
  <c r="F28" i="394" s="1"/>
  <c r="H43" i="58" l="1"/>
  <c r="D40" i="58"/>
  <c r="H40" i="58" s="1"/>
  <c r="H13" i="37"/>
  <c r="D9" i="37"/>
  <c r="H9" i="37" s="1"/>
  <c r="D43" i="37"/>
  <c r="H43" i="37" s="1"/>
  <c r="D25" i="374" l="1"/>
  <c r="H25" i="374" s="1"/>
  <c r="D61" i="388"/>
  <c r="H61" i="388" s="1"/>
  <c r="D58" i="388"/>
  <c r="H58" i="388" s="1"/>
  <c r="D57" i="388"/>
  <c r="H57" i="388" s="1"/>
  <c r="D56" i="388"/>
  <c r="H56" i="388" s="1"/>
  <c r="D55" i="388"/>
  <c r="H55" i="388" s="1"/>
  <c r="D54" i="388"/>
  <c r="H54" i="388" s="1"/>
  <c r="K62" i="392"/>
  <c r="J62" i="392"/>
  <c r="I62" i="392"/>
  <c r="G62" i="392"/>
  <c r="F62" i="392"/>
  <c r="E62" i="392"/>
  <c r="D62" i="392"/>
  <c r="D38" i="392"/>
  <c r="H38" i="392" s="1"/>
  <c r="D20" i="239"/>
  <c r="D20" i="36"/>
  <c r="C20" i="36"/>
  <c r="D10" i="103"/>
  <c r="G69" i="388"/>
  <c r="F69" i="388"/>
  <c r="D12" i="239" l="1"/>
  <c r="H62" i="392"/>
  <c r="H54" i="238"/>
  <c r="D95" i="37"/>
  <c r="D93" i="37"/>
  <c r="D88" i="37"/>
  <c r="D85" i="37"/>
  <c r="D81" i="37"/>
  <c r="D75" i="37"/>
  <c r="D83" i="37" l="1"/>
  <c r="D60" i="237"/>
  <c r="D92" i="37"/>
  <c r="D84" i="37"/>
  <c r="D60" i="388"/>
  <c r="H60" i="388" s="1"/>
  <c r="C37" i="238"/>
  <c r="C61" i="240" s="1"/>
  <c r="C39" i="391"/>
  <c r="C38" i="392"/>
  <c r="C38" i="391" s="1"/>
  <c r="C62" i="392"/>
  <c r="C38" i="232"/>
  <c r="D97" i="37" l="1"/>
  <c r="D59" i="388"/>
  <c r="C36" i="239"/>
  <c r="H59" i="388" l="1"/>
  <c r="D53" i="388"/>
  <c r="H53" i="388" s="1"/>
  <c r="C105" i="239"/>
  <c r="C103" i="239" s="1"/>
  <c r="C21" i="403"/>
  <c r="C81" i="37" l="1"/>
  <c r="C75" i="37"/>
  <c r="C60" i="237" l="1"/>
  <c r="C83" i="37"/>
  <c r="C60" i="233"/>
  <c r="C20" i="403"/>
  <c r="B20" i="403"/>
  <c r="C41" i="366" l="1"/>
  <c r="C39" i="366"/>
  <c r="C34" i="366"/>
  <c r="C52" i="241" l="1"/>
  <c r="C9" i="37" l="1"/>
  <c r="C24" i="58"/>
  <c r="E35" i="395" s="1"/>
  <c r="E37" i="395" s="1"/>
  <c r="A14" i="395" l="1"/>
  <c r="B14" i="395"/>
  <c r="A16" i="394"/>
  <c r="B11" i="395" l="1"/>
  <c r="B12" i="395"/>
  <c r="B13" i="395"/>
  <c r="B15" i="395"/>
  <c r="B16" i="395"/>
  <c r="B17" i="395"/>
  <c r="A13" i="395"/>
  <c r="A15" i="395"/>
  <c r="B10" i="395"/>
  <c r="A9" i="395"/>
  <c r="A10" i="395"/>
  <c r="A9" i="394"/>
  <c r="C67" i="58"/>
  <c r="A50" i="394"/>
  <c r="C86" i="58"/>
  <c r="C40" i="58"/>
  <c r="C38" i="369"/>
  <c r="C40" i="374"/>
  <c r="C30" i="374"/>
  <c r="C25" i="374"/>
  <c r="C16" i="406" l="1"/>
  <c r="D16" i="406"/>
  <c r="B16" i="406"/>
  <c r="F15" i="406"/>
  <c r="F12" i="406"/>
  <c r="E11" i="406"/>
  <c r="E16" i="406" s="1"/>
  <c r="F11" i="406" l="1"/>
  <c r="F16" i="406" s="1"/>
  <c r="N17" i="405"/>
  <c r="K17" i="405"/>
  <c r="J17" i="405"/>
  <c r="I17" i="405"/>
  <c r="H17" i="405"/>
  <c r="G17" i="405"/>
  <c r="F17" i="405"/>
  <c r="E17" i="405"/>
  <c r="D17" i="405"/>
  <c r="C17" i="405"/>
  <c r="B17" i="405"/>
  <c r="M14" i="405"/>
  <c r="M17" i="405" s="1"/>
  <c r="L17" i="405"/>
  <c r="C27" i="404" l="1"/>
  <c r="C114" i="371" l="1"/>
  <c r="C59" i="237" l="1"/>
  <c r="C53" i="237" s="1"/>
  <c r="A15" i="394" l="1"/>
  <c r="A61" i="394"/>
  <c r="A59" i="394"/>
  <c r="C101" i="58" l="1"/>
  <c r="E59" i="394" s="1"/>
  <c r="C97" i="58" l="1"/>
  <c r="C8" i="58"/>
  <c r="E9" i="394" s="1"/>
  <c r="E66" i="394" s="1"/>
  <c r="C7" i="58" l="1"/>
  <c r="C20" i="239"/>
  <c r="C12" i="239" s="1"/>
  <c r="C44" i="239"/>
  <c r="C88" i="37" l="1"/>
  <c r="C116" i="239"/>
  <c r="C65" i="239" l="1"/>
  <c r="C10" i="103" l="1"/>
  <c r="C58" i="37" l="1"/>
  <c r="C22" i="103"/>
  <c r="C95" i="239" s="1"/>
  <c r="C61" i="58" l="1"/>
  <c r="K97" i="58" l="1"/>
  <c r="I97" i="58"/>
  <c r="G97" i="58"/>
  <c r="H135" i="372" l="1"/>
  <c r="H135" i="371"/>
  <c r="K45" i="374"/>
  <c r="K79" i="366" s="1"/>
  <c r="J45" i="374"/>
  <c r="J79" i="366" s="1"/>
  <c r="I45" i="374"/>
  <c r="I79" i="366" s="1"/>
  <c r="G45" i="374"/>
  <c r="G79" i="366" s="1"/>
  <c r="F45" i="374"/>
  <c r="F79" i="366" s="1"/>
  <c r="E45" i="374"/>
  <c r="D45" i="374"/>
  <c r="K44" i="374"/>
  <c r="J44" i="374"/>
  <c r="J78" i="366" s="1"/>
  <c r="I44" i="374"/>
  <c r="I78" i="366" s="1"/>
  <c r="G44" i="374"/>
  <c r="G78" i="366" s="1"/>
  <c r="F44" i="374"/>
  <c r="F78" i="366" s="1"/>
  <c r="E44" i="374"/>
  <c r="D44" i="374"/>
  <c r="K41" i="374"/>
  <c r="K40" i="374" s="1"/>
  <c r="J41" i="374"/>
  <c r="J40" i="374" s="1"/>
  <c r="J66" i="366" s="1"/>
  <c r="I41" i="374"/>
  <c r="I40" i="374" s="1"/>
  <c r="I66" i="366" s="1"/>
  <c r="G41" i="374"/>
  <c r="G40" i="374" s="1"/>
  <c r="G66" i="366" s="1"/>
  <c r="F41" i="374"/>
  <c r="F40" i="374" s="1"/>
  <c r="F66" i="366" s="1"/>
  <c r="E41" i="374"/>
  <c r="D41" i="374"/>
  <c r="K39" i="374"/>
  <c r="K65" i="366" s="1"/>
  <c r="J39" i="374"/>
  <c r="J65" i="366" s="1"/>
  <c r="I39" i="374"/>
  <c r="G39" i="374"/>
  <c r="G65" i="366" s="1"/>
  <c r="F39" i="374"/>
  <c r="F65" i="366" s="1"/>
  <c r="E39" i="374"/>
  <c r="D39" i="374"/>
  <c r="K37" i="374"/>
  <c r="K63" i="366" s="1"/>
  <c r="J37" i="374"/>
  <c r="J63" i="366" s="1"/>
  <c r="I37" i="374"/>
  <c r="I63" i="366" s="1"/>
  <c r="G37" i="374"/>
  <c r="F37" i="374"/>
  <c r="F63" i="366" s="1"/>
  <c r="E37" i="374"/>
  <c r="D37" i="374"/>
  <c r="D63" i="366" s="1"/>
  <c r="K36" i="374"/>
  <c r="J36" i="374"/>
  <c r="J62" i="366" s="1"/>
  <c r="I36" i="374"/>
  <c r="I62" i="366" s="1"/>
  <c r="G36" i="374"/>
  <c r="G62" i="366" s="1"/>
  <c r="F36" i="374"/>
  <c r="E36" i="374"/>
  <c r="D36" i="374"/>
  <c r="D62" i="366" s="1"/>
  <c r="K35" i="374"/>
  <c r="K57" i="366" s="1"/>
  <c r="J35" i="374"/>
  <c r="I35" i="374"/>
  <c r="I57" i="366" s="1"/>
  <c r="G35" i="374"/>
  <c r="G57" i="366" s="1"/>
  <c r="F35" i="374"/>
  <c r="F57" i="366" s="1"/>
  <c r="E35" i="374"/>
  <c r="D35" i="374"/>
  <c r="D57" i="366" s="1"/>
  <c r="K34" i="374"/>
  <c r="K56" i="366" s="1"/>
  <c r="J34" i="374"/>
  <c r="J56" i="366" s="1"/>
  <c r="I34" i="374"/>
  <c r="G34" i="374"/>
  <c r="G56" i="366" s="1"/>
  <c r="F34" i="374"/>
  <c r="F56" i="366" s="1"/>
  <c r="E34" i="374"/>
  <c r="D34" i="374"/>
  <c r="K33" i="374"/>
  <c r="K55" i="366" s="1"/>
  <c r="J33" i="374"/>
  <c r="J55" i="366" s="1"/>
  <c r="I33" i="374"/>
  <c r="I55" i="366" s="1"/>
  <c r="G33" i="374"/>
  <c r="F33" i="374"/>
  <c r="F55" i="366" s="1"/>
  <c r="E33" i="374"/>
  <c r="D33" i="374"/>
  <c r="D55" i="366" s="1"/>
  <c r="K31" i="374"/>
  <c r="K30" i="374" s="1"/>
  <c r="J31" i="374"/>
  <c r="J30" i="374" s="1"/>
  <c r="J30" i="366" s="1"/>
  <c r="I31" i="374"/>
  <c r="I30" i="374" s="1"/>
  <c r="I30" i="366" s="1"/>
  <c r="G31" i="374"/>
  <c r="G30" i="374" s="1"/>
  <c r="G30" i="366" s="1"/>
  <c r="F31" i="374"/>
  <c r="F30" i="374" s="1"/>
  <c r="E31" i="374"/>
  <c r="D31" i="374"/>
  <c r="K29" i="374"/>
  <c r="K28" i="374" s="1"/>
  <c r="J29" i="374"/>
  <c r="I29" i="374"/>
  <c r="G29" i="374"/>
  <c r="F29" i="374"/>
  <c r="E29" i="374"/>
  <c r="D29" i="374"/>
  <c r="K27" i="374"/>
  <c r="J27" i="374"/>
  <c r="I27" i="374"/>
  <c r="G27" i="374"/>
  <c r="F27" i="374"/>
  <c r="E27" i="374"/>
  <c r="H27" i="374" s="1"/>
  <c r="D27" i="374"/>
  <c r="K26" i="374"/>
  <c r="K25" i="374" s="1"/>
  <c r="K24" i="366" s="1"/>
  <c r="J26" i="374"/>
  <c r="J25" i="374" s="1"/>
  <c r="J24" i="366" s="1"/>
  <c r="I26" i="374"/>
  <c r="I25" i="374" s="1"/>
  <c r="I24" i="366" s="1"/>
  <c r="G26" i="374"/>
  <c r="G25" i="374" s="1"/>
  <c r="G24" i="366" s="1"/>
  <c r="F26" i="374"/>
  <c r="F25" i="366" s="1"/>
  <c r="E26" i="374"/>
  <c r="D26" i="374"/>
  <c r="K24" i="374"/>
  <c r="J24" i="374"/>
  <c r="I24" i="374"/>
  <c r="G24" i="374"/>
  <c r="F24" i="374"/>
  <c r="E24" i="374"/>
  <c r="D24" i="374"/>
  <c r="K23" i="374"/>
  <c r="J23" i="374"/>
  <c r="I23" i="374"/>
  <c r="G23" i="374"/>
  <c r="F23" i="374"/>
  <c r="E23" i="374"/>
  <c r="D23" i="374"/>
  <c r="K21" i="374"/>
  <c r="K53" i="366" s="1"/>
  <c r="J21" i="374"/>
  <c r="J53" i="366" s="1"/>
  <c r="I21" i="374"/>
  <c r="I53" i="366" s="1"/>
  <c r="G21" i="374"/>
  <c r="G53" i="366" s="1"/>
  <c r="F21" i="374"/>
  <c r="F53" i="366" s="1"/>
  <c r="E21" i="374"/>
  <c r="D21" i="374"/>
  <c r="K20" i="374"/>
  <c r="K52" i="366" s="1"/>
  <c r="J20" i="374"/>
  <c r="J52" i="366" s="1"/>
  <c r="I20" i="374"/>
  <c r="I52" i="366" s="1"/>
  <c r="G20" i="374"/>
  <c r="F20" i="374"/>
  <c r="F52" i="366" s="1"/>
  <c r="E20" i="374"/>
  <c r="D20" i="374"/>
  <c r="K19" i="374"/>
  <c r="K51" i="366" s="1"/>
  <c r="J19" i="374"/>
  <c r="J51" i="366" s="1"/>
  <c r="I19" i="374"/>
  <c r="I51" i="366" s="1"/>
  <c r="G19" i="374"/>
  <c r="G51" i="366" s="1"/>
  <c r="F19" i="374"/>
  <c r="E19" i="374"/>
  <c r="D19" i="374"/>
  <c r="K18" i="374"/>
  <c r="K50" i="366" s="1"/>
  <c r="J18" i="374"/>
  <c r="J50" i="366" s="1"/>
  <c r="I18" i="374"/>
  <c r="I50" i="366" s="1"/>
  <c r="G18" i="374"/>
  <c r="G50" i="366" s="1"/>
  <c r="F18" i="374"/>
  <c r="F50" i="366" s="1"/>
  <c r="E18" i="374"/>
  <c r="D18" i="374"/>
  <c r="K17" i="374"/>
  <c r="K49" i="366" s="1"/>
  <c r="J17" i="374"/>
  <c r="J49" i="366" s="1"/>
  <c r="I17" i="374"/>
  <c r="G17" i="374"/>
  <c r="G49" i="366" s="1"/>
  <c r="F17" i="374"/>
  <c r="F49" i="366" s="1"/>
  <c r="E17" i="374"/>
  <c r="D17" i="374"/>
  <c r="K16" i="374"/>
  <c r="K48" i="366" s="1"/>
  <c r="J16" i="374"/>
  <c r="J48" i="366" s="1"/>
  <c r="I16" i="374"/>
  <c r="I48" i="366" s="1"/>
  <c r="G16" i="374"/>
  <c r="G48" i="366" s="1"/>
  <c r="F16" i="374"/>
  <c r="F48" i="366" s="1"/>
  <c r="E16" i="374"/>
  <c r="D16" i="374"/>
  <c r="K15" i="374"/>
  <c r="J15" i="374"/>
  <c r="J47" i="366" s="1"/>
  <c r="I15" i="374"/>
  <c r="I47" i="366" s="1"/>
  <c r="G15" i="374"/>
  <c r="G47" i="366" s="1"/>
  <c r="F15" i="374"/>
  <c r="F47" i="366" s="1"/>
  <c r="E15" i="374"/>
  <c r="D15" i="374"/>
  <c r="K14" i="374"/>
  <c r="K46" i="366" s="1"/>
  <c r="J14" i="374"/>
  <c r="I14" i="374"/>
  <c r="I46" i="366" s="1"/>
  <c r="G14" i="374"/>
  <c r="G46" i="366" s="1"/>
  <c r="F14" i="374"/>
  <c r="F46" i="366" s="1"/>
  <c r="E14" i="374"/>
  <c r="D14" i="374"/>
  <c r="K13" i="374"/>
  <c r="K45" i="366" s="1"/>
  <c r="J13" i="374"/>
  <c r="J45" i="366" s="1"/>
  <c r="I13" i="374"/>
  <c r="I45" i="366" s="1"/>
  <c r="G13" i="374"/>
  <c r="G45" i="366" s="1"/>
  <c r="F13" i="374"/>
  <c r="F45" i="366" s="1"/>
  <c r="E13" i="374"/>
  <c r="D13" i="374"/>
  <c r="K12" i="374"/>
  <c r="K44" i="366" s="1"/>
  <c r="J12" i="374"/>
  <c r="J44" i="366" s="1"/>
  <c r="I12" i="374"/>
  <c r="I44" i="366" s="1"/>
  <c r="G12" i="374"/>
  <c r="F12" i="374"/>
  <c r="F44" i="366" s="1"/>
  <c r="E12" i="374"/>
  <c r="D12" i="374"/>
  <c r="K11" i="374"/>
  <c r="K43" i="366" s="1"/>
  <c r="J11" i="374"/>
  <c r="J43" i="366" s="1"/>
  <c r="I11" i="374"/>
  <c r="I43" i="366" s="1"/>
  <c r="G11" i="374"/>
  <c r="G43" i="366" s="1"/>
  <c r="F11" i="374"/>
  <c r="E11" i="374"/>
  <c r="D11" i="374"/>
  <c r="C37" i="374"/>
  <c r="C27" i="374"/>
  <c r="K121" i="372"/>
  <c r="J121" i="372"/>
  <c r="I121" i="372"/>
  <c r="G121" i="372"/>
  <c r="F121" i="372"/>
  <c r="E121" i="372"/>
  <c r="H121" i="372" s="1"/>
  <c r="D121" i="372"/>
  <c r="K117" i="372"/>
  <c r="J117" i="372"/>
  <c r="I117" i="372"/>
  <c r="G117" i="372"/>
  <c r="F117" i="372"/>
  <c r="E117" i="372"/>
  <c r="D117" i="372"/>
  <c r="K111" i="372"/>
  <c r="K106" i="372" s="1"/>
  <c r="J111" i="372"/>
  <c r="J106" i="372" s="1"/>
  <c r="I111" i="372"/>
  <c r="I106" i="372" s="1"/>
  <c r="G111" i="372"/>
  <c r="G106" i="372" s="1"/>
  <c r="F111" i="372"/>
  <c r="F106" i="372" s="1"/>
  <c r="E111" i="372"/>
  <c r="D111" i="372"/>
  <c r="D106" i="372" s="1"/>
  <c r="K103" i="372"/>
  <c r="K101" i="372" s="1"/>
  <c r="J103" i="372"/>
  <c r="J101" i="372" s="1"/>
  <c r="I103" i="372"/>
  <c r="I101" i="372" s="1"/>
  <c r="G103" i="372"/>
  <c r="G101" i="372" s="1"/>
  <c r="G94" i="372" s="1"/>
  <c r="G88" i="372" s="1"/>
  <c r="F103" i="372"/>
  <c r="F101" i="372" s="1"/>
  <c r="E103" i="372"/>
  <c r="D103" i="372"/>
  <c r="D101" i="372" s="1"/>
  <c r="C121" i="372"/>
  <c r="C117" i="372"/>
  <c r="C111" i="372"/>
  <c r="K79" i="372"/>
  <c r="J79" i="372"/>
  <c r="I79" i="372"/>
  <c r="G79" i="372"/>
  <c r="F79" i="372"/>
  <c r="E79" i="372"/>
  <c r="D79" i="372"/>
  <c r="K76" i="372"/>
  <c r="J76" i="372"/>
  <c r="I76" i="372"/>
  <c r="G76" i="372"/>
  <c r="F76" i="372"/>
  <c r="E76" i="372"/>
  <c r="D76" i="372"/>
  <c r="K72" i="372"/>
  <c r="J72" i="372"/>
  <c r="I72" i="372"/>
  <c r="G72" i="372"/>
  <c r="F72" i="372"/>
  <c r="E72" i="372"/>
  <c r="D72" i="372"/>
  <c r="K68" i="372"/>
  <c r="J68" i="372"/>
  <c r="I68" i="372"/>
  <c r="G68" i="372"/>
  <c r="F68" i="372"/>
  <c r="E68" i="372"/>
  <c r="H68" i="372" s="1"/>
  <c r="D68" i="372"/>
  <c r="K63" i="372"/>
  <c r="J63" i="372"/>
  <c r="I63" i="372"/>
  <c r="G63" i="372"/>
  <c r="F63" i="372"/>
  <c r="E63" i="372"/>
  <c r="D63" i="372"/>
  <c r="K59" i="372"/>
  <c r="J59" i="372"/>
  <c r="I59" i="372"/>
  <c r="G59" i="372"/>
  <c r="F59" i="372"/>
  <c r="E59" i="372"/>
  <c r="D59" i="372"/>
  <c r="K53" i="372"/>
  <c r="J53" i="372"/>
  <c r="I53" i="372"/>
  <c r="G53" i="372"/>
  <c r="F53" i="372"/>
  <c r="E53" i="372"/>
  <c r="H53" i="372" s="1"/>
  <c r="D53" i="372"/>
  <c r="K41" i="372"/>
  <c r="J41" i="372"/>
  <c r="I41" i="372"/>
  <c r="G41" i="372"/>
  <c r="F41" i="372"/>
  <c r="E41" i="372"/>
  <c r="H41" i="372" s="1"/>
  <c r="D41" i="372"/>
  <c r="K37" i="372"/>
  <c r="J37" i="372"/>
  <c r="I37" i="372"/>
  <c r="G37" i="372"/>
  <c r="F37" i="372"/>
  <c r="E37" i="372"/>
  <c r="D37" i="372"/>
  <c r="K34" i="372"/>
  <c r="J34" i="372"/>
  <c r="I34" i="372"/>
  <c r="G34" i="372"/>
  <c r="F34" i="372"/>
  <c r="E34" i="372"/>
  <c r="D34" i="372"/>
  <c r="K32" i="372"/>
  <c r="J32" i="372"/>
  <c r="I32" i="372"/>
  <c r="G32" i="372"/>
  <c r="F32" i="372"/>
  <c r="E32" i="372"/>
  <c r="H32" i="372" s="1"/>
  <c r="D32" i="372"/>
  <c r="K25" i="372"/>
  <c r="J25" i="372"/>
  <c r="I25" i="372"/>
  <c r="G25" i="372"/>
  <c r="F25" i="372"/>
  <c r="E25" i="372"/>
  <c r="H25" i="372" s="1"/>
  <c r="D25" i="372"/>
  <c r="K19" i="372"/>
  <c r="K11" i="372" s="1"/>
  <c r="J19" i="372"/>
  <c r="J11" i="372" s="1"/>
  <c r="I19" i="372"/>
  <c r="I11" i="372" s="1"/>
  <c r="G19" i="372"/>
  <c r="G11" i="372" s="1"/>
  <c r="F19" i="372"/>
  <c r="F11" i="372" s="1"/>
  <c r="E19" i="372"/>
  <c r="D19" i="372"/>
  <c r="C63" i="372"/>
  <c r="C59" i="372"/>
  <c r="C53" i="372"/>
  <c r="C41" i="372"/>
  <c r="C25" i="372"/>
  <c r="C19" i="372"/>
  <c r="C11" i="372" s="1"/>
  <c r="K121" i="371"/>
  <c r="J121" i="371"/>
  <c r="I121" i="371"/>
  <c r="G121" i="371"/>
  <c r="F121" i="371"/>
  <c r="E121" i="371"/>
  <c r="H121" i="371" s="1"/>
  <c r="D121" i="371"/>
  <c r="K117" i="371"/>
  <c r="J117" i="371"/>
  <c r="I117" i="371"/>
  <c r="G117" i="371"/>
  <c r="F117" i="371"/>
  <c r="E117" i="371"/>
  <c r="D117" i="371"/>
  <c r="K111" i="371"/>
  <c r="K106" i="371" s="1"/>
  <c r="J111" i="371"/>
  <c r="J106" i="371" s="1"/>
  <c r="I111" i="371"/>
  <c r="I106" i="371" s="1"/>
  <c r="G111" i="371"/>
  <c r="G106" i="371" s="1"/>
  <c r="F111" i="371"/>
  <c r="F106" i="371" s="1"/>
  <c r="E111" i="371"/>
  <c r="D111" i="371"/>
  <c r="D106" i="371" s="1"/>
  <c r="K103" i="371"/>
  <c r="K101" i="371" s="1"/>
  <c r="K94" i="371" s="1"/>
  <c r="K88" i="371" s="1"/>
  <c r="J103" i="371"/>
  <c r="J101" i="371" s="1"/>
  <c r="J94" i="371" s="1"/>
  <c r="J88" i="371" s="1"/>
  <c r="I103" i="371"/>
  <c r="I101" i="371" s="1"/>
  <c r="I94" i="371" s="1"/>
  <c r="I88" i="371" s="1"/>
  <c r="G103" i="371"/>
  <c r="G101" i="371" s="1"/>
  <c r="F103" i="371"/>
  <c r="F101" i="371" s="1"/>
  <c r="E103" i="371"/>
  <c r="D103" i="371"/>
  <c r="C121" i="371"/>
  <c r="C117" i="371"/>
  <c r="C111" i="371"/>
  <c r="C106" i="371" s="1"/>
  <c r="K79" i="371"/>
  <c r="J79" i="371"/>
  <c r="I79" i="371"/>
  <c r="G79" i="371"/>
  <c r="F79" i="371"/>
  <c r="E79" i="371"/>
  <c r="D79" i="371"/>
  <c r="K76" i="371"/>
  <c r="J76" i="371"/>
  <c r="I76" i="371"/>
  <c r="G76" i="371"/>
  <c r="F76" i="371"/>
  <c r="E76" i="371"/>
  <c r="D76" i="371"/>
  <c r="K72" i="371"/>
  <c r="J72" i="371"/>
  <c r="I72" i="371"/>
  <c r="G72" i="371"/>
  <c r="F72" i="371"/>
  <c r="E72" i="371"/>
  <c r="H72" i="371" s="1"/>
  <c r="D72" i="371"/>
  <c r="K68" i="371"/>
  <c r="J68" i="371"/>
  <c r="I68" i="371"/>
  <c r="G68" i="371"/>
  <c r="F68" i="371"/>
  <c r="E68" i="371"/>
  <c r="H68" i="371" s="1"/>
  <c r="D68" i="371"/>
  <c r="K63" i="371"/>
  <c r="J63" i="371"/>
  <c r="I63" i="371"/>
  <c r="G63" i="371"/>
  <c r="F63" i="371"/>
  <c r="E63" i="371"/>
  <c r="D63" i="371"/>
  <c r="K59" i="371"/>
  <c r="J59" i="371"/>
  <c r="I59" i="371"/>
  <c r="G59" i="371"/>
  <c r="F59" i="371"/>
  <c r="E59" i="371"/>
  <c r="D59" i="371"/>
  <c r="K53" i="371"/>
  <c r="J53" i="371"/>
  <c r="I53" i="371"/>
  <c r="G53" i="371"/>
  <c r="F53" i="371"/>
  <c r="E53" i="371"/>
  <c r="H53" i="371" s="1"/>
  <c r="D53" i="371"/>
  <c r="K41" i="371"/>
  <c r="J41" i="371"/>
  <c r="I41" i="371"/>
  <c r="G41" i="371"/>
  <c r="F41" i="371"/>
  <c r="E41" i="371"/>
  <c r="H41" i="371" s="1"/>
  <c r="D41" i="371"/>
  <c r="K37" i="371"/>
  <c r="J37" i="371"/>
  <c r="I37" i="371"/>
  <c r="G37" i="371"/>
  <c r="F37" i="371"/>
  <c r="E37" i="371"/>
  <c r="D37" i="371"/>
  <c r="K34" i="371"/>
  <c r="J34" i="371"/>
  <c r="I34" i="371"/>
  <c r="G34" i="371"/>
  <c r="F34" i="371"/>
  <c r="E34" i="371"/>
  <c r="D34" i="371"/>
  <c r="K32" i="371"/>
  <c r="J32" i="371"/>
  <c r="I32" i="371"/>
  <c r="G32" i="371"/>
  <c r="F32" i="371"/>
  <c r="E32" i="371"/>
  <c r="D32" i="371"/>
  <c r="K25" i="371"/>
  <c r="J25" i="371"/>
  <c r="I25" i="371"/>
  <c r="G25" i="371"/>
  <c r="F25" i="371"/>
  <c r="E25" i="371"/>
  <c r="H25" i="371" s="1"/>
  <c r="D25" i="371"/>
  <c r="K19" i="371"/>
  <c r="K19" i="366" s="1"/>
  <c r="J19" i="371"/>
  <c r="J11" i="371" s="1"/>
  <c r="I19" i="371"/>
  <c r="I11" i="371" s="1"/>
  <c r="G19" i="371"/>
  <c r="G11" i="371" s="1"/>
  <c r="F19" i="371"/>
  <c r="F17" i="370" s="1"/>
  <c r="E19" i="371"/>
  <c r="D19" i="371"/>
  <c r="C79" i="371"/>
  <c r="C76" i="371"/>
  <c r="C72" i="371"/>
  <c r="C68" i="371"/>
  <c r="C63" i="371"/>
  <c r="C59" i="371"/>
  <c r="C53" i="371"/>
  <c r="C41" i="371"/>
  <c r="C25" i="371"/>
  <c r="C19" i="371"/>
  <c r="C11" i="371" s="1"/>
  <c r="K134" i="370"/>
  <c r="J134" i="370"/>
  <c r="I134" i="370"/>
  <c r="G134" i="370"/>
  <c r="F134" i="370"/>
  <c r="E134" i="370"/>
  <c r="D134" i="370"/>
  <c r="K133" i="370"/>
  <c r="J133" i="370"/>
  <c r="I133" i="370"/>
  <c r="G133" i="370"/>
  <c r="F133" i="370"/>
  <c r="D133" i="370"/>
  <c r="H133" i="370" s="1"/>
  <c r="K129" i="370"/>
  <c r="J129" i="370"/>
  <c r="I129" i="370"/>
  <c r="G129" i="370"/>
  <c r="F129" i="370"/>
  <c r="D129" i="370"/>
  <c r="H129" i="370" s="1"/>
  <c r="K128" i="370"/>
  <c r="J128" i="370"/>
  <c r="I128" i="370"/>
  <c r="G128" i="370"/>
  <c r="F128" i="370"/>
  <c r="D128" i="370"/>
  <c r="H128" i="370" s="1"/>
  <c r="K127" i="370"/>
  <c r="J127" i="370"/>
  <c r="I127" i="370"/>
  <c r="G127" i="370"/>
  <c r="F127" i="370"/>
  <c r="D127" i="370"/>
  <c r="H127" i="370" s="1"/>
  <c r="K123" i="370"/>
  <c r="J123" i="370"/>
  <c r="I123" i="370"/>
  <c r="G123" i="370"/>
  <c r="F123" i="370"/>
  <c r="D123" i="370"/>
  <c r="H123" i="370" s="1"/>
  <c r="K122" i="370"/>
  <c r="J122" i="370"/>
  <c r="I122" i="370"/>
  <c r="G122" i="370"/>
  <c r="F122" i="370"/>
  <c r="D122" i="370"/>
  <c r="H122" i="370" s="1"/>
  <c r="K121" i="370"/>
  <c r="J121" i="370"/>
  <c r="I121" i="370"/>
  <c r="G121" i="370"/>
  <c r="F121" i="370"/>
  <c r="D121" i="370"/>
  <c r="H121" i="370" s="1"/>
  <c r="K119" i="370"/>
  <c r="J119" i="370"/>
  <c r="I119" i="370"/>
  <c r="G119" i="370"/>
  <c r="F119" i="370"/>
  <c r="D119" i="370"/>
  <c r="H119" i="370" s="1"/>
  <c r="K118" i="370"/>
  <c r="J118" i="370"/>
  <c r="I118" i="370"/>
  <c r="G118" i="370"/>
  <c r="F118" i="370"/>
  <c r="D118" i="370"/>
  <c r="H118" i="370" s="1"/>
  <c r="K117" i="370"/>
  <c r="J117" i="370"/>
  <c r="I117" i="370"/>
  <c r="G117" i="370"/>
  <c r="F117" i="370"/>
  <c r="D117" i="370"/>
  <c r="H117" i="370" s="1"/>
  <c r="K113" i="370"/>
  <c r="J113" i="370"/>
  <c r="I113" i="370"/>
  <c r="G113" i="370"/>
  <c r="F113" i="370"/>
  <c r="D113" i="370"/>
  <c r="H113" i="370" s="1"/>
  <c r="K111" i="370"/>
  <c r="J111" i="370"/>
  <c r="I111" i="370"/>
  <c r="G111" i="370"/>
  <c r="F111" i="370"/>
  <c r="D111" i="370"/>
  <c r="H111" i="370" s="1"/>
  <c r="K109" i="370"/>
  <c r="J109" i="370"/>
  <c r="I109" i="370"/>
  <c r="G109" i="370"/>
  <c r="F109" i="370"/>
  <c r="D109" i="370"/>
  <c r="H109" i="370" s="1"/>
  <c r="K107" i="370"/>
  <c r="J107" i="370"/>
  <c r="I107" i="370"/>
  <c r="G107" i="370"/>
  <c r="F107" i="370"/>
  <c r="D107" i="370"/>
  <c r="H107" i="370" s="1"/>
  <c r="K104" i="370"/>
  <c r="J104" i="370"/>
  <c r="I104" i="370"/>
  <c r="G104" i="370"/>
  <c r="F104" i="370"/>
  <c r="D104" i="370"/>
  <c r="H104" i="370" s="1"/>
  <c r="G103" i="370"/>
  <c r="F103" i="370"/>
  <c r="F102" i="370" s="1"/>
  <c r="D103" i="370"/>
  <c r="H103" i="370" s="1"/>
  <c r="G101" i="370"/>
  <c r="F101" i="370"/>
  <c r="D101" i="370"/>
  <c r="H101" i="370" s="1"/>
  <c r="K98" i="370"/>
  <c r="J98" i="370"/>
  <c r="I98" i="370"/>
  <c r="G98" i="370"/>
  <c r="F98" i="370"/>
  <c r="D98" i="370"/>
  <c r="H98" i="370" s="1"/>
  <c r="K96" i="370"/>
  <c r="J96" i="370"/>
  <c r="I96" i="370"/>
  <c r="G96" i="370"/>
  <c r="F96" i="370"/>
  <c r="D96" i="370"/>
  <c r="H96" i="370" s="1"/>
  <c r="K95" i="370"/>
  <c r="J95" i="370"/>
  <c r="I95" i="370"/>
  <c r="G95" i="370"/>
  <c r="F95" i="370"/>
  <c r="D95" i="370"/>
  <c r="H95" i="370" s="1"/>
  <c r="K94" i="370"/>
  <c r="J94" i="370"/>
  <c r="I94" i="370"/>
  <c r="G94" i="370"/>
  <c r="F94" i="370"/>
  <c r="D94" i="370"/>
  <c r="H94" i="370" s="1"/>
  <c r="K90" i="370"/>
  <c r="J90" i="370"/>
  <c r="I90" i="370"/>
  <c r="G90" i="370"/>
  <c r="F90" i="370"/>
  <c r="D90" i="370"/>
  <c r="H90" i="370" s="1"/>
  <c r="K89" i="370"/>
  <c r="J89" i="370"/>
  <c r="I89" i="370"/>
  <c r="G89" i="370"/>
  <c r="F89" i="370"/>
  <c r="D89" i="370"/>
  <c r="H89" i="370" s="1"/>
  <c r="K88" i="370"/>
  <c r="J88" i="370"/>
  <c r="I88" i="370"/>
  <c r="G88" i="370"/>
  <c r="F88" i="370"/>
  <c r="D88" i="370"/>
  <c r="H88" i="370" s="1"/>
  <c r="K81" i="370"/>
  <c r="J81" i="370"/>
  <c r="I81" i="370"/>
  <c r="G81" i="370"/>
  <c r="F81" i="370"/>
  <c r="D81" i="370"/>
  <c r="H81" i="370" s="1"/>
  <c r="K80" i="370"/>
  <c r="J80" i="370"/>
  <c r="I80" i="370"/>
  <c r="G80" i="370"/>
  <c r="F80" i="370"/>
  <c r="D80" i="370"/>
  <c r="H80" i="370" s="1"/>
  <c r="K79" i="370"/>
  <c r="J79" i="370"/>
  <c r="I79" i="370"/>
  <c r="G79" i="370"/>
  <c r="F79" i="370"/>
  <c r="D79" i="370"/>
  <c r="H79" i="370" s="1"/>
  <c r="K77" i="370"/>
  <c r="J77" i="370"/>
  <c r="I77" i="370"/>
  <c r="G77" i="370"/>
  <c r="F77" i="370"/>
  <c r="D77" i="370"/>
  <c r="H77" i="370" s="1"/>
  <c r="K76" i="370"/>
  <c r="J76" i="370"/>
  <c r="I76" i="370"/>
  <c r="G76" i="370"/>
  <c r="F76" i="370"/>
  <c r="D76" i="370"/>
  <c r="H76" i="370" s="1"/>
  <c r="K74" i="370"/>
  <c r="J74" i="370"/>
  <c r="I74" i="370"/>
  <c r="G74" i="370"/>
  <c r="F74" i="370"/>
  <c r="D74" i="370"/>
  <c r="H74" i="370" s="1"/>
  <c r="K73" i="370"/>
  <c r="J73" i="370"/>
  <c r="I73" i="370"/>
  <c r="G73" i="370"/>
  <c r="F73" i="370"/>
  <c r="D73" i="370"/>
  <c r="H73" i="370" s="1"/>
  <c r="K72" i="370"/>
  <c r="J72" i="370"/>
  <c r="I72" i="370"/>
  <c r="G72" i="370"/>
  <c r="F72" i="370"/>
  <c r="D72" i="370"/>
  <c r="H72" i="370" s="1"/>
  <c r="K70" i="370"/>
  <c r="J70" i="370"/>
  <c r="I70" i="370"/>
  <c r="G70" i="370"/>
  <c r="F70" i="370"/>
  <c r="D70" i="370"/>
  <c r="H70" i="370" s="1"/>
  <c r="K69" i="370"/>
  <c r="J69" i="370"/>
  <c r="I69" i="370"/>
  <c r="G69" i="370"/>
  <c r="F69" i="370"/>
  <c r="D69" i="370"/>
  <c r="H69" i="370" s="1"/>
  <c r="K68" i="370"/>
  <c r="J68" i="370"/>
  <c r="I68" i="370"/>
  <c r="G68" i="370"/>
  <c r="F68" i="370"/>
  <c r="D68" i="370"/>
  <c r="H68" i="370" s="1"/>
  <c r="K65" i="370"/>
  <c r="J65" i="370"/>
  <c r="I65" i="370"/>
  <c r="G65" i="370"/>
  <c r="F65" i="370"/>
  <c r="D65" i="370"/>
  <c r="H65" i="370" s="1"/>
  <c r="K64" i="370"/>
  <c r="J64" i="370"/>
  <c r="I64" i="370"/>
  <c r="G64" i="370"/>
  <c r="F64" i="370"/>
  <c r="D64" i="370"/>
  <c r="H64" i="370" s="1"/>
  <c r="K63" i="370"/>
  <c r="J63" i="370"/>
  <c r="I63" i="370"/>
  <c r="G63" i="370"/>
  <c r="F63" i="370"/>
  <c r="D63" i="370"/>
  <c r="H63" i="370" s="1"/>
  <c r="K61" i="370"/>
  <c r="J61" i="370"/>
  <c r="I61" i="370"/>
  <c r="G61" i="370"/>
  <c r="F61" i="370"/>
  <c r="D61" i="370"/>
  <c r="H61" i="370" s="1"/>
  <c r="K60" i="370"/>
  <c r="J60" i="370"/>
  <c r="I60" i="370"/>
  <c r="G60" i="370"/>
  <c r="F60" i="370"/>
  <c r="D60" i="370"/>
  <c r="H60" i="370" s="1"/>
  <c r="K59" i="370"/>
  <c r="J59" i="370"/>
  <c r="I59" i="370"/>
  <c r="G59" i="370"/>
  <c r="F59" i="370"/>
  <c r="D59" i="370"/>
  <c r="H59" i="370" s="1"/>
  <c r="K57" i="370"/>
  <c r="J57" i="370"/>
  <c r="I57" i="370"/>
  <c r="G57" i="370"/>
  <c r="F57" i="370"/>
  <c r="D57" i="370"/>
  <c r="H57" i="370" s="1"/>
  <c r="K56" i="370"/>
  <c r="J56" i="370"/>
  <c r="I56" i="370"/>
  <c r="G56" i="370"/>
  <c r="F56" i="370"/>
  <c r="D56" i="370"/>
  <c r="H56" i="370" s="1"/>
  <c r="K55" i="370"/>
  <c r="J55" i="370"/>
  <c r="I55" i="370"/>
  <c r="G55" i="370"/>
  <c r="F55" i="370"/>
  <c r="D55" i="370"/>
  <c r="H55" i="370" s="1"/>
  <c r="K54" i="370"/>
  <c r="J54" i="370"/>
  <c r="I54" i="370"/>
  <c r="G54" i="370"/>
  <c r="F54" i="370"/>
  <c r="D54" i="370"/>
  <c r="H54" i="370" s="1"/>
  <c r="K53" i="370"/>
  <c r="J53" i="370"/>
  <c r="I53" i="370"/>
  <c r="G53" i="370"/>
  <c r="F53" i="370"/>
  <c r="D53" i="370"/>
  <c r="H53" i="370" s="1"/>
  <c r="K51" i="370"/>
  <c r="J51" i="370"/>
  <c r="I51" i="370"/>
  <c r="G51" i="370"/>
  <c r="F51" i="370"/>
  <c r="D51" i="370"/>
  <c r="H51" i="370" s="1"/>
  <c r="K50" i="370"/>
  <c r="J50" i="370"/>
  <c r="I50" i="370"/>
  <c r="G50" i="370"/>
  <c r="F50" i="370"/>
  <c r="D50" i="370"/>
  <c r="H50" i="370" s="1"/>
  <c r="K49" i="370"/>
  <c r="J49" i="370"/>
  <c r="I49" i="370"/>
  <c r="G49" i="370"/>
  <c r="F49" i="370"/>
  <c r="D49" i="370"/>
  <c r="H49" i="370" s="1"/>
  <c r="K48" i="370"/>
  <c r="J48" i="370"/>
  <c r="I48" i="370"/>
  <c r="G48" i="370"/>
  <c r="F48" i="370"/>
  <c r="D48" i="370"/>
  <c r="H48" i="370" s="1"/>
  <c r="K47" i="370"/>
  <c r="J47" i="370"/>
  <c r="I47" i="370"/>
  <c r="G47" i="370"/>
  <c r="F47" i="370"/>
  <c r="D47" i="370"/>
  <c r="H47" i="370" s="1"/>
  <c r="K46" i="370"/>
  <c r="J46" i="370"/>
  <c r="I46" i="370"/>
  <c r="G46" i="370"/>
  <c r="F46" i="370"/>
  <c r="D46" i="370"/>
  <c r="H46" i="370" s="1"/>
  <c r="K45" i="370"/>
  <c r="J45" i="370"/>
  <c r="I45" i="370"/>
  <c r="G45" i="370"/>
  <c r="F45" i="370"/>
  <c r="D45" i="370"/>
  <c r="H45" i="370" s="1"/>
  <c r="K44" i="370"/>
  <c r="J44" i="370"/>
  <c r="I44" i="370"/>
  <c r="G44" i="370"/>
  <c r="F44" i="370"/>
  <c r="D44" i="370"/>
  <c r="H44" i="370" s="1"/>
  <c r="K43" i="370"/>
  <c r="J43" i="370"/>
  <c r="I43" i="370"/>
  <c r="G43" i="370"/>
  <c r="F43" i="370"/>
  <c r="D43" i="370"/>
  <c r="H43" i="370" s="1"/>
  <c r="K42" i="370"/>
  <c r="J42" i="370"/>
  <c r="I42" i="370"/>
  <c r="G42" i="370"/>
  <c r="F42" i="370"/>
  <c r="D42" i="370"/>
  <c r="H42" i="370" s="1"/>
  <c r="K41" i="370"/>
  <c r="J41" i="370"/>
  <c r="I41" i="370"/>
  <c r="G41" i="370"/>
  <c r="F41" i="370"/>
  <c r="D41" i="370"/>
  <c r="H41" i="370" s="1"/>
  <c r="K39" i="370"/>
  <c r="J39" i="370"/>
  <c r="I39" i="370"/>
  <c r="G39" i="370"/>
  <c r="F39" i="370"/>
  <c r="D39" i="370"/>
  <c r="H39" i="370" s="1"/>
  <c r="K38" i="370"/>
  <c r="J38" i="370"/>
  <c r="I38" i="370"/>
  <c r="G38" i="370"/>
  <c r="F38" i="370"/>
  <c r="D38" i="370"/>
  <c r="H38" i="370" s="1"/>
  <c r="K37" i="370"/>
  <c r="J37" i="370"/>
  <c r="I37" i="370"/>
  <c r="G37" i="370"/>
  <c r="F37" i="370"/>
  <c r="D37" i="370"/>
  <c r="H37" i="370" s="1"/>
  <c r="K35" i="370"/>
  <c r="J35" i="370"/>
  <c r="I35" i="370"/>
  <c r="G35" i="370"/>
  <c r="F35" i="370"/>
  <c r="D35" i="370"/>
  <c r="H35" i="370" s="1"/>
  <c r="K34" i="370"/>
  <c r="J34" i="370"/>
  <c r="I34" i="370"/>
  <c r="G34" i="370"/>
  <c r="F34" i="370"/>
  <c r="D34" i="370"/>
  <c r="H34" i="370" s="1"/>
  <c r="K32" i="370"/>
  <c r="J32" i="370"/>
  <c r="I32" i="370"/>
  <c r="G32" i="370"/>
  <c r="F32" i="370"/>
  <c r="D32" i="370"/>
  <c r="H32" i="370" s="1"/>
  <c r="K29" i="370"/>
  <c r="J29" i="370"/>
  <c r="I29" i="370"/>
  <c r="G29" i="370"/>
  <c r="F29" i="370"/>
  <c r="D29" i="370"/>
  <c r="H29" i="370" s="1"/>
  <c r="K28" i="370"/>
  <c r="J28" i="370"/>
  <c r="I28" i="370"/>
  <c r="G28" i="370"/>
  <c r="F28" i="370"/>
  <c r="D28" i="370"/>
  <c r="H28" i="370" s="1"/>
  <c r="K27" i="370"/>
  <c r="J27" i="370"/>
  <c r="I27" i="370"/>
  <c r="G27" i="370"/>
  <c r="F27" i="370"/>
  <c r="D27" i="370"/>
  <c r="H27" i="370" s="1"/>
  <c r="K26" i="370"/>
  <c r="J26" i="370"/>
  <c r="I26" i="370"/>
  <c r="G26" i="370"/>
  <c r="F26" i="370"/>
  <c r="D26" i="370"/>
  <c r="H26" i="370" s="1"/>
  <c r="K25" i="370"/>
  <c r="J25" i="370"/>
  <c r="I25" i="370"/>
  <c r="G25" i="370"/>
  <c r="F25" i="370"/>
  <c r="D25" i="370"/>
  <c r="H25" i="370" s="1"/>
  <c r="K23" i="370"/>
  <c r="J23" i="370"/>
  <c r="I23" i="370"/>
  <c r="G23" i="370"/>
  <c r="F23" i="370"/>
  <c r="D23" i="370"/>
  <c r="H23" i="370" s="1"/>
  <c r="K22" i="370"/>
  <c r="J22" i="370"/>
  <c r="I22" i="370"/>
  <c r="G22" i="370"/>
  <c r="F22" i="370"/>
  <c r="D22" i="370"/>
  <c r="H22" i="370" s="1"/>
  <c r="K21" i="370"/>
  <c r="J21" i="370"/>
  <c r="I21" i="370"/>
  <c r="G21" i="370"/>
  <c r="F21" i="370"/>
  <c r="D21" i="370"/>
  <c r="H21" i="370" s="1"/>
  <c r="K20" i="370"/>
  <c r="J20" i="370"/>
  <c r="I20" i="370"/>
  <c r="G20" i="370"/>
  <c r="F20" i="370"/>
  <c r="D20" i="370"/>
  <c r="H20" i="370" s="1"/>
  <c r="K19" i="370"/>
  <c r="J19" i="370"/>
  <c r="I19" i="370"/>
  <c r="G19" i="370"/>
  <c r="F19" i="370"/>
  <c r="D19" i="370"/>
  <c r="H19" i="370" s="1"/>
  <c r="K16" i="370"/>
  <c r="J16" i="370"/>
  <c r="I16" i="370"/>
  <c r="G16" i="370"/>
  <c r="F16" i="370"/>
  <c r="D16" i="370"/>
  <c r="H16" i="370" s="1"/>
  <c r="K15" i="370"/>
  <c r="J15" i="370"/>
  <c r="I15" i="370"/>
  <c r="G15" i="370"/>
  <c r="F15" i="370"/>
  <c r="D15" i="370"/>
  <c r="H15" i="370" s="1"/>
  <c r="K14" i="370"/>
  <c r="J14" i="370"/>
  <c r="I14" i="370"/>
  <c r="G14" i="370"/>
  <c r="F14" i="370"/>
  <c r="D14" i="370"/>
  <c r="H14" i="370" s="1"/>
  <c r="K13" i="370"/>
  <c r="J13" i="370"/>
  <c r="I13" i="370"/>
  <c r="G13" i="370"/>
  <c r="F13" i="370"/>
  <c r="D13" i="370"/>
  <c r="H13" i="370" s="1"/>
  <c r="K12" i="370"/>
  <c r="J12" i="370"/>
  <c r="I12" i="370"/>
  <c r="G12" i="370"/>
  <c r="F12" i="370"/>
  <c r="D12" i="370"/>
  <c r="H12" i="370" s="1"/>
  <c r="K11" i="370"/>
  <c r="J11" i="370"/>
  <c r="I11" i="370"/>
  <c r="G11" i="370"/>
  <c r="F11" i="370"/>
  <c r="D11" i="370"/>
  <c r="H11" i="370" s="1"/>
  <c r="K53" i="369"/>
  <c r="J53" i="369"/>
  <c r="I53" i="369"/>
  <c r="G53" i="369"/>
  <c r="F53" i="369"/>
  <c r="E53" i="369"/>
  <c r="H53" i="369" s="1"/>
  <c r="D53" i="369"/>
  <c r="K52" i="369"/>
  <c r="J52" i="369"/>
  <c r="I52" i="369"/>
  <c r="G52" i="369"/>
  <c r="F52" i="369"/>
  <c r="E52" i="369"/>
  <c r="H52" i="369" s="1"/>
  <c r="D52" i="369"/>
  <c r="K51" i="369"/>
  <c r="J51" i="369"/>
  <c r="I51" i="369"/>
  <c r="G51" i="369"/>
  <c r="F51" i="369"/>
  <c r="E51" i="369"/>
  <c r="D51" i="369"/>
  <c r="K47" i="369"/>
  <c r="J47" i="369"/>
  <c r="I47" i="369"/>
  <c r="G47" i="369"/>
  <c r="F47" i="369"/>
  <c r="E47" i="369"/>
  <c r="D47" i="369"/>
  <c r="K46" i="369"/>
  <c r="J46" i="369"/>
  <c r="I46" i="369"/>
  <c r="G46" i="369"/>
  <c r="F46" i="369"/>
  <c r="E46" i="369"/>
  <c r="H46" i="369" s="1"/>
  <c r="D46" i="369"/>
  <c r="K45" i="369"/>
  <c r="J45" i="369"/>
  <c r="I45" i="369"/>
  <c r="G45" i="369"/>
  <c r="F45" i="369"/>
  <c r="E45" i="369"/>
  <c r="H45" i="369" s="1"/>
  <c r="D45" i="369"/>
  <c r="K43" i="369"/>
  <c r="J43" i="369"/>
  <c r="I43" i="369"/>
  <c r="G43" i="369"/>
  <c r="F43" i="369"/>
  <c r="E43" i="369"/>
  <c r="D43" i="369"/>
  <c r="K42" i="369"/>
  <c r="J42" i="369"/>
  <c r="I42" i="369"/>
  <c r="G42" i="369"/>
  <c r="F42" i="369"/>
  <c r="E42" i="369"/>
  <c r="D42" i="369"/>
  <c r="K41" i="369"/>
  <c r="J41" i="369"/>
  <c r="I41" i="369"/>
  <c r="G41" i="369"/>
  <c r="F41" i="369"/>
  <c r="E41" i="369"/>
  <c r="H41" i="369" s="1"/>
  <c r="D41" i="369"/>
  <c r="K37" i="369"/>
  <c r="J37" i="369"/>
  <c r="I37" i="369"/>
  <c r="G37" i="369"/>
  <c r="F37" i="369"/>
  <c r="D37" i="369"/>
  <c r="H37" i="369" s="1"/>
  <c r="K35" i="369"/>
  <c r="J35" i="369"/>
  <c r="I35" i="369"/>
  <c r="G35" i="369"/>
  <c r="F35" i="369"/>
  <c r="D35" i="369"/>
  <c r="H35" i="369" s="1"/>
  <c r="K28" i="369"/>
  <c r="J28" i="369"/>
  <c r="I28" i="369"/>
  <c r="G28" i="369"/>
  <c r="F28" i="369"/>
  <c r="D28" i="369"/>
  <c r="H28" i="369" s="1"/>
  <c r="K27" i="369"/>
  <c r="J27" i="369"/>
  <c r="I27" i="369"/>
  <c r="G27" i="369"/>
  <c r="F27" i="369"/>
  <c r="D27" i="369"/>
  <c r="K25" i="369"/>
  <c r="J25" i="369"/>
  <c r="I25" i="369"/>
  <c r="G25" i="369"/>
  <c r="F25" i="369"/>
  <c r="D25" i="369"/>
  <c r="K22" i="369"/>
  <c r="J22" i="369"/>
  <c r="I22" i="369"/>
  <c r="G22" i="369"/>
  <c r="F22" i="369"/>
  <c r="D22" i="369"/>
  <c r="K21" i="369"/>
  <c r="J21" i="369"/>
  <c r="I21" i="369"/>
  <c r="K20" i="369"/>
  <c r="J20" i="369"/>
  <c r="I20" i="369"/>
  <c r="G20" i="369"/>
  <c r="F20" i="369"/>
  <c r="D20" i="369"/>
  <c r="H20" i="369" s="1"/>
  <c r="K19" i="369"/>
  <c r="J19" i="369"/>
  <c r="I19" i="369"/>
  <c r="G19" i="369"/>
  <c r="F19" i="369"/>
  <c r="D19" i="369"/>
  <c r="K18" i="369"/>
  <c r="J18" i="369"/>
  <c r="I18" i="369"/>
  <c r="G18" i="369"/>
  <c r="F18" i="369"/>
  <c r="D18" i="369"/>
  <c r="H18" i="369" s="1"/>
  <c r="K82" i="368"/>
  <c r="J82" i="368"/>
  <c r="I82" i="368"/>
  <c r="G82" i="368"/>
  <c r="F82" i="368"/>
  <c r="E82" i="368"/>
  <c r="H82" i="368" s="1"/>
  <c r="D82" i="368"/>
  <c r="K81" i="368"/>
  <c r="J81" i="368"/>
  <c r="I81" i="368"/>
  <c r="G81" i="368"/>
  <c r="F81" i="368"/>
  <c r="E81" i="368"/>
  <c r="H81" i="368" s="1"/>
  <c r="D81" i="368"/>
  <c r="K80" i="368"/>
  <c r="J80" i="368"/>
  <c r="I80" i="368"/>
  <c r="G80" i="368"/>
  <c r="F80" i="368"/>
  <c r="E80" i="368"/>
  <c r="D80" i="368"/>
  <c r="K75" i="368"/>
  <c r="J75" i="368"/>
  <c r="I75" i="368"/>
  <c r="G75" i="368"/>
  <c r="F75" i="368"/>
  <c r="E75" i="368"/>
  <c r="D75" i="368"/>
  <c r="K74" i="368"/>
  <c r="J74" i="368"/>
  <c r="I74" i="368"/>
  <c r="G74" i="368"/>
  <c r="F74" i="368"/>
  <c r="E74" i="368"/>
  <c r="H74" i="368" s="1"/>
  <c r="D74" i="368"/>
  <c r="K73" i="368"/>
  <c r="J73" i="368"/>
  <c r="I73" i="368"/>
  <c r="G73" i="368"/>
  <c r="F73" i="368"/>
  <c r="E73" i="368"/>
  <c r="H73" i="368" s="1"/>
  <c r="D73" i="368"/>
  <c r="K71" i="368"/>
  <c r="J71" i="368"/>
  <c r="I71" i="368"/>
  <c r="G71" i="368"/>
  <c r="F71" i="368"/>
  <c r="E71" i="368"/>
  <c r="D71" i="368"/>
  <c r="K70" i="368"/>
  <c r="J70" i="368"/>
  <c r="I70" i="368"/>
  <c r="G70" i="368"/>
  <c r="F70" i="368"/>
  <c r="E70" i="368"/>
  <c r="D70" i="368"/>
  <c r="K69" i="368"/>
  <c r="J69" i="368"/>
  <c r="I69" i="368"/>
  <c r="G69" i="368"/>
  <c r="F69" i="368"/>
  <c r="E69" i="368"/>
  <c r="D69" i="368"/>
  <c r="K60" i="368"/>
  <c r="J60" i="368"/>
  <c r="I60" i="368"/>
  <c r="G60" i="368"/>
  <c r="F60" i="368"/>
  <c r="E60" i="368"/>
  <c r="H60" i="368" s="1"/>
  <c r="D60" i="368"/>
  <c r="K58" i="368"/>
  <c r="J58" i="368"/>
  <c r="I58" i="368"/>
  <c r="G58" i="368"/>
  <c r="F58" i="368"/>
  <c r="E58" i="368"/>
  <c r="D58" i="368"/>
  <c r="K57" i="368"/>
  <c r="J57" i="368"/>
  <c r="I57" i="368"/>
  <c r="G57" i="368"/>
  <c r="F57" i="368"/>
  <c r="E57" i="368"/>
  <c r="D57" i="368"/>
  <c r="K39" i="368"/>
  <c r="J39" i="368"/>
  <c r="I39" i="368"/>
  <c r="G39" i="368"/>
  <c r="F39" i="368"/>
  <c r="E39" i="368"/>
  <c r="H39" i="368" s="1"/>
  <c r="D39" i="368"/>
  <c r="K38" i="368"/>
  <c r="J38" i="368"/>
  <c r="I38" i="368"/>
  <c r="G38" i="368"/>
  <c r="F38" i="368"/>
  <c r="E38" i="368"/>
  <c r="H38" i="368" s="1"/>
  <c r="D38" i="368"/>
  <c r="K36" i="368"/>
  <c r="J36" i="368"/>
  <c r="I36" i="368"/>
  <c r="G36" i="368"/>
  <c r="F36" i="368"/>
  <c r="E36" i="368"/>
  <c r="D36" i="368"/>
  <c r="K35" i="368"/>
  <c r="K34" i="368" s="1"/>
  <c r="J35" i="368"/>
  <c r="J34" i="368" s="1"/>
  <c r="I35" i="368"/>
  <c r="I34" i="368" s="1"/>
  <c r="G35" i="368"/>
  <c r="G34" i="368" s="1"/>
  <c r="F35" i="368"/>
  <c r="F34" i="368" s="1"/>
  <c r="E35" i="368"/>
  <c r="D35" i="368"/>
  <c r="K33" i="368"/>
  <c r="K32" i="368" s="1"/>
  <c r="J33" i="368"/>
  <c r="I33" i="368"/>
  <c r="I32" i="368" s="1"/>
  <c r="G33" i="368"/>
  <c r="G32" i="368" s="1"/>
  <c r="F33" i="368"/>
  <c r="E33" i="368"/>
  <c r="D33" i="368"/>
  <c r="K28" i="368"/>
  <c r="J28" i="368"/>
  <c r="I28" i="368"/>
  <c r="G28" i="368"/>
  <c r="F28" i="368"/>
  <c r="E28" i="368"/>
  <c r="H28" i="368" s="1"/>
  <c r="D28" i="368"/>
  <c r="K26" i="368"/>
  <c r="J26" i="368"/>
  <c r="I26" i="368"/>
  <c r="G26" i="368"/>
  <c r="F26" i="368"/>
  <c r="E26" i="368"/>
  <c r="D26" i="368"/>
  <c r="K22" i="368"/>
  <c r="J22" i="368"/>
  <c r="I22" i="368"/>
  <c r="G22" i="368"/>
  <c r="F22" i="368"/>
  <c r="E22" i="368"/>
  <c r="D22" i="368"/>
  <c r="K17" i="368"/>
  <c r="J17" i="368"/>
  <c r="I17" i="368"/>
  <c r="G17" i="368"/>
  <c r="F17" i="368"/>
  <c r="E17" i="368"/>
  <c r="D17" i="368"/>
  <c r="K16" i="368"/>
  <c r="J16" i="368"/>
  <c r="I16" i="368"/>
  <c r="G16" i="368"/>
  <c r="F16" i="368"/>
  <c r="E16" i="368"/>
  <c r="H16" i="368" s="1"/>
  <c r="D16" i="368"/>
  <c r="K15" i="368"/>
  <c r="J15" i="368"/>
  <c r="I15" i="368"/>
  <c r="G15" i="368"/>
  <c r="F15" i="368"/>
  <c r="E15" i="368"/>
  <c r="D15" i="368"/>
  <c r="K14" i="368"/>
  <c r="J14" i="368"/>
  <c r="I14" i="368"/>
  <c r="G14" i="368"/>
  <c r="F14" i="368"/>
  <c r="E14" i="368"/>
  <c r="D14" i="368"/>
  <c r="K13" i="368"/>
  <c r="J13" i="368"/>
  <c r="I13" i="368"/>
  <c r="G13" i="368"/>
  <c r="F13" i="368"/>
  <c r="E13" i="368"/>
  <c r="D13" i="368"/>
  <c r="K12" i="368"/>
  <c r="J12" i="368"/>
  <c r="I12" i="368"/>
  <c r="G12" i="368"/>
  <c r="F12" i="368"/>
  <c r="E12" i="368"/>
  <c r="H12" i="368" s="1"/>
  <c r="D12" i="368"/>
  <c r="K53" i="367"/>
  <c r="J53" i="367"/>
  <c r="I53" i="367"/>
  <c r="G53" i="367"/>
  <c r="F53" i="367"/>
  <c r="E53" i="367"/>
  <c r="D53" i="367"/>
  <c r="K52" i="367"/>
  <c r="J52" i="367"/>
  <c r="I52" i="367"/>
  <c r="G52" i="367"/>
  <c r="F52" i="367"/>
  <c r="E52" i="367"/>
  <c r="D52" i="367"/>
  <c r="K51" i="367"/>
  <c r="J51" i="367"/>
  <c r="I51" i="367"/>
  <c r="G51" i="367"/>
  <c r="F51" i="367"/>
  <c r="E51" i="367"/>
  <c r="D51" i="367"/>
  <c r="K47" i="367"/>
  <c r="J47" i="367"/>
  <c r="I47" i="367"/>
  <c r="G47" i="367"/>
  <c r="F47" i="367"/>
  <c r="E47" i="367"/>
  <c r="H47" i="367" s="1"/>
  <c r="D47" i="367"/>
  <c r="K46" i="367"/>
  <c r="J46" i="367"/>
  <c r="I46" i="367"/>
  <c r="G46" i="367"/>
  <c r="F46" i="367"/>
  <c r="E46" i="367"/>
  <c r="D46" i="367"/>
  <c r="K45" i="367"/>
  <c r="J45" i="367"/>
  <c r="I45" i="367"/>
  <c r="G45" i="367"/>
  <c r="F45" i="367"/>
  <c r="E45" i="367"/>
  <c r="D45" i="367"/>
  <c r="K43" i="367"/>
  <c r="J43" i="367"/>
  <c r="I43" i="367"/>
  <c r="G43" i="367"/>
  <c r="F43" i="367"/>
  <c r="E43" i="367"/>
  <c r="H43" i="367" s="1"/>
  <c r="D43" i="367"/>
  <c r="K42" i="367"/>
  <c r="J42" i="367"/>
  <c r="I42" i="367"/>
  <c r="G42" i="367"/>
  <c r="F42" i="367"/>
  <c r="E42" i="367"/>
  <c r="H42" i="367" s="1"/>
  <c r="D42" i="367"/>
  <c r="K41" i="367"/>
  <c r="J41" i="367"/>
  <c r="I41" i="367"/>
  <c r="G41" i="367"/>
  <c r="F41" i="367"/>
  <c r="E41" i="367"/>
  <c r="D41" i="367"/>
  <c r="K37" i="367"/>
  <c r="J37" i="367"/>
  <c r="I37" i="367"/>
  <c r="G37" i="367"/>
  <c r="F37" i="367"/>
  <c r="D37" i="367"/>
  <c r="H37" i="367" s="1"/>
  <c r="K35" i="367"/>
  <c r="J35" i="367"/>
  <c r="I35" i="367"/>
  <c r="G35" i="367"/>
  <c r="F35" i="367"/>
  <c r="D35" i="367"/>
  <c r="H35" i="367" s="1"/>
  <c r="K28" i="367"/>
  <c r="J28" i="367"/>
  <c r="I28" i="367"/>
  <c r="G28" i="367"/>
  <c r="F28" i="367"/>
  <c r="E28" i="367"/>
  <c r="D28" i="367"/>
  <c r="K27" i="367"/>
  <c r="J27" i="367"/>
  <c r="I27" i="367"/>
  <c r="G27" i="367"/>
  <c r="F27" i="367"/>
  <c r="E27" i="367"/>
  <c r="D27" i="367"/>
  <c r="K25" i="367"/>
  <c r="J25" i="367"/>
  <c r="I25" i="367"/>
  <c r="G25" i="367"/>
  <c r="F25" i="367"/>
  <c r="E25" i="367"/>
  <c r="H25" i="367" s="1"/>
  <c r="D25" i="367"/>
  <c r="K22" i="367"/>
  <c r="J22" i="367"/>
  <c r="I22" i="367"/>
  <c r="G22" i="367"/>
  <c r="F22" i="367"/>
  <c r="E22" i="367"/>
  <c r="H22" i="367" s="1"/>
  <c r="D22" i="367"/>
  <c r="K21" i="367"/>
  <c r="J21" i="367"/>
  <c r="I21" i="367"/>
  <c r="G21" i="367"/>
  <c r="F21" i="367"/>
  <c r="E21" i="367"/>
  <c r="D21" i="367"/>
  <c r="K19" i="367"/>
  <c r="J19" i="367"/>
  <c r="I19" i="367"/>
  <c r="G19" i="367"/>
  <c r="F19" i="367"/>
  <c r="E19" i="367"/>
  <c r="D19" i="367"/>
  <c r="K18" i="367"/>
  <c r="J18" i="367"/>
  <c r="I18" i="367"/>
  <c r="G18" i="367"/>
  <c r="F18" i="367"/>
  <c r="E18" i="367"/>
  <c r="D18" i="367"/>
  <c r="K83" i="366"/>
  <c r="J83" i="366"/>
  <c r="I83" i="366"/>
  <c r="G83" i="366"/>
  <c r="F83" i="366"/>
  <c r="E83" i="366"/>
  <c r="H83" i="366" s="1"/>
  <c r="D83" i="366"/>
  <c r="K82" i="366"/>
  <c r="J82" i="366"/>
  <c r="I82" i="366"/>
  <c r="G82" i="366"/>
  <c r="F82" i="366"/>
  <c r="E82" i="366"/>
  <c r="D82" i="366"/>
  <c r="K81" i="366"/>
  <c r="J81" i="366"/>
  <c r="I81" i="366"/>
  <c r="G81" i="366"/>
  <c r="F81" i="366"/>
  <c r="E81" i="366"/>
  <c r="D81" i="366"/>
  <c r="K78" i="366"/>
  <c r="K76" i="366"/>
  <c r="J76" i="366"/>
  <c r="I76" i="366"/>
  <c r="G76" i="366"/>
  <c r="F76" i="366"/>
  <c r="E76" i="366"/>
  <c r="D76" i="366"/>
  <c r="K75" i="366"/>
  <c r="J75" i="366"/>
  <c r="I75" i="366"/>
  <c r="G75" i="366"/>
  <c r="F75" i="366"/>
  <c r="E75" i="366"/>
  <c r="D75" i="366"/>
  <c r="K74" i="366"/>
  <c r="J74" i="366"/>
  <c r="I74" i="366"/>
  <c r="G74" i="366"/>
  <c r="F74" i="366"/>
  <c r="E74" i="366"/>
  <c r="H74" i="366" s="1"/>
  <c r="D74" i="366"/>
  <c r="K72" i="366"/>
  <c r="J72" i="366"/>
  <c r="I72" i="366"/>
  <c r="G72" i="366"/>
  <c r="F72" i="366"/>
  <c r="E72" i="366"/>
  <c r="D72" i="366"/>
  <c r="K71" i="366"/>
  <c r="J71" i="366"/>
  <c r="I71" i="366"/>
  <c r="G71" i="366"/>
  <c r="F71" i="366"/>
  <c r="E71" i="366"/>
  <c r="D71" i="366"/>
  <c r="K70" i="366"/>
  <c r="J70" i="366"/>
  <c r="I70" i="366"/>
  <c r="G70" i="366"/>
  <c r="F70" i="366"/>
  <c r="E70" i="366"/>
  <c r="D70" i="366"/>
  <c r="I65" i="366"/>
  <c r="G63" i="366"/>
  <c r="K62" i="366"/>
  <c r="F62" i="366"/>
  <c r="K61" i="366"/>
  <c r="J61" i="366"/>
  <c r="I61" i="366"/>
  <c r="G61" i="366"/>
  <c r="F61" i="366"/>
  <c r="E61" i="366"/>
  <c r="H61" i="366" s="1"/>
  <c r="D61" i="366"/>
  <c r="K59" i="366"/>
  <c r="J59" i="366"/>
  <c r="I59" i="366"/>
  <c r="G59" i="366"/>
  <c r="F59" i="366"/>
  <c r="E59" i="366"/>
  <c r="D59" i="366"/>
  <c r="K58" i="366"/>
  <c r="J58" i="366"/>
  <c r="I58" i="366"/>
  <c r="G58" i="366"/>
  <c r="F58" i="366"/>
  <c r="E58" i="366"/>
  <c r="D58" i="366"/>
  <c r="J57" i="366"/>
  <c r="E57" i="366"/>
  <c r="H57" i="366" s="1"/>
  <c r="I56" i="366"/>
  <c r="D56" i="366"/>
  <c r="G55" i="366"/>
  <c r="G52" i="366"/>
  <c r="F51" i="366"/>
  <c r="I49" i="366"/>
  <c r="K47" i="366"/>
  <c r="J46" i="366"/>
  <c r="E46" i="366"/>
  <c r="G44" i="366"/>
  <c r="F43" i="366"/>
  <c r="K41" i="366"/>
  <c r="J41" i="366"/>
  <c r="I41" i="366"/>
  <c r="G41" i="366"/>
  <c r="F41" i="366"/>
  <c r="E41" i="366"/>
  <c r="D41" i="366"/>
  <c r="K40" i="366"/>
  <c r="J40" i="366"/>
  <c r="I40" i="366"/>
  <c r="G40" i="366"/>
  <c r="F40" i="366"/>
  <c r="E40" i="366"/>
  <c r="D40" i="366"/>
  <c r="K39" i="366"/>
  <c r="J39" i="366"/>
  <c r="I39" i="366"/>
  <c r="G39" i="366"/>
  <c r="F39" i="366"/>
  <c r="E39" i="366"/>
  <c r="H39" i="366" s="1"/>
  <c r="D39" i="366"/>
  <c r="K37" i="366"/>
  <c r="J37" i="366"/>
  <c r="I37" i="366"/>
  <c r="G37" i="366"/>
  <c r="F37" i="366"/>
  <c r="E37" i="366"/>
  <c r="D37" i="366"/>
  <c r="K36" i="366"/>
  <c r="K35" i="366" s="1"/>
  <c r="J36" i="366"/>
  <c r="J35" i="366" s="1"/>
  <c r="I36" i="366"/>
  <c r="I35" i="366" s="1"/>
  <c r="G36" i="366"/>
  <c r="G35" i="366" s="1"/>
  <c r="F36" i="366"/>
  <c r="F35" i="366" s="1"/>
  <c r="E36" i="366"/>
  <c r="D36" i="366"/>
  <c r="K34" i="366"/>
  <c r="J34" i="366"/>
  <c r="J33" i="366" s="1"/>
  <c r="I34" i="366"/>
  <c r="I33" i="366" s="1"/>
  <c r="G34" i="366"/>
  <c r="G33" i="366" s="1"/>
  <c r="F34" i="366"/>
  <c r="F33" i="366" s="1"/>
  <c r="E34" i="366"/>
  <c r="D34" i="366"/>
  <c r="D33" i="366" s="1"/>
  <c r="K31" i="366"/>
  <c r="F31" i="366"/>
  <c r="K30" i="366"/>
  <c r="F30" i="366"/>
  <c r="K29" i="366"/>
  <c r="J29" i="366"/>
  <c r="I29" i="366"/>
  <c r="G29" i="366"/>
  <c r="F29" i="366"/>
  <c r="E29" i="366"/>
  <c r="H29" i="366" s="1"/>
  <c r="D29" i="366"/>
  <c r="K28" i="366"/>
  <c r="J28" i="366"/>
  <c r="I28" i="366"/>
  <c r="G28" i="366"/>
  <c r="F28" i="366"/>
  <c r="E28" i="366"/>
  <c r="D28" i="366"/>
  <c r="K27" i="366"/>
  <c r="J27" i="366"/>
  <c r="I27" i="366"/>
  <c r="G27" i="366"/>
  <c r="F27" i="366"/>
  <c r="E27" i="366"/>
  <c r="D27" i="366"/>
  <c r="K23" i="366"/>
  <c r="J23" i="366"/>
  <c r="I23" i="366"/>
  <c r="G23" i="366"/>
  <c r="F23" i="366"/>
  <c r="E23" i="366"/>
  <c r="H23" i="366" s="1"/>
  <c r="D23" i="366"/>
  <c r="K22" i="366"/>
  <c r="J22" i="366"/>
  <c r="I22" i="366"/>
  <c r="G22" i="366"/>
  <c r="F22" i="366"/>
  <c r="E22" i="366"/>
  <c r="H22" i="366" s="1"/>
  <c r="D22" i="366"/>
  <c r="K21" i="366"/>
  <c r="J21" i="366"/>
  <c r="I21" i="366"/>
  <c r="G21" i="366"/>
  <c r="F21" i="366"/>
  <c r="E21" i="366"/>
  <c r="D21" i="366"/>
  <c r="K18" i="366"/>
  <c r="J18" i="366"/>
  <c r="I18" i="366"/>
  <c r="G18" i="366"/>
  <c r="F18" i="366"/>
  <c r="E18" i="366"/>
  <c r="D18" i="366"/>
  <c r="K17" i="366"/>
  <c r="J17" i="366"/>
  <c r="I17" i="366"/>
  <c r="G17" i="366"/>
  <c r="F17" i="366"/>
  <c r="E17" i="366"/>
  <c r="D17" i="366"/>
  <c r="K16" i="366"/>
  <c r="J16" i="366"/>
  <c r="I16" i="366"/>
  <c r="G16" i="366"/>
  <c r="F16" i="366"/>
  <c r="E16" i="366"/>
  <c r="H16" i="366" s="1"/>
  <c r="D16" i="366"/>
  <c r="K15" i="366"/>
  <c r="J15" i="366"/>
  <c r="I15" i="366"/>
  <c r="G15" i="366"/>
  <c r="F15" i="366"/>
  <c r="E15" i="366"/>
  <c r="D15" i="366"/>
  <c r="K14" i="366"/>
  <c r="J14" i="366"/>
  <c r="I14" i="366"/>
  <c r="G14" i="366"/>
  <c r="F14" i="366"/>
  <c r="E14" i="366"/>
  <c r="D14" i="366"/>
  <c r="K13" i="366"/>
  <c r="J13" i="366"/>
  <c r="I13" i="366"/>
  <c r="G13" i="366"/>
  <c r="F13" i="366"/>
  <c r="E13" i="366"/>
  <c r="D13" i="366"/>
  <c r="C123" i="239"/>
  <c r="D73" i="239"/>
  <c r="C73" i="239"/>
  <c r="K12" i="239"/>
  <c r="G17" i="240"/>
  <c r="E79" i="366" l="1"/>
  <c r="H45" i="374"/>
  <c r="H36" i="368"/>
  <c r="E11" i="371"/>
  <c r="H19" i="371"/>
  <c r="E18" i="370"/>
  <c r="H37" i="371"/>
  <c r="E36" i="370"/>
  <c r="H63" i="371"/>
  <c r="H79" i="371"/>
  <c r="G88" i="371"/>
  <c r="G116" i="371" s="1"/>
  <c r="G94" i="371"/>
  <c r="H117" i="371"/>
  <c r="E11" i="372"/>
  <c r="H19" i="372"/>
  <c r="H37" i="372"/>
  <c r="H63" i="372"/>
  <c r="H79" i="372"/>
  <c r="H117" i="372"/>
  <c r="H11" i="374"/>
  <c r="E47" i="366"/>
  <c r="H15" i="374"/>
  <c r="E51" i="366"/>
  <c r="H19" i="374"/>
  <c r="H24" i="374"/>
  <c r="E30" i="374"/>
  <c r="H31" i="374"/>
  <c r="E78" i="366"/>
  <c r="H44" i="374"/>
  <c r="E24" i="366"/>
  <c r="H26" i="374"/>
  <c r="H72" i="366"/>
  <c r="H82" i="366"/>
  <c r="H53" i="367"/>
  <c r="H15" i="368"/>
  <c r="H71" i="368"/>
  <c r="H80" i="368"/>
  <c r="H14" i="366"/>
  <c r="H18" i="366"/>
  <c r="H27" i="366"/>
  <c r="H41" i="366"/>
  <c r="H46" i="366"/>
  <c r="H58" i="366"/>
  <c r="H71" i="366"/>
  <c r="H76" i="366"/>
  <c r="H81" i="366"/>
  <c r="H19" i="367"/>
  <c r="H27" i="367"/>
  <c r="H45" i="367"/>
  <c r="H52" i="367"/>
  <c r="H14" i="368"/>
  <c r="H22" i="368"/>
  <c r="H57" i="368"/>
  <c r="H70" i="368"/>
  <c r="H75" i="368"/>
  <c r="J17" i="370"/>
  <c r="J18" i="370" s="1"/>
  <c r="J10" i="370" s="1"/>
  <c r="F24" i="370"/>
  <c r="H59" i="371"/>
  <c r="H76" i="371"/>
  <c r="H34" i="372"/>
  <c r="H59" i="372"/>
  <c r="H76" i="372"/>
  <c r="E106" i="372"/>
  <c r="H106" i="372" s="1"/>
  <c r="E34" i="369"/>
  <c r="H111" i="372"/>
  <c r="H14" i="374"/>
  <c r="E50" i="366"/>
  <c r="H18" i="374"/>
  <c r="H23" i="374"/>
  <c r="H29" i="374"/>
  <c r="H35" i="374"/>
  <c r="F88" i="371"/>
  <c r="F116" i="371" s="1"/>
  <c r="F94" i="371"/>
  <c r="E44" i="366"/>
  <c r="H12" i="374"/>
  <c r="E48" i="366"/>
  <c r="H16" i="374"/>
  <c r="E52" i="366"/>
  <c r="H20" i="374"/>
  <c r="E55" i="366"/>
  <c r="H55" i="366" s="1"/>
  <c r="H33" i="374"/>
  <c r="H15" i="366"/>
  <c r="H21" i="366"/>
  <c r="H28" i="366"/>
  <c r="H37" i="366"/>
  <c r="H59" i="366"/>
  <c r="H28" i="367"/>
  <c r="H41" i="367"/>
  <c r="H46" i="367"/>
  <c r="H26" i="368"/>
  <c r="H58" i="368"/>
  <c r="I17" i="370"/>
  <c r="I18" i="370" s="1"/>
  <c r="I10" i="370" s="1"/>
  <c r="H13" i="366"/>
  <c r="H17" i="366"/>
  <c r="E33" i="366"/>
  <c r="H33" i="366" s="1"/>
  <c r="H34" i="366"/>
  <c r="H40" i="366"/>
  <c r="H70" i="366"/>
  <c r="H75" i="366"/>
  <c r="H18" i="367"/>
  <c r="H51" i="367"/>
  <c r="H13" i="368"/>
  <c r="H17" i="368"/>
  <c r="E32" i="368"/>
  <c r="H32" i="368" s="1"/>
  <c r="H33" i="368"/>
  <c r="H69" i="368"/>
  <c r="G24" i="370"/>
  <c r="H32" i="371"/>
  <c r="E31" i="370"/>
  <c r="E88" i="371"/>
  <c r="H103" i="371"/>
  <c r="H72" i="372"/>
  <c r="E101" i="372"/>
  <c r="H103" i="372"/>
  <c r="E45" i="366"/>
  <c r="H13" i="374"/>
  <c r="E49" i="366"/>
  <c r="H17" i="374"/>
  <c r="E53" i="366"/>
  <c r="H21" i="374"/>
  <c r="E56" i="366"/>
  <c r="H56" i="366" s="1"/>
  <c r="H34" i="374"/>
  <c r="E65" i="366"/>
  <c r="H39" i="374"/>
  <c r="H21" i="367"/>
  <c r="H43" i="369"/>
  <c r="H51" i="369"/>
  <c r="H42" i="369"/>
  <c r="H47" i="369"/>
  <c r="H34" i="371"/>
  <c r="E31" i="371"/>
  <c r="E33" i="370"/>
  <c r="E62" i="366"/>
  <c r="H62" i="366" s="1"/>
  <c r="H36" i="374"/>
  <c r="E63" i="366"/>
  <c r="H63" i="366" s="1"/>
  <c r="H37" i="374"/>
  <c r="E40" i="374"/>
  <c r="H41" i="374"/>
  <c r="E35" i="366"/>
  <c r="H36" i="366"/>
  <c r="E34" i="368"/>
  <c r="H35" i="368"/>
  <c r="E106" i="371"/>
  <c r="H106" i="371" s="1"/>
  <c r="H111" i="371"/>
  <c r="K25" i="366"/>
  <c r="E31" i="366"/>
  <c r="H31" i="366" s="1"/>
  <c r="I67" i="366"/>
  <c r="G116" i="372"/>
  <c r="G67" i="366"/>
  <c r="C106" i="372"/>
  <c r="I38" i="374"/>
  <c r="G31" i="366"/>
  <c r="J67" i="366"/>
  <c r="K18" i="368"/>
  <c r="K19" i="368" s="1"/>
  <c r="J19" i="366"/>
  <c r="J20" i="366" s="1"/>
  <c r="J12" i="366" s="1"/>
  <c r="E67" i="366"/>
  <c r="G23" i="369"/>
  <c r="F25" i="374"/>
  <c r="F24" i="366" s="1"/>
  <c r="K94" i="372"/>
  <c r="K88" i="372" s="1"/>
  <c r="K116" i="372" s="1"/>
  <c r="K23" i="369"/>
  <c r="E10" i="374"/>
  <c r="E25" i="366"/>
  <c r="H25" i="366" s="1"/>
  <c r="E19" i="366"/>
  <c r="I26" i="367"/>
  <c r="I24" i="367" s="1"/>
  <c r="I19" i="366"/>
  <c r="J25" i="366"/>
  <c r="F18" i="368"/>
  <c r="F19" i="368" s="1"/>
  <c r="F19" i="366"/>
  <c r="F20" i="366" s="1"/>
  <c r="J77" i="366"/>
  <c r="I15" i="364"/>
  <c r="I25" i="366"/>
  <c r="J31" i="366"/>
  <c r="I32" i="374"/>
  <c r="J38" i="374"/>
  <c r="J64" i="366"/>
  <c r="I37" i="368"/>
  <c r="E37" i="368"/>
  <c r="H37" i="368" s="1"/>
  <c r="J37" i="368"/>
  <c r="F11" i="371"/>
  <c r="K42" i="366"/>
  <c r="G42" i="366"/>
  <c r="E38" i="366"/>
  <c r="J38" i="366"/>
  <c r="G18" i="368"/>
  <c r="G19" i="368" s="1"/>
  <c r="J26" i="369"/>
  <c r="J24" i="369" s="1"/>
  <c r="K17" i="370"/>
  <c r="K18" i="370" s="1"/>
  <c r="K10" i="370" s="1"/>
  <c r="G58" i="370"/>
  <c r="G75" i="370"/>
  <c r="K11" i="371"/>
  <c r="G44" i="369"/>
  <c r="F42" i="366"/>
  <c r="J15" i="364"/>
  <c r="D26" i="369"/>
  <c r="I26" i="369"/>
  <c r="G68" i="368"/>
  <c r="F72" i="368"/>
  <c r="K72" i="368"/>
  <c r="K67" i="370"/>
  <c r="G78" i="370"/>
  <c r="K31" i="371"/>
  <c r="I26" i="366"/>
  <c r="K38" i="374"/>
  <c r="K38" i="366"/>
  <c r="K60" i="366"/>
  <c r="G69" i="366"/>
  <c r="D26" i="367"/>
  <c r="D24" i="367" s="1"/>
  <c r="J18" i="368"/>
  <c r="J19" i="368" s="1"/>
  <c r="K37" i="368"/>
  <c r="E79" i="368"/>
  <c r="H79" i="368" s="1"/>
  <c r="J79" i="368"/>
  <c r="K58" i="370"/>
  <c r="D62" i="370"/>
  <c r="H62" i="370" s="1"/>
  <c r="I62" i="370"/>
  <c r="G71" i="370"/>
  <c r="F75" i="370"/>
  <c r="K75" i="370"/>
  <c r="K15" i="364"/>
  <c r="I31" i="366"/>
  <c r="F38" i="366"/>
  <c r="F32" i="366" s="1"/>
  <c r="F60" i="366"/>
  <c r="K80" i="366"/>
  <c r="D44" i="367"/>
  <c r="I44" i="367"/>
  <c r="E18" i="368"/>
  <c r="D68" i="368"/>
  <c r="I68" i="368"/>
  <c r="D72" i="368"/>
  <c r="J78" i="370"/>
  <c r="J94" i="372"/>
  <c r="J88" i="372" s="1"/>
  <c r="J116" i="372" s="1"/>
  <c r="J23" i="369"/>
  <c r="I116" i="371"/>
  <c r="E43" i="366"/>
  <c r="F67" i="366"/>
  <c r="K67" i="366"/>
  <c r="G73" i="366"/>
  <c r="G80" i="366"/>
  <c r="F52" i="370"/>
  <c r="K52" i="370"/>
  <c r="G52" i="370"/>
  <c r="I52" i="370"/>
  <c r="F58" i="370"/>
  <c r="J62" i="370"/>
  <c r="G116" i="370"/>
  <c r="J120" i="370"/>
  <c r="F31" i="371"/>
  <c r="F67" i="371" s="1"/>
  <c r="G19" i="366"/>
  <c r="K77" i="366"/>
  <c r="G79" i="368"/>
  <c r="G17" i="370"/>
  <c r="G18" i="370" s="1"/>
  <c r="G10" i="370" s="1"/>
  <c r="D40" i="370"/>
  <c r="H40" i="370" s="1"/>
  <c r="I40" i="370"/>
  <c r="G40" i="370"/>
  <c r="I78" i="370"/>
  <c r="F78" i="370"/>
  <c r="K78" i="370"/>
  <c r="K116" i="371"/>
  <c r="E94" i="372"/>
  <c r="G25" i="366"/>
  <c r="I54" i="366"/>
  <c r="E60" i="366"/>
  <c r="G64" i="366"/>
  <c r="K66" i="366"/>
  <c r="F80" i="366"/>
  <c r="J26" i="367"/>
  <c r="J24" i="367" s="1"/>
  <c r="I18" i="368"/>
  <c r="I19" i="368" s="1"/>
  <c r="F26" i="369"/>
  <c r="F24" i="369" s="1"/>
  <c r="K24" i="370"/>
  <c r="J24" i="370"/>
  <c r="J58" i="370"/>
  <c r="F67" i="370"/>
  <c r="D116" i="370"/>
  <c r="I116" i="370"/>
  <c r="G31" i="371"/>
  <c r="G67" i="371" s="1"/>
  <c r="F83" i="371"/>
  <c r="K83" i="371"/>
  <c r="E31" i="372"/>
  <c r="H31" i="372" s="1"/>
  <c r="J31" i="372"/>
  <c r="J67" i="372" s="1"/>
  <c r="D38" i="366"/>
  <c r="I38" i="366"/>
  <c r="I32" i="366" s="1"/>
  <c r="J42" i="366"/>
  <c r="J54" i="366"/>
  <c r="F94" i="372"/>
  <c r="F88" i="372" s="1"/>
  <c r="F116" i="372" s="1"/>
  <c r="F23" i="369"/>
  <c r="I42" i="366"/>
  <c r="J26" i="366"/>
  <c r="F26" i="366"/>
  <c r="G26" i="366"/>
  <c r="I77" i="366"/>
  <c r="F77" i="366"/>
  <c r="I24" i="369"/>
  <c r="I20" i="366"/>
  <c r="I12" i="366" s="1"/>
  <c r="J32" i="366"/>
  <c r="K64" i="366"/>
  <c r="I23" i="369"/>
  <c r="I94" i="372"/>
  <c r="I88" i="372" s="1"/>
  <c r="I116" i="372" s="1"/>
  <c r="E38" i="374"/>
  <c r="J60" i="366"/>
  <c r="E73" i="366"/>
  <c r="H73" i="366" s="1"/>
  <c r="J73" i="366"/>
  <c r="F73" i="366"/>
  <c r="K73" i="366"/>
  <c r="E44" i="367"/>
  <c r="H44" i="367" s="1"/>
  <c r="J44" i="367"/>
  <c r="G44" i="367"/>
  <c r="E68" i="368"/>
  <c r="J68" i="368"/>
  <c r="F68" i="368"/>
  <c r="K68" i="368"/>
  <c r="F79" i="368"/>
  <c r="K79" i="368"/>
  <c r="K26" i="369"/>
  <c r="K24" i="369" s="1"/>
  <c r="K17" i="369" s="1"/>
  <c r="I44" i="369"/>
  <c r="F44" i="369"/>
  <c r="K44" i="369"/>
  <c r="F18" i="370"/>
  <c r="F10" i="370" s="1"/>
  <c r="J40" i="370"/>
  <c r="F40" i="370"/>
  <c r="K40" i="370"/>
  <c r="F62" i="370"/>
  <c r="K62" i="370"/>
  <c r="I71" i="370"/>
  <c r="J71" i="370"/>
  <c r="F71" i="370"/>
  <c r="K71" i="370"/>
  <c r="I75" i="370"/>
  <c r="J75" i="370"/>
  <c r="J116" i="370"/>
  <c r="F120" i="370"/>
  <c r="K120" i="370"/>
  <c r="I120" i="370"/>
  <c r="I31" i="371"/>
  <c r="I67" i="371" s="1"/>
  <c r="J31" i="371"/>
  <c r="J67" i="371" s="1"/>
  <c r="F31" i="372"/>
  <c r="F67" i="372" s="1"/>
  <c r="K31" i="372"/>
  <c r="E83" i="372"/>
  <c r="J83" i="372"/>
  <c r="F10" i="374"/>
  <c r="K10" i="374"/>
  <c r="G10" i="374"/>
  <c r="I10" i="374"/>
  <c r="J10" i="374"/>
  <c r="E22" i="374"/>
  <c r="J22" i="374"/>
  <c r="G28" i="374"/>
  <c r="E28" i="374"/>
  <c r="H28" i="374" s="1"/>
  <c r="E32" i="374"/>
  <c r="J32" i="374"/>
  <c r="F38" i="374"/>
  <c r="G38" i="374"/>
  <c r="I40" i="367"/>
  <c r="G72" i="368"/>
  <c r="G40" i="369"/>
  <c r="I24" i="370"/>
  <c r="G67" i="370"/>
  <c r="I67" i="370"/>
  <c r="F116" i="370"/>
  <c r="K116" i="370"/>
  <c r="G120" i="370"/>
  <c r="C83" i="371"/>
  <c r="J116" i="371"/>
  <c r="K67" i="372"/>
  <c r="G31" i="372"/>
  <c r="G67" i="372" s="1"/>
  <c r="I31" i="372"/>
  <c r="I67" i="372" s="1"/>
  <c r="K22" i="374"/>
  <c r="I28" i="374"/>
  <c r="F28" i="374"/>
  <c r="E26" i="367"/>
  <c r="E40" i="367"/>
  <c r="J40" i="367"/>
  <c r="F40" i="367"/>
  <c r="K40" i="367"/>
  <c r="G40" i="367"/>
  <c r="E19" i="368"/>
  <c r="I72" i="368"/>
  <c r="I40" i="369"/>
  <c r="E40" i="369"/>
  <c r="F40" i="369"/>
  <c r="K40" i="369"/>
  <c r="J52" i="370"/>
  <c r="I58" i="370"/>
  <c r="J28" i="374"/>
  <c r="G38" i="366"/>
  <c r="G32" i="366" s="1"/>
  <c r="G60" i="366"/>
  <c r="E69" i="366"/>
  <c r="H69" i="366" s="1"/>
  <c r="J69" i="366"/>
  <c r="F69" i="366"/>
  <c r="K69" i="366"/>
  <c r="K26" i="366"/>
  <c r="D35" i="366"/>
  <c r="F26" i="367"/>
  <c r="F24" i="367" s="1"/>
  <c r="K26" i="367"/>
  <c r="K33" i="366"/>
  <c r="D60" i="366"/>
  <c r="I60" i="366"/>
  <c r="F64" i="366"/>
  <c r="D73" i="366"/>
  <c r="I73" i="366"/>
  <c r="D69" i="366"/>
  <c r="I69" i="366"/>
  <c r="G20" i="366"/>
  <c r="G12" i="366" s="1"/>
  <c r="F54" i="366"/>
  <c r="K54" i="366"/>
  <c r="I64" i="366"/>
  <c r="E77" i="366"/>
  <c r="D80" i="366"/>
  <c r="I80" i="366"/>
  <c r="E80" i="366"/>
  <c r="J80" i="366"/>
  <c r="G54" i="366"/>
  <c r="D44" i="369"/>
  <c r="K20" i="366"/>
  <c r="K12" i="366" s="1"/>
  <c r="D40" i="367"/>
  <c r="F44" i="367"/>
  <c r="K44" i="367"/>
  <c r="D32" i="368"/>
  <c r="F37" i="368"/>
  <c r="D40" i="369"/>
  <c r="G37" i="368"/>
  <c r="J40" i="369"/>
  <c r="E44" i="369"/>
  <c r="H44" i="369" s="1"/>
  <c r="J44" i="369"/>
  <c r="J32" i="368"/>
  <c r="E72" i="368"/>
  <c r="H72" i="368" s="1"/>
  <c r="J72" i="368"/>
  <c r="F32" i="368"/>
  <c r="D34" i="368"/>
  <c r="D37" i="368"/>
  <c r="D79" i="368"/>
  <c r="I79" i="368"/>
  <c r="G26" i="369"/>
  <c r="G24" i="369" s="1"/>
  <c r="D24" i="370"/>
  <c r="H24" i="370" s="1"/>
  <c r="D58" i="370"/>
  <c r="H58" i="370" s="1"/>
  <c r="D71" i="370"/>
  <c r="H71" i="370" s="1"/>
  <c r="D75" i="370"/>
  <c r="H75" i="370" s="1"/>
  <c r="D17" i="370"/>
  <c r="H17" i="370" s="1"/>
  <c r="D11" i="371"/>
  <c r="D101" i="371"/>
  <c r="D45" i="366"/>
  <c r="D49" i="366"/>
  <c r="D53" i="366"/>
  <c r="G22" i="374"/>
  <c r="G62" i="370"/>
  <c r="D67" i="370"/>
  <c r="E116" i="371"/>
  <c r="I22" i="374"/>
  <c r="D65" i="366"/>
  <c r="D52" i="370"/>
  <c r="H52" i="370" s="1"/>
  <c r="D78" i="370"/>
  <c r="H78" i="370" s="1"/>
  <c r="G102" i="370"/>
  <c r="G100" i="370" s="1"/>
  <c r="F32" i="374"/>
  <c r="K32" i="374"/>
  <c r="G32" i="374"/>
  <c r="G83" i="371"/>
  <c r="D18" i="368"/>
  <c r="F83" i="372"/>
  <c r="K83" i="372"/>
  <c r="D44" i="366"/>
  <c r="D48" i="366"/>
  <c r="D52" i="366"/>
  <c r="D22" i="374"/>
  <c r="D40" i="374"/>
  <c r="D38" i="374" s="1"/>
  <c r="D79" i="366"/>
  <c r="J67" i="370"/>
  <c r="D102" i="370"/>
  <c r="D100" i="370" s="1"/>
  <c r="D120" i="370"/>
  <c r="H120" i="370" s="1"/>
  <c r="D31" i="371"/>
  <c r="D83" i="371"/>
  <c r="I83" i="371"/>
  <c r="D11" i="372"/>
  <c r="G83" i="372"/>
  <c r="D23" i="369"/>
  <c r="D43" i="366"/>
  <c r="D47" i="366"/>
  <c r="D51" i="366"/>
  <c r="D30" i="374"/>
  <c r="D28" i="374" s="1"/>
  <c r="D78" i="366"/>
  <c r="F100" i="370"/>
  <c r="E83" i="371"/>
  <c r="H83" i="371" s="1"/>
  <c r="J83" i="371"/>
  <c r="D31" i="372"/>
  <c r="D83" i="372"/>
  <c r="I83" i="372"/>
  <c r="D46" i="366"/>
  <c r="D50" i="366"/>
  <c r="D32" i="374"/>
  <c r="G77" i="366"/>
  <c r="D10" i="374"/>
  <c r="D25" i="366"/>
  <c r="D31" i="366"/>
  <c r="D54" i="366"/>
  <c r="D67" i="366"/>
  <c r="D94" i="372"/>
  <c r="G26" i="367"/>
  <c r="D19" i="366"/>
  <c r="D20" i="366" s="1"/>
  <c r="K81" i="240"/>
  <c r="K82" i="364" s="1"/>
  <c r="I81" i="240"/>
  <c r="I82" i="364" s="1"/>
  <c r="G81" i="240"/>
  <c r="G82" i="364" s="1"/>
  <c r="F81" i="240"/>
  <c r="F82" i="364" s="1"/>
  <c r="E81" i="240"/>
  <c r="D81" i="240"/>
  <c r="D82" i="364" s="1"/>
  <c r="K80" i="240"/>
  <c r="K81" i="364" s="1"/>
  <c r="J81" i="364"/>
  <c r="I80" i="240"/>
  <c r="I81" i="364" s="1"/>
  <c r="G80" i="240"/>
  <c r="G81" i="364" s="1"/>
  <c r="F80" i="240"/>
  <c r="F81" i="364" s="1"/>
  <c r="E80" i="240"/>
  <c r="D80" i="240"/>
  <c r="D81" i="364" s="1"/>
  <c r="K79" i="240"/>
  <c r="K80" i="364" s="1"/>
  <c r="K79" i="364" s="1"/>
  <c r="J80" i="364"/>
  <c r="I79" i="240"/>
  <c r="I80" i="364" s="1"/>
  <c r="G79" i="240"/>
  <c r="G80" i="364" s="1"/>
  <c r="F79" i="240"/>
  <c r="E79" i="240"/>
  <c r="D79" i="240"/>
  <c r="K74" i="240"/>
  <c r="K75" i="364" s="1"/>
  <c r="J75" i="364"/>
  <c r="I74" i="240"/>
  <c r="I75" i="364" s="1"/>
  <c r="G74" i="240"/>
  <c r="G75" i="364" s="1"/>
  <c r="F74" i="240"/>
  <c r="F75" i="364" s="1"/>
  <c r="E74" i="240"/>
  <c r="D74" i="240"/>
  <c r="D75" i="364" s="1"/>
  <c r="K73" i="240"/>
  <c r="J74" i="364"/>
  <c r="I73" i="240"/>
  <c r="I74" i="364" s="1"/>
  <c r="G73" i="240"/>
  <c r="G74" i="364" s="1"/>
  <c r="F73" i="240"/>
  <c r="F74" i="364" s="1"/>
  <c r="E73" i="240"/>
  <c r="D73" i="240"/>
  <c r="D74" i="364" s="1"/>
  <c r="K72" i="240"/>
  <c r="K73" i="364" s="1"/>
  <c r="I72" i="240"/>
  <c r="I73" i="364" s="1"/>
  <c r="G72" i="240"/>
  <c r="G73" i="364" s="1"/>
  <c r="F72" i="240"/>
  <c r="F73" i="364" s="1"/>
  <c r="E72" i="240"/>
  <c r="D72" i="240"/>
  <c r="D73" i="364" s="1"/>
  <c r="K70" i="240"/>
  <c r="K71" i="364" s="1"/>
  <c r="J71" i="364"/>
  <c r="I70" i="240"/>
  <c r="I71" i="364" s="1"/>
  <c r="G70" i="240"/>
  <c r="G71" i="364" s="1"/>
  <c r="F70" i="240"/>
  <c r="F71" i="364" s="1"/>
  <c r="E70" i="240"/>
  <c r="D70" i="240"/>
  <c r="D71" i="364" s="1"/>
  <c r="K69" i="240"/>
  <c r="K70" i="364" s="1"/>
  <c r="J70" i="364"/>
  <c r="I69" i="240"/>
  <c r="I70" i="364" s="1"/>
  <c r="G69" i="240"/>
  <c r="G70" i="364" s="1"/>
  <c r="F69" i="240"/>
  <c r="F70" i="364" s="1"/>
  <c r="E69" i="240"/>
  <c r="D69" i="240"/>
  <c r="D70" i="364" s="1"/>
  <c r="K68" i="240"/>
  <c r="K69" i="364" s="1"/>
  <c r="J69" i="364"/>
  <c r="I68" i="240"/>
  <c r="I69" i="364" s="1"/>
  <c r="G68" i="240"/>
  <c r="G69" i="364" s="1"/>
  <c r="F68" i="240"/>
  <c r="F69" i="364" s="1"/>
  <c r="E68" i="240"/>
  <c r="D68" i="240"/>
  <c r="D69" i="364" s="1"/>
  <c r="K27" i="241"/>
  <c r="J28" i="365"/>
  <c r="I27" i="241"/>
  <c r="G27" i="241"/>
  <c r="G28" i="365" s="1"/>
  <c r="F27" i="241"/>
  <c r="F28" i="365" s="1"/>
  <c r="E27" i="241"/>
  <c r="D27" i="241"/>
  <c r="G26" i="241"/>
  <c r="G27" i="365" s="1"/>
  <c r="F26" i="241"/>
  <c r="E26" i="241"/>
  <c r="D26" i="241"/>
  <c r="G24" i="241"/>
  <c r="G25" i="365" s="1"/>
  <c r="F24" i="241"/>
  <c r="F25" i="365" s="1"/>
  <c r="E24" i="241"/>
  <c r="D24" i="241"/>
  <c r="D25" i="365" s="1"/>
  <c r="J82" i="364" l="1"/>
  <c r="L81" i="240"/>
  <c r="J73" i="364"/>
  <c r="J72" i="364" s="1"/>
  <c r="L72" i="240"/>
  <c r="F80" i="364"/>
  <c r="L79" i="240"/>
  <c r="F27" i="365"/>
  <c r="L26" i="241"/>
  <c r="F79" i="364"/>
  <c r="H48" i="366"/>
  <c r="E69" i="364"/>
  <c r="H68" i="240"/>
  <c r="H40" i="369"/>
  <c r="H40" i="367"/>
  <c r="H68" i="368"/>
  <c r="E42" i="366"/>
  <c r="H43" i="366"/>
  <c r="H18" i="368"/>
  <c r="F12" i="366"/>
  <c r="H10" i="374"/>
  <c r="H34" i="368"/>
  <c r="H49" i="366"/>
  <c r="H50" i="366"/>
  <c r="E30" i="366"/>
  <c r="H30" i="374"/>
  <c r="H11" i="372"/>
  <c r="E75" i="364"/>
  <c r="H75" i="364" s="1"/>
  <c r="H74" i="240"/>
  <c r="H51" i="366"/>
  <c r="H11" i="371"/>
  <c r="E74" i="364"/>
  <c r="H74" i="364" s="1"/>
  <c r="H73" i="240"/>
  <c r="G79" i="364"/>
  <c r="K68" i="364"/>
  <c r="E73" i="364"/>
  <c r="H73" i="364" s="1"/>
  <c r="H72" i="240"/>
  <c r="E81" i="364"/>
  <c r="H81" i="364" s="1"/>
  <c r="H80" i="240"/>
  <c r="H80" i="366"/>
  <c r="E24" i="367"/>
  <c r="H24" i="367" s="1"/>
  <c r="H26" i="367"/>
  <c r="H83" i="372"/>
  <c r="H38" i="374"/>
  <c r="H67" i="366"/>
  <c r="H101" i="372"/>
  <c r="H52" i="366"/>
  <c r="H44" i="366"/>
  <c r="H47" i="366"/>
  <c r="E10" i="370"/>
  <c r="H24" i="241"/>
  <c r="E28" i="365"/>
  <c r="H27" i="241"/>
  <c r="E70" i="364"/>
  <c r="H70" i="364" s="1"/>
  <c r="H69" i="240"/>
  <c r="H60" i="366"/>
  <c r="E82" i="364"/>
  <c r="H82" i="364" s="1"/>
  <c r="H81" i="240"/>
  <c r="K67" i="240"/>
  <c r="G68" i="364"/>
  <c r="E71" i="364"/>
  <c r="H71" i="364" s="1"/>
  <c r="H70" i="240"/>
  <c r="J79" i="364"/>
  <c r="E54" i="366"/>
  <c r="H54" i="366" s="1"/>
  <c r="H101" i="371"/>
  <c r="D94" i="371"/>
  <c r="H94" i="371" s="1"/>
  <c r="H32" i="374"/>
  <c r="E88" i="372"/>
  <c r="H94" i="372"/>
  <c r="E32" i="366"/>
  <c r="H38" i="366"/>
  <c r="E20" i="366"/>
  <c r="H19" i="366"/>
  <c r="H35" i="366"/>
  <c r="H65" i="366"/>
  <c r="H53" i="366"/>
  <c r="H45" i="366"/>
  <c r="H78" i="366"/>
  <c r="H79" i="366"/>
  <c r="D24" i="369"/>
  <c r="E30" i="370"/>
  <c r="E66" i="366"/>
  <c r="H40" i="374"/>
  <c r="E80" i="364"/>
  <c r="H79" i="240"/>
  <c r="H26" i="241"/>
  <c r="E67" i="371"/>
  <c r="H67" i="371" s="1"/>
  <c r="H31" i="371"/>
  <c r="E67" i="372"/>
  <c r="E42" i="374"/>
  <c r="H22" i="374"/>
  <c r="D28" i="365"/>
  <c r="H28" i="365" s="1"/>
  <c r="D80" i="364"/>
  <c r="I67" i="240"/>
  <c r="J68" i="364"/>
  <c r="G67" i="240"/>
  <c r="I79" i="364"/>
  <c r="F67" i="240"/>
  <c r="E67" i="240"/>
  <c r="H67" i="240" s="1"/>
  <c r="D67" i="240"/>
  <c r="I68" i="364"/>
  <c r="G72" i="364"/>
  <c r="D77" i="366"/>
  <c r="D84" i="366" s="1"/>
  <c r="I78" i="240"/>
  <c r="K78" i="240"/>
  <c r="F22" i="374"/>
  <c r="F42" i="374" s="1"/>
  <c r="K67" i="371"/>
  <c r="K84" i="371" s="1"/>
  <c r="G18" i="364"/>
  <c r="J17" i="369"/>
  <c r="I82" i="370"/>
  <c r="I42" i="374"/>
  <c r="F68" i="364"/>
  <c r="D71" i="240"/>
  <c r="G82" i="370"/>
  <c r="K84" i="372"/>
  <c r="F84" i="371"/>
  <c r="K82" i="370"/>
  <c r="F84" i="366"/>
  <c r="F82" i="370"/>
  <c r="K84" i="366"/>
  <c r="F72" i="364"/>
  <c r="D25" i="241"/>
  <c r="I17" i="369"/>
  <c r="G25" i="241"/>
  <c r="G23" i="241" s="1"/>
  <c r="E78" i="240"/>
  <c r="G84" i="366"/>
  <c r="K42" i="374"/>
  <c r="J84" i="366"/>
  <c r="I68" i="366"/>
  <c r="D82" i="370"/>
  <c r="J68" i="366"/>
  <c r="G68" i="366"/>
  <c r="F84" i="372"/>
  <c r="G84" i="372"/>
  <c r="I84" i="371"/>
  <c r="E71" i="240"/>
  <c r="H71" i="240" s="1"/>
  <c r="F78" i="240"/>
  <c r="I71" i="240"/>
  <c r="G78" i="240"/>
  <c r="J84" i="372"/>
  <c r="G42" i="374"/>
  <c r="I84" i="366"/>
  <c r="F25" i="241"/>
  <c r="D78" i="240"/>
  <c r="E84" i="372"/>
  <c r="J82" i="370"/>
  <c r="J84" i="371"/>
  <c r="F68" i="366"/>
  <c r="J42" i="374"/>
  <c r="D68" i="364"/>
  <c r="L71" i="240"/>
  <c r="K71" i="240"/>
  <c r="K74" i="364"/>
  <c r="K72" i="364" s="1"/>
  <c r="D42" i="366"/>
  <c r="D67" i="372"/>
  <c r="D19" i="368"/>
  <c r="H19" i="368" s="1"/>
  <c r="I28" i="365"/>
  <c r="D79" i="364"/>
  <c r="D18" i="370"/>
  <c r="H18" i="370" s="1"/>
  <c r="D27" i="365"/>
  <c r="G71" i="240"/>
  <c r="D72" i="364"/>
  <c r="F71" i="240"/>
  <c r="E25" i="241"/>
  <c r="K28" i="365"/>
  <c r="I72" i="364"/>
  <c r="D88" i="372"/>
  <c r="D30" i="366"/>
  <c r="D24" i="366"/>
  <c r="H24" i="366" s="1"/>
  <c r="D67" i="371"/>
  <c r="K32" i="366"/>
  <c r="K68" i="366" s="1"/>
  <c r="E84" i="366"/>
  <c r="H84" i="366" s="1"/>
  <c r="G84" i="371"/>
  <c r="D66" i="366"/>
  <c r="I84" i="372"/>
  <c r="K24" i="367"/>
  <c r="D32" i="366"/>
  <c r="D42" i="374"/>
  <c r="G24" i="367"/>
  <c r="C37" i="372"/>
  <c r="L19" i="372"/>
  <c r="C103" i="372"/>
  <c r="C103" i="371"/>
  <c r="L19" i="371"/>
  <c r="L73" i="370"/>
  <c r="L14" i="370"/>
  <c r="C34" i="370"/>
  <c r="L78" i="240" l="1"/>
  <c r="F23" i="241"/>
  <c r="L25" i="241"/>
  <c r="H78" i="240"/>
  <c r="H42" i="374"/>
  <c r="H30" i="366"/>
  <c r="E26" i="366"/>
  <c r="H26" i="366" s="1"/>
  <c r="H42" i="366"/>
  <c r="E116" i="372"/>
  <c r="H88" i="372"/>
  <c r="H67" i="372"/>
  <c r="H32" i="366"/>
  <c r="E68" i="364"/>
  <c r="H68" i="364" s="1"/>
  <c r="H69" i="364"/>
  <c r="E12" i="366"/>
  <c r="H20" i="366"/>
  <c r="E72" i="364"/>
  <c r="H72" i="364" s="1"/>
  <c r="H77" i="366"/>
  <c r="E66" i="370"/>
  <c r="H66" i="366"/>
  <c r="E64" i="366"/>
  <c r="E79" i="364"/>
  <c r="H79" i="364" s="1"/>
  <c r="H80" i="364"/>
  <c r="E23" i="241"/>
  <c r="H23" i="241" s="1"/>
  <c r="H25" i="241"/>
  <c r="E84" i="371"/>
  <c r="D23" i="241"/>
  <c r="D26" i="365"/>
  <c r="K85" i="366"/>
  <c r="I85" i="366"/>
  <c r="G85" i="366"/>
  <c r="F26" i="365"/>
  <c r="G26" i="365"/>
  <c r="F85" i="366"/>
  <c r="C101" i="371"/>
  <c r="C94" i="371" s="1"/>
  <c r="C88" i="371" s="1"/>
  <c r="C116" i="371" s="1"/>
  <c r="J85" i="366"/>
  <c r="C101" i="372"/>
  <c r="D84" i="372"/>
  <c r="H84" i="372" s="1"/>
  <c r="D26" i="366"/>
  <c r="D88" i="371"/>
  <c r="H88" i="371" s="1"/>
  <c r="D84" i="371"/>
  <c r="D116" i="372"/>
  <c r="D12" i="366"/>
  <c r="D64" i="366"/>
  <c r="D10" i="370"/>
  <c r="H10" i="370" s="1"/>
  <c r="G24" i="365"/>
  <c r="F24" i="365" l="1"/>
  <c r="L23" i="241"/>
  <c r="H116" i="372"/>
  <c r="H84" i="371"/>
  <c r="H12" i="366"/>
  <c r="H64" i="366"/>
  <c r="E68" i="366"/>
  <c r="D24" i="365"/>
  <c r="C94" i="372"/>
  <c r="D68" i="366"/>
  <c r="D116" i="371"/>
  <c r="H116" i="371" s="1"/>
  <c r="K27" i="375"/>
  <c r="J27" i="375"/>
  <c r="I27" i="375"/>
  <c r="G27" i="375"/>
  <c r="F27" i="375"/>
  <c r="E27" i="375"/>
  <c r="H27" i="375" s="1"/>
  <c r="D27" i="375"/>
  <c r="K72" i="374"/>
  <c r="K58" i="367" s="1"/>
  <c r="J72" i="374"/>
  <c r="J58" i="367" s="1"/>
  <c r="I72" i="374"/>
  <c r="I58" i="367" s="1"/>
  <c r="G72" i="374"/>
  <c r="G58" i="367" s="1"/>
  <c r="F72" i="374"/>
  <c r="F58" i="367" s="1"/>
  <c r="E72" i="374"/>
  <c r="E58" i="367" s="1"/>
  <c r="D72" i="374"/>
  <c r="K71" i="374"/>
  <c r="K57" i="367" s="1"/>
  <c r="J71" i="374"/>
  <c r="J57" i="367" s="1"/>
  <c r="I71" i="374"/>
  <c r="I57" i="367" s="1"/>
  <c r="G71" i="374"/>
  <c r="G57" i="367" s="1"/>
  <c r="F71" i="374"/>
  <c r="F57" i="367" s="1"/>
  <c r="E71" i="374"/>
  <c r="D71" i="374"/>
  <c r="K68" i="374"/>
  <c r="K38" i="367" s="1"/>
  <c r="J68" i="374"/>
  <c r="J38" i="367" s="1"/>
  <c r="I68" i="374"/>
  <c r="I38" i="367" s="1"/>
  <c r="G68" i="374"/>
  <c r="G38" i="367" s="1"/>
  <c r="F68" i="374"/>
  <c r="F38" i="367" s="1"/>
  <c r="E68" i="374"/>
  <c r="D68" i="374"/>
  <c r="K67" i="374"/>
  <c r="K36" i="367" s="1"/>
  <c r="J67" i="374"/>
  <c r="J36" i="367" s="1"/>
  <c r="I67" i="374"/>
  <c r="I36" i="367" s="1"/>
  <c r="G67" i="374"/>
  <c r="G36" i="367" s="1"/>
  <c r="F67" i="374"/>
  <c r="F36" i="367" s="1"/>
  <c r="E67" i="374"/>
  <c r="D67" i="374"/>
  <c r="K65" i="374"/>
  <c r="K33" i="367" s="1"/>
  <c r="J65" i="374"/>
  <c r="J33" i="367" s="1"/>
  <c r="I65" i="374"/>
  <c r="I33" i="367" s="1"/>
  <c r="G65" i="374"/>
  <c r="G33" i="367" s="1"/>
  <c r="F65" i="374"/>
  <c r="F33" i="367" s="1"/>
  <c r="E65" i="374"/>
  <c r="D65" i="374"/>
  <c r="K64" i="374"/>
  <c r="K32" i="367" s="1"/>
  <c r="J64" i="374"/>
  <c r="J32" i="367" s="1"/>
  <c r="I64" i="374"/>
  <c r="I32" i="367" s="1"/>
  <c r="G64" i="374"/>
  <c r="G32" i="367" s="1"/>
  <c r="F64" i="374"/>
  <c r="F32" i="367" s="1"/>
  <c r="E64" i="374"/>
  <c r="D64" i="374"/>
  <c r="K63" i="374"/>
  <c r="K31" i="367" s="1"/>
  <c r="J63" i="374"/>
  <c r="J31" i="367" s="1"/>
  <c r="I63" i="374"/>
  <c r="I31" i="367" s="1"/>
  <c r="G63" i="374"/>
  <c r="G31" i="367" s="1"/>
  <c r="F63" i="374"/>
  <c r="F31" i="367" s="1"/>
  <c r="E63" i="374"/>
  <c r="D63" i="374"/>
  <c r="K62" i="374"/>
  <c r="K30" i="367" s="1"/>
  <c r="J62" i="374"/>
  <c r="J30" i="367" s="1"/>
  <c r="I62" i="374"/>
  <c r="I30" i="367" s="1"/>
  <c r="G62" i="374"/>
  <c r="G30" i="367" s="1"/>
  <c r="F62" i="374"/>
  <c r="F30" i="367" s="1"/>
  <c r="E62" i="374"/>
  <c r="H62" i="374" s="1"/>
  <c r="D62" i="374"/>
  <c r="K60" i="374"/>
  <c r="K23" i="367" s="1"/>
  <c r="K17" i="367" s="1"/>
  <c r="J60" i="374"/>
  <c r="J23" i="367" s="1"/>
  <c r="J17" i="367" s="1"/>
  <c r="I60" i="374"/>
  <c r="I23" i="367" s="1"/>
  <c r="I17" i="367" s="1"/>
  <c r="G60" i="374"/>
  <c r="G23" i="367" s="1"/>
  <c r="G17" i="367" s="1"/>
  <c r="F60" i="374"/>
  <c r="F23" i="367" s="1"/>
  <c r="F17" i="367" s="1"/>
  <c r="E60" i="374"/>
  <c r="D60" i="374"/>
  <c r="K59" i="374"/>
  <c r="J59" i="374"/>
  <c r="I59" i="374"/>
  <c r="G59" i="374"/>
  <c r="F59" i="374"/>
  <c r="E59" i="374"/>
  <c r="H59" i="374" s="1"/>
  <c r="D59" i="374"/>
  <c r="K57" i="374"/>
  <c r="K16" i="367" s="1"/>
  <c r="J57" i="374"/>
  <c r="J16" i="367" s="1"/>
  <c r="I57" i="374"/>
  <c r="I16" i="367" s="1"/>
  <c r="G57" i="374"/>
  <c r="G16" i="367" s="1"/>
  <c r="F57" i="374"/>
  <c r="F16" i="367" s="1"/>
  <c r="E57" i="374"/>
  <c r="D57" i="374"/>
  <c r="K56" i="374"/>
  <c r="K15" i="367" s="1"/>
  <c r="J56" i="374"/>
  <c r="J15" i="367" s="1"/>
  <c r="I56" i="374"/>
  <c r="I15" i="367" s="1"/>
  <c r="G56" i="374"/>
  <c r="G15" i="367" s="1"/>
  <c r="F56" i="374"/>
  <c r="F15" i="367" s="1"/>
  <c r="E56" i="374"/>
  <c r="D56" i="374"/>
  <c r="K55" i="374"/>
  <c r="K14" i="367" s="1"/>
  <c r="J55" i="374"/>
  <c r="J14" i="367" s="1"/>
  <c r="I55" i="374"/>
  <c r="I14" i="367" s="1"/>
  <c r="G55" i="374"/>
  <c r="G14" i="367" s="1"/>
  <c r="F55" i="374"/>
  <c r="F14" i="367" s="1"/>
  <c r="E55" i="374"/>
  <c r="D55" i="374"/>
  <c r="K54" i="374"/>
  <c r="K13" i="367" s="1"/>
  <c r="J54" i="374"/>
  <c r="J13" i="367" s="1"/>
  <c r="I54" i="374"/>
  <c r="I13" i="367" s="1"/>
  <c r="G54" i="374"/>
  <c r="G13" i="367" s="1"/>
  <c r="F54" i="374"/>
  <c r="F13" i="367" s="1"/>
  <c r="E54" i="374"/>
  <c r="D54" i="374"/>
  <c r="K53" i="374"/>
  <c r="K12" i="367" s="1"/>
  <c r="J53" i="374"/>
  <c r="J12" i="367" s="1"/>
  <c r="I53" i="374"/>
  <c r="I12" i="367" s="1"/>
  <c r="G53" i="374"/>
  <c r="G12" i="367" s="1"/>
  <c r="F53" i="374"/>
  <c r="F12" i="367" s="1"/>
  <c r="E53" i="374"/>
  <c r="D53" i="374"/>
  <c r="D53" i="392"/>
  <c r="K32" i="392"/>
  <c r="J32" i="392"/>
  <c r="I32" i="392"/>
  <c r="G32" i="392"/>
  <c r="F32" i="392"/>
  <c r="E32" i="392"/>
  <c r="D32" i="392"/>
  <c r="D47" i="392" s="1"/>
  <c r="K28" i="392"/>
  <c r="J28" i="392"/>
  <c r="I28" i="392"/>
  <c r="G28" i="392"/>
  <c r="F28" i="392"/>
  <c r="E28" i="392"/>
  <c r="D28" i="392"/>
  <c r="K22" i="392"/>
  <c r="J22" i="392"/>
  <c r="I22" i="392"/>
  <c r="G22" i="392"/>
  <c r="F22" i="392"/>
  <c r="E22" i="392"/>
  <c r="D22" i="392"/>
  <c r="K10" i="392"/>
  <c r="K42" i="392" s="1"/>
  <c r="J10" i="392"/>
  <c r="I10" i="392"/>
  <c r="G10" i="392"/>
  <c r="F10" i="392"/>
  <c r="F42" i="392" s="1"/>
  <c r="E10" i="392"/>
  <c r="H10" i="392" s="1"/>
  <c r="D10" i="392"/>
  <c r="C22" i="392"/>
  <c r="C10" i="392"/>
  <c r="G42" i="392" l="1"/>
  <c r="E36" i="367"/>
  <c r="H67" i="374"/>
  <c r="D42" i="392"/>
  <c r="I42" i="392"/>
  <c r="H22" i="392"/>
  <c r="E23" i="367"/>
  <c r="E17" i="367" s="1"/>
  <c r="H60" i="374"/>
  <c r="E33" i="367"/>
  <c r="H65" i="374"/>
  <c r="H32" i="392"/>
  <c r="E47" i="392"/>
  <c r="H47" i="392" s="1"/>
  <c r="H28" i="392"/>
  <c r="E32" i="367"/>
  <c r="H64" i="374"/>
  <c r="E57" i="367"/>
  <c r="H57" i="367" s="1"/>
  <c r="H71" i="374"/>
  <c r="E16" i="367"/>
  <c r="H57" i="374"/>
  <c r="E31" i="367"/>
  <c r="H31" i="367" s="1"/>
  <c r="H63" i="374"/>
  <c r="E38" i="367"/>
  <c r="H38" i="367" s="1"/>
  <c r="H68" i="374"/>
  <c r="E15" i="367"/>
  <c r="H56" i="374"/>
  <c r="H68" i="366"/>
  <c r="E85" i="366"/>
  <c r="E30" i="367"/>
  <c r="H30" i="367" s="1"/>
  <c r="E13" i="367"/>
  <c r="H54" i="374"/>
  <c r="E14" i="367"/>
  <c r="H14" i="367" s="1"/>
  <c r="H55" i="374"/>
  <c r="E12" i="367"/>
  <c r="H53" i="374"/>
  <c r="E42" i="392"/>
  <c r="G58" i="374"/>
  <c r="G52" i="374" s="1"/>
  <c r="J42" i="392"/>
  <c r="I58" i="374"/>
  <c r="D66" i="374"/>
  <c r="I34" i="367"/>
  <c r="I29" i="367" s="1"/>
  <c r="E58" i="374"/>
  <c r="J58" i="374"/>
  <c r="J52" i="374" s="1"/>
  <c r="F58" i="374"/>
  <c r="F52" i="374" s="1"/>
  <c r="K58" i="374"/>
  <c r="K52" i="374" s="1"/>
  <c r="G66" i="374"/>
  <c r="G61" i="374" s="1"/>
  <c r="G34" i="367"/>
  <c r="G29" i="367" s="1"/>
  <c r="D61" i="374"/>
  <c r="D58" i="374"/>
  <c r="D52" i="374" s="1"/>
  <c r="D70" i="392"/>
  <c r="I52" i="374"/>
  <c r="I66" i="374"/>
  <c r="I61" i="374" s="1"/>
  <c r="J34" i="367"/>
  <c r="J29" i="367" s="1"/>
  <c r="I11" i="367"/>
  <c r="J66" i="374"/>
  <c r="J61" i="374" s="1"/>
  <c r="F34" i="367"/>
  <c r="F29" i="367" s="1"/>
  <c r="K34" i="367"/>
  <c r="K29" i="367" s="1"/>
  <c r="E66" i="374"/>
  <c r="K66" i="374"/>
  <c r="K61" i="374" s="1"/>
  <c r="D13" i="367"/>
  <c r="K11" i="367"/>
  <c r="D30" i="367"/>
  <c r="D57" i="367"/>
  <c r="G40" i="368"/>
  <c r="G31" i="368" s="1"/>
  <c r="G24" i="368"/>
  <c r="D12" i="367"/>
  <c r="D16" i="367"/>
  <c r="G11" i="367"/>
  <c r="D33" i="367"/>
  <c r="D24" i="368"/>
  <c r="D40" i="368"/>
  <c r="I24" i="368"/>
  <c r="I40" i="368"/>
  <c r="I31" i="368" s="1"/>
  <c r="D85" i="366"/>
  <c r="J11" i="367"/>
  <c r="D15" i="367"/>
  <c r="D23" i="367"/>
  <c r="D32" i="367"/>
  <c r="F66" i="374"/>
  <c r="F61" i="374" s="1"/>
  <c r="D38" i="367"/>
  <c r="E40" i="368"/>
  <c r="E24" i="368"/>
  <c r="H24" i="368" s="1"/>
  <c r="J40" i="368"/>
  <c r="J31" i="368" s="1"/>
  <c r="J24" i="368"/>
  <c r="F11" i="367"/>
  <c r="D14" i="367"/>
  <c r="D31" i="367"/>
  <c r="D36" i="367"/>
  <c r="D58" i="367"/>
  <c r="F40" i="368"/>
  <c r="F24" i="368"/>
  <c r="K40" i="368"/>
  <c r="K31" i="368" s="1"/>
  <c r="K24" i="368"/>
  <c r="C88" i="372"/>
  <c r="H13" i="367" l="1"/>
  <c r="E61" i="374"/>
  <c r="H61" i="374" s="1"/>
  <c r="H66" i="374"/>
  <c r="H23" i="367"/>
  <c r="H85" i="366"/>
  <c r="P41" i="369" s="1"/>
  <c r="H16" i="367"/>
  <c r="H32" i="367"/>
  <c r="E34" i="367"/>
  <c r="H36" i="367"/>
  <c r="E31" i="368"/>
  <c r="H31" i="368" s="1"/>
  <c r="H40" i="368"/>
  <c r="E52" i="374"/>
  <c r="H52" i="374" s="1"/>
  <c r="H58" i="374"/>
  <c r="H12" i="367"/>
  <c r="H15" i="367"/>
  <c r="H33" i="367"/>
  <c r="E11" i="367"/>
  <c r="E29" i="367"/>
  <c r="H42" i="392"/>
  <c r="D46" i="392"/>
  <c r="G39" i="367"/>
  <c r="J39" i="367"/>
  <c r="I39" i="367"/>
  <c r="F39" i="367"/>
  <c r="K39" i="367"/>
  <c r="D17" i="367"/>
  <c r="H17" i="367" s="1"/>
  <c r="D31" i="368"/>
  <c r="F31" i="368"/>
  <c r="C116" i="372"/>
  <c r="D34" i="367"/>
  <c r="H34" i="367" s="1"/>
  <c r="C20" i="37"/>
  <c r="C19" i="37" s="1"/>
  <c r="D11" i="367" l="1"/>
  <c r="H11" i="367" s="1"/>
  <c r="E39" i="367"/>
  <c r="D43" i="392"/>
  <c r="D29" i="367"/>
  <c r="H29" i="367" s="1"/>
  <c r="C17" i="241"/>
  <c r="G12" i="407"/>
  <c r="G13" i="407"/>
  <c r="G14" i="407"/>
  <c r="G15" i="407"/>
  <c r="G11" i="407"/>
  <c r="D48" i="392" l="1"/>
  <c r="G16" i="407"/>
  <c r="D39" i="367"/>
  <c r="H39" i="367" s="1"/>
  <c r="F16" i="407"/>
  <c r="E16" i="407"/>
  <c r="D16" i="407"/>
  <c r="C23" i="408" l="1"/>
  <c r="C42" i="370"/>
  <c r="C95" i="370" l="1"/>
  <c r="C18" i="368" l="1"/>
  <c r="C117" i="239"/>
  <c r="G27" i="395" l="1"/>
  <c r="A12" i="395"/>
  <c r="A16" i="395"/>
  <c r="A17" i="395"/>
  <c r="A51" i="394"/>
  <c r="A47" i="394"/>
  <c r="A41" i="394"/>
  <c r="F32" i="394"/>
  <c r="F66" i="394" s="1"/>
  <c r="A27" i="394"/>
  <c r="A28" i="394"/>
  <c r="A29" i="394"/>
  <c r="A11" i="394"/>
  <c r="A12" i="394"/>
  <c r="A13" i="394"/>
  <c r="A14" i="394"/>
  <c r="H67" i="393" l="1"/>
  <c r="H62" i="393" s="1"/>
  <c r="H59" i="393"/>
  <c r="H53" i="393" s="1"/>
  <c r="L62" i="392"/>
  <c r="K47" i="392"/>
  <c r="J47" i="392"/>
  <c r="I47" i="392"/>
  <c r="G47" i="392"/>
  <c r="F47" i="392"/>
  <c r="L53" i="392"/>
  <c r="K53" i="392"/>
  <c r="J53" i="392"/>
  <c r="I53" i="392"/>
  <c r="G53" i="392"/>
  <c r="F53" i="392"/>
  <c r="E53" i="392"/>
  <c r="H53" i="392" s="1"/>
  <c r="C53" i="392"/>
  <c r="C70" i="392" s="1"/>
  <c r="L32" i="392"/>
  <c r="C32" i="392"/>
  <c r="L28" i="392"/>
  <c r="C28" i="392"/>
  <c r="C42" i="392" s="1"/>
  <c r="L22" i="392"/>
  <c r="L10" i="392"/>
  <c r="K73" i="391"/>
  <c r="J73" i="391"/>
  <c r="I73" i="391"/>
  <c r="H73" i="391"/>
  <c r="G73" i="391"/>
  <c r="F73" i="391"/>
  <c r="E73" i="391"/>
  <c r="D73" i="391"/>
  <c r="C73" i="391"/>
  <c r="K72" i="391"/>
  <c r="J72" i="391"/>
  <c r="I72" i="391"/>
  <c r="G72" i="391"/>
  <c r="F72" i="391"/>
  <c r="E72" i="391"/>
  <c r="D72" i="391"/>
  <c r="C72" i="391"/>
  <c r="K69" i="391"/>
  <c r="J69" i="391"/>
  <c r="I69" i="391"/>
  <c r="H69" i="391"/>
  <c r="G69" i="391"/>
  <c r="F69" i="391"/>
  <c r="E69" i="391"/>
  <c r="D69" i="391"/>
  <c r="C69" i="391"/>
  <c r="K68" i="391"/>
  <c r="J68" i="391"/>
  <c r="I68" i="391"/>
  <c r="H68" i="391"/>
  <c r="G68" i="391"/>
  <c r="F68" i="391"/>
  <c r="E68" i="391"/>
  <c r="D68" i="391"/>
  <c r="C68" i="391"/>
  <c r="K67" i="391"/>
  <c r="J67" i="391"/>
  <c r="I67" i="391"/>
  <c r="H67" i="391"/>
  <c r="G67" i="391"/>
  <c r="F67" i="391"/>
  <c r="E67" i="391"/>
  <c r="D67" i="391"/>
  <c r="C67" i="391"/>
  <c r="K66" i="391"/>
  <c r="J66" i="391"/>
  <c r="I66" i="391"/>
  <c r="H66" i="391"/>
  <c r="G66" i="391"/>
  <c r="F66" i="391"/>
  <c r="E66" i="391"/>
  <c r="D66" i="391"/>
  <c r="C66" i="391"/>
  <c r="K64" i="391"/>
  <c r="J64" i="391"/>
  <c r="I64" i="391"/>
  <c r="H64" i="391"/>
  <c r="G64" i="391"/>
  <c r="F64" i="391"/>
  <c r="E64" i="391"/>
  <c r="D64" i="391"/>
  <c r="C64" i="391"/>
  <c r="K61" i="391"/>
  <c r="J61" i="391"/>
  <c r="I61" i="391"/>
  <c r="H61" i="391"/>
  <c r="G61" i="391"/>
  <c r="F61" i="391"/>
  <c r="E61" i="391"/>
  <c r="D61" i="391"/>
  <c r="C61" i="391"/>
  <c r="K60" i="391"/>
  <c r="J60" i="391"/>
  <c r="I60" i="391"/>
  <c r="H60" i="391"/>
  <c r="G60" i="391"/>
  <c r="F60" i="391"/>
  <c r="E60" i="391"/>
  <c r="D60" i="391"/>
  <c r="C60" i="391"/>
  <c r="K58" i="391"/>
  <c r="J58" i="391"/>
  <c r="I58" i="391"/>
  <c r="H58" i="391"/>
  <c r="G58" i="391"/>
  <c r="F58" i="391"/>
  <c r="E58" i="391"/>
  <c r="D58" i="391"/>
  <c r="C58" i="391"/>
  <c r="K57" i="391"/>
  <c r="J57" i="391"/>
  <c r="I57" i="391"/>
  <c r="H57" i="391"/>
  <c r="G57" i="391"/>
  <c r="F57" i="391"/>
  <c r="E57" i="391"/>
  <c r="D57" i="391"/>
  <c r="C57" i="391"/>
  <c r="K56" i="391"/>
  <c r="J56" i="391"/>
  <c r="I56" i="391"/>
  <c r="H56" i="391"/>
  <c r="G56" i="391"/>
  <c r="F56" i="391"/>
  <c r="E56" i="391"/>
  <c r="D56" i="391"/>
  <c r="C56" i="391"/>
  <c r="K55" i="391"/>
  <c r="J55" i="391"/>
  <c r="I55" i="391"/>
  <c r="H55" i="391"/>
  <c r="G55" i="391"/>
  <c r="F55" i="391"/>
  <c r="E55" i="391"/>
  <c r="D55" i="391"/>
  <c r="C55" i="391"/>
  <c r="K54" i="391"/>
  <c r="J54" i="391"/>
  <c r="I54" i="391"/>
  <c r="H54" i="391"/>
  <c r="G54" i="391"/>
  <c r="F54" i="391"/>
  <c r="E54" i="391"/>
  <c r="D54" i="391"/>
  <c r="C54" i="391"/>
  <c r="K45" i="391"/>
  <c r="J45" i="391"/>
  <c r="I45" i="391"/>
  <c r="H45" i="391"/>
  <c r="G45" i="391"/>
  <c r="F45" i="391"/>
  <c r="E45" i="391"/>
  <c r="D45" i="391"/>
  <c r="C45" i="391"/>
  <c r="K44" i="391"/>
  <c r="J44" i="391"/>
  <c r="I44" i="391"/>
  <c r="H44" i="391"/>
  <c r="G44" i="391"/>
  <c r="F44" i="391"/>
  <c r="E44" i="391"/>
  <c r="C44" i="391"/>
  <c r="K41" i="391"/>
  <c r="J41" i="391"/>
  <c r="I41" i="391"/>
  <c r="H41" i="391"/>
  <c r="G41" i="391"/>
  <c r="F41" i="391"/>
  <c r="E41" i="391"/>
  <c r="D41" i="391"/>
  <c r="C41" i="391"/>
  <c r="K40" i="391"/>
  <c r="J40" i="391"/>
  <c r="I40" i="391"/>
  <c r="H40" i="391"/>
  <c r="G40" i="391"/>
  <c r="F40" i="391"/>
  <c r="E40" i="391"/>
  <c r="D40" i="391"/>
  <c r="C40" i="391"/>
  <c r="K39" i="391"/>
  <c r="J39" i="391"/>
  <c r="I39" i="391"/>
  <c r="H39" i="391"/>
  <c r="G39" i="391"/>
  <c r="F39" i="391"/>
  <c r="E39" i="391"/>
  <c r="D39" i="391"/>
  <c r="K37" i="391"/>
  <c r="J37" i="391"/>
  <c r="I37" i="391"/>
  <c r="H37" i="391"/>
  <c r="G37" i="391"/>
  <c r="F37" i="391"/>
  <c r="E37" i="391"/>
  <c r="D37" i="391"/>
  <c r="C37" i="391"/>
  <c r="K36" i="391"/>
  <c r="J36" i="391"/>
  <c r="I36" i="391"/>
  <c r="H36" i="391"/>
  <c r="G36" i="391"/>
  <c r="F36" i="391"/>
  <c r="E36" i="391"/>
  <c r="D36" i="391"/>
  <c r="C36" i="391"/>
  <c r="K35" i="391"/>
  <c r="J35" i="391"/>
  <c r="I35" i="391"/>
  <c r="H35" i="391"/>
  <c r="G35" i="391"/>
  <c r="F35" i="391"/>
  <c r="E35" i="391"/>
  <c r="D35" i="391"/>
  <c r="C35" i="391"/>
  <c r="K34" i="391"/>
  <c r="J34" i="391"/>
  <c r="I34" i="391"/>
  <c r="H34" i="391"/>
  <c r="G34" i="391"/>
  <c r="F34" i="391"/>
  <c r="E34" i="391"/>
  <c r="D34" i="391"/>
  <c r="C34" i="391"/>
  <c r="K33" i="391"/>
  <c r="J33" i="391"/>
  <c r="I33" i="391"/>
  <c r="H33" i="391"/>
  <c r="G33" i="391"/>
  <c r="F33" i="391"/>
  <c r="E33" i="391"/>
  <c r="D33" i="391"/>
  <c r="C33" i="391"/>
  <c r="K31" i="391"/>
  <c r="J31" i="391"/>
  <c r="I31" i="391"/>
  <c r="H31" i="391"/>
  <c r="G31" i="391"/>
  <c r="F31" i="391"/>
  <c r="E31" i="391"/>
  <c r="D31" i="391"/>
  <c r="C31" i="391"/>
  <c r="K30" i="391"/>
  <c r="J30" i="391"/>
  <c r="I30" i="391"/>
  <c r="H30" i="391"/>
  <c r="G30" i="391"/>
  <c r="F30" i="391"/>
  <c r="E30" i="391"/>
  <c r="D30" i="391"/>
  <c r="C30" i="391"/>
  <c r="K29" i="391"/>
  <c r="J29" i="391"/>
  <c r="I29" i="391"/>
  <c r="H29" i="391"/>
  <c r="G29" i="391"/>
  <c r="F29" i="391"/>
  <c r="E29" i="391"/>
  <c r="D29" i="391"/>
  <c r="C29" i="391"/>
  <c r="K27" i="391"/>
  <c r="J27" i="391"/>
  <c r="I27" i="391"/>
  <c r="H27" i="391"/>
  <c r="G27" i="391"/>
  <c r="F27" i="391"/>
  <c r="E27" i="391"/>
  <c r="D27" i="391"/>
  <c r="C27" i="391"/>
  <c r="K26" i="391"/>
  <c r="J26" i="391"/>
  <c r="I26" i="391"/>
  <c r="H26" i="391"/>
  <c r="G26" i="391"/>
  <c r="F26" i="391"/>
  <c r="E26" i="391"/>
  <c r="D26" i="391"/>
  <c r="C26" i="391"/>
  <c r="K25" i="391"/>
  <c r="J25" i="391"/>
  <c r="I25" i="391"/>
  <c r="G25" i="391"/>
  <c r="F25" i="391"/>
  <c r="E25" i="391"/>
  <c r="D25" i="391"/>
  <c r="C25" i="391"/>
  <c r="K24" i="391"/>
  <c r="J24" i="391"/>
  <c r="I24" i="391"/>
  <c r="H24" i="391"/>
  <c r="G24" i="391"/>
  <c r="F24" i="391"/>
  <c r="E24" i="391"/>
  <c r="D24" i="391"/>
  <c r="C24" i="391"/>
  <c r="K23" i="391"/>
  <c r="J23" i="391"/>
  <c r="I23" i="391"/>
  <c r="H23" i="391"/>
  <c r="G23" i="391"/>
  <c r="F23" i="391"/>
  <c r="E23" i="391"/>
  <c r="D23" i="391"/>
  <c r="C23" i="391"/>
  <c r="K21" i="391"/>
  <c r="J21" i="391"/>
  <c r="I21" i="391"/>
  <c r="H21" i="391"/>
  <c r="G21" i="391"/>
  <c r="F21" i="391"/>
  <c r="E21" i="391"/>
  <c r="D21" i="391"/>
  <c r="C21" i="391"/>
  <c r="K20" i="391"/>
  <c r="J20" i="391"/>
  <c r="I20" i="391"/>
  <c r="H20" i="391"/>
  <c r="G20" i="391"/>
  <c r="F20" i="391"/>
  <c r="E20" i="391"/>
  <c r="D20" i="391"/>
  <c r="C20" i="391"/>
  <c r="K19" i="391"/>
  <c r="J19" i="391"/>
  <c r="I19" i="391"/>
  <c r="H19" i="391"/>
  <c r="G19" i="391"/>
  <c r="F19" i="391"/>
  <c r="E19" i="391"/>
  <c r="D19" i="391"/>
  <c r="C19" i="391"/>
  <c r="K18" i="391"/>
  <c r="J18" i="391"/>
  <c r="I18" i="391"/>
  <c r="H18" i="391"/>
  <c r="G18" i="391"/>
  <c r="F18" i="391"/>
  <c r="E18" i="391"/>
  <c r="D18" i="391"/>
  <c r="C18" i="391"/>
  <c r="K17" i="391"/>
  <c r="J17" i="391"/>
  <c r="I17" i="391"/>
  <c r="H17" i="391"/>
  <c r="G17" i="391"/>
  <c r="F17" i="391"/>
  <c r="E17" i="391"/>
  <c r="D17" i="391"/>
  <c r="C17" i="391"/>
  <c r="K16" i="391"/>
  <c r="J16" i="391"/>
  <c r="I16" i="391"/>
  <c r="H16" i="391"/>
  <c r="G16" i="391"/>
  <c r="F16" i="391"/>
  <c r="E16" i="391"/>
  <c r="D16" i="391"/>
  <c r="C16" i="391"/>
  <c r="K15" i="391"/>
  <c r="J15" i="391"/>
  <c r="I15" i="391"/>
  <c r="H15" i="391"/>
  <c r="G15" i="391"/>
  <c r="F15" i="391"/>
  <c r="E15" i="391"/>
  <c r="D15" i="391"/>
  <c r="C15" i="391"/>
  <c r="K14" i="391"/>
  <c r="J14" i="391"/>
  <c r="I14" i="391"/>
  <c r="H14" i="391"/>
  <c r="G14" i="391"/>
  <c r="F14" i="391"/>
  <c r="E14" i="391"/>
  <c r="D14" i="391"/>
  <c r="C14" i="391"/>
  <c r="K13" i="391"/>
  <c r="J13" i="391"/>
  <c r="I13" i="391"/>
  <c r="H13" i="391"/>
  <c r="G13" i="391"/>
  <c r="F13" i="391"/>
  <c r="E13" i="391"/>
  <c r="D13" i="391"/>
  <c r="C13" i="391"/>
  <c r="K12" i="391"/>
  <c r="J12" i="391"/>
  <c r="I12" i="391"/>
  <c r="H12" i="391"/>
  <c r="G12" i="391"/>
  <c r="F12" i="391"/>
  <c r="E12" i="391"/>
  <c r="D12" i="391"/>
  <c r="C12" i="391"/>
  <c r="K11" i="391"/>
  <c r="J11" i="391"/>
  <c r="I11" i="391"/>
  <c r="G11" i="391"/>
  <c r="F11" i="391"/>
  <c r="E11" i="391"/>
  <c r="D11" i="391"/>
  <c r="C11" i="391"/>
  <c r="H69" i="390"/>
  <c r="H68" i="390"/>
  <c r="D67" i="390"/>
  <c r="C67" i="390"/>
  <c r="C62" i="390" s="1"/>
  <c r="H66" i="390"/>
  <c r="H65" i="390"/>
  <c r="H64" i="390"/>
  <c r="H63" i="390"/>
  <c r="H61" i="390"/>
  <c r="H60" i="390"/>
  <c r="D59" i="390"/>
  <c r="D53" i="390" s="1"/>
  <c r="C59" i="390"/>
  <c r="H58" i="390"/>
  <c r="H57" i="390"/>
  <c r="H56" i="390"/>
  <c r="H55" i="390"/>
  <c r="H54" i="390"/>
  <c r="H47" i="390"/>
  <c r="H46" i="390"/>
  <c r="H45" i="390"/>
  <c r="H44" i="390"/>
  <c r="D43" i="390"/>
  <c r="C43" i="390"/>
  <c r="H41" i="390"/>
  <c r="H40" i="390"/>
  <c r="H39" i="390"/>
  <c r="D38" i="390"/>
  <c r="C38" i="390"/>
  <c r="H37" i="390"/>
  <c r="H36" i="390"/>
  <c r="H35" i="390"/>
  <c r="H34" i="390"/>
  <c r="H33" i="390"/>
  <c r="D32" i="390"/>
  <c r="C32" i="390"/>
  <c r="H31" i="390"/>
  <c r="H30" i="390"/>
  <c r="H29" i="390"/>
  <c r="D28" i="390"/>
  <c r="C28" i="390"/>
  <c r="H27" i="390"/>
  <c r="H26" i="390"/>
  <c r="H25" i="390"/>
  <c r="H24" i="390"/>
  <c r="H23" i="390"/>
  <c r="D22" i="390"/>
  <c r="C22" i="390"/>
  <c r="H21" i="390"/>
  <c r="H20" i="390"/>
  <c r="H19" i="390"/>
  <c r="H18" i="390"/>
  <c r="H17" i="390"/>
  <c r="H16" i="390"/>
  <c r="H15" i="390"/>
  <c r="H14" i="390"/>
  <c r="H13" i="390"/>
  <c r="H12" i="390"/>
  <c r="H11" i="390"/>
  <c r="D10" i="390"/>
  <c r="C10" i="390"/>
  <c r="L67" i="389"/>
  <c r="L62" i="389" s="1"/>
  <c r="L47" i="389" s="1"/>
  <c r="K67" i="389"/>
  <c r="J67" i="389"/>
  <c r="J62" i="389" s="1"/>
  <c r="J47" i="389" s="1"/>
  <c r="I67" i="389"/>
  <c r="G67" i="389"/>
  <c r="F67" i="389"/>
  <c r="E67" i="389"/>
  <c r="E67" i="388" s="1"/>
  <c r="D67" i="389"/>
  <c r="D67" i="388" s="1"/>
  <c r="C67" i="389"/>
  <c r="L53" i="389"/>
  <c r="K53" i="389"/>
  <c r="J53" i="389"/>
  <c r="I53" i="389"/>
  <c r="G53" i="389"/>
  <c r="F53" i="389"/>
  <c r="E53" i="389"/>
  <c r="H53" i="389" s="1"/>
  <c r="D53" i="389"/>
  <c r="C53" i="389"/>
  <c r="L32" i="389"/>
  <c r="K32" i="389"/>
  <c r="J32" i="389"/>
  <c r="I32" i="389"/>
  <c r="G32" i="389"/>
  <c r="F32" i="389"/>
  <c r="E32" i="389"/>
  <c r="H32" i="389" s="1"/>
  <c r="D32" i="389"/>
  <c r="C32" i="389"/>
  <c r="L28" i="389"/>
  <c r="K28" i="389"/>
  <c r="J28" i="389"/>
  <c r="I28" i="389"/>
  <c r="G28" i="389"/>
  <c r="F28" i="389"/>
  <c r="E28" i="389"/>
  <c r="D28" i="389"/>
  <c r="C28" i="389"/>
  <c r="L22" i="389"/>
  <c r="K22" i="389"/>
  <c r="J22" i="389"/>
  <c r="I22" i="389"/>
  <c r="G22" i="389"/>
  <c r="F22" i="389"/>
  <c r="E22" i="389"/>
  <c r="D22" i="389"/>
  <c r="C22" i="389"/>
  <c r="L10" i="389"/>
  <c r="K10" i="389"/>
  <c r="J10" i="389"/>
  <c r="I10" i="389"/>
  <c r="G10" i="389"/>
  <c r="F10" i="389"/>
  <c r="E10" i="389"/>
  <c r="H10" i="389" s="1"/>
  <c r="D10" i="389"/>
  <c r="C10" i="389"/>
  <c r="C73" i="388"/>
  <c r="K72" i="388"/>
  <c r="J72" i="388"/>
  <c r="I72" i="388"/>
  <c r="G72" i="388"/>
  <c r="F72" i="388"/>
  <c r="C72" i="388"/>
  <c r="K68" i="388"/>
  <c r="J68" i="388"/>
  <c r="I68" i="388"/>
  <c r="G68" i="388"/>
  <c r="F68" i="388"/>
  <c r="K67" i="388"/>
  <c r="J67" i="388"/>
  <c r="I67" i="388"/>
  <c r="G67" i="388"/>
  <c r="F67" i="388"/>
  <c r="K65" i="388"/>
  <c r="J65" i="388"/>
  <c r="I65" i="388"/>
  <c r="G65" i="388"/>
  <c r="F65" i="388"/>
  <c r="K63" i="388"/>
  <c r="J63" i="388"/>
  <c r="I63" i="388"/>
  <c r="G63" i="388"/>
  <c r="F63" i="388"/>
  <c r="C61" i="388"/>
  <c r="K60" i="388"/>
  <c r="J60" i="388"/>
  <c r="I60" i="388"/>
  <c r="G60" i="388"/>
  <c r="F60" i="388"/>
  <c r="K59" i="388"/>
  <c r="J59" i="388"/>
  <c r="I59" i="388"/>
  <c r="G59" i="388"/>
  <c r="F59" i="388"/>
  <c r="C58" i="388"/>
  <c r="K57" i="388"/>
  <c r="J57" i="388"/>
  <c r="I57" i="388"/>
  <c r="G57" i="388"/>
  <c r="F57" i="388"/>
  <c r="C57" i="388"/>
  <c r="K56" i="388"/>
  <c r="J56" i="388"/>
  <c r="I56" i="388"/>
  <c r="G56" i="388"/>
  <c r="F56" i="388"/>
  <c r="C56" i="388"/>
  <c r="K55" i="388"/>
  <c r="J55" i="388"/>
  <c r="I55" i="388"/>
  <c r="G55" i="388"/>
  <c r="F55" i="388"/>
  <c r="C55" i="388"/>
  <c r="K54" i="388"/>
  <c r="J54" i="388"/>
  <c r="I54" i="388"/>
  <c r="G54" i="388"/>
  <c r="F54" i="388"/>
  <c r="C54" i="388"/>
  <c r="K53" i="388"/>
  <c r="J53" i="388"/>
  <c r="I53" i="388"/>
  <c r="G53" i="388"/>
  <c r="F53" i="388"/>
  <c r="K45" i="388"/>
  <c r="J45" i="388"/>
  <c r="I45" i="388"/>
  <c r="G45" i="388"/>
  <c r="F45" i="388"/>
  <c r="E45" i="388"/>
  <c r="H45" i="388" s="1"/>
  <c r="D45" i="388"/>
  <c r="C45" i="388"/>
  <c r="K44" i="388"/>
  <c r="J44" i="388"/>
  <c r="I44" i="388"/>
  <c r="G44" i="388"/>
  <c r="F44" i="388"/>
  <c r="E44" i="388"/>
  <c r="H44" i="388" s="1"/>
  <c r="D44" i="388"/>
  <c r="C44" i="388"/>
  <c r="K41" i="388"/>
  <c r="J41" i="388"/>
  <c r="I41" i="388"/>
  <c r="G41" i="388"/>
  <c r="F41" i="388"/>
  <c r="E41" i="388"/>
  <c r="H41" i="388" s="1"/>
  <c r="D41" i="388"/>
  <c r="C41" i="388"/>
  <c r="K40" i="388"/>
  <c r="J40" i="388"/>
  <c r="I40" i="388"/>
  <c r="G40" i="388"/>
  <c r="F40" i="388"/>
  <c r="E40" i="388"/>
  <c r="H40" i="388" s="1"/>
  <c r="D40" i="388"/>
  <c r="C40" i="388"/>
  <c r="K39" i="388"/>
  <c r="J39" i="388"/>
  <c r="I39" i="388"/>
  <c r="G39" i="388"/>
  <c r="F39" i="388"/>
  <c r="E39" i="388"/>
  <c r="H39" i="388" s="1"/>
  <c r="D39" i="388"/>
  <c r="C39" i="388"/>
  <c r="K37" i="388"/>
  <c r="J37" i="388"/>
  <c r="I37" i="388"/>
  <c r="G37" i="388"/>
  <c r="F37" i="388"/>
  <c r="E37" i="388"/>
  <c r="H37" i="388" s="1"/>
  <c r="D37" i="388"/>
  <c r="C37" i="388"/>
  <c r="K36" i="388"/>
  <c r="J36" i="388"/>
  <c r="I36" i="388"/>
  <c r="G36" i="388"/>
  <c r="F36" i="388"/>
  <c r="E36" i="388"/>
  <c r="H36" i="388" s="1"/>
  <c r="D36" i="388"/>
  <c r="C36" i="388"/>
  <c r="K35" i="388"/>
  <c r="J35" i="388"/>
  <c r="I35" i="388"/>
  <c r="G35" i="388"/>
  <c r="F35" i="388"/>
  <c r="E35" i="388"/>
  <c r="H35" i="388" s="1"/>
  <c r="D35" i="388"/>
  <c r="C35" i="388"/>
  <c r="K34" i="388"/>
  <c r="J34" i="388"/>
  <c r="I34" i="388"/>
  <c r="G34" i="388"/>
  <c r="F34" i="388"/>
  <c r="E34" i="388"/>
  <c r="H34" i="388" s="1"/>
  <c r="D34" i="388"/>
  <c r="C34" i="388"/>
  <c r="K33" i="388"/>
  <c r="J33" i="388"/>
  <c r="I33" i="388"/>
  <c r="G33" i="388"/>
  <c r="F33" i="388"/>
  <c r="E33" i="388"/>
  <c r="H33" i="388" s="1"/>
  <c r="D33" i="388"/>
  <c r="C33" i="388"/>
  <c r="K31" i="388"/>
  <c r="J31" i="388"/>
  <c r="I31" i="388"/>
  <c r="G31" i="388"/>
  <c r="F31" i="388"/>
  <c r="E31" i="388"/>
  <c r="H31" i="388" s="1"/>
  <c r="D31" i="388"/>
  <c r="C31" i="388"/>
  <c r="K30" i="388"/>
  <c r="J30" i="388"/>
  <c r="I30" i="388"/>
  <c r="G30" i="388"/>
  <c r="F30" i="388"/>
  <c r="E30" i="388"/>
  <c r="H30" i="388" s="1"/>
  <c r="D30" i="388"/>
  <c r="C30" i="388"/>
  <c r="K29" i="388"/>
  <c r="J29" i="388"/>
  <c r="I29" i="388"/>
  <c r="G29" i="388"/>
  <c r="F29" i="388"/>
  <c r="E29" i="388"/>
  <c r="H29" i="388" s="1"/>
  <c r="D29" i="388"/>
  <c r="C29" i="388"/>
  <c r="K27" i="388"/>
  <c r="J27" i="388"/>
  <c r="I27" i="388"/>
  <c r="G27" i="388"/>
  <c r="F27" i="388"/>
  <c r="E27" i="388"/>
  <c r="H27" i="388" s="1"/>
  <c r="D27" i="388"/>
  <c r="C27" i="388"/>
  <c r="K26" i="388"/>
  <c r="J26" i="388"/>
  <c r="I26" i="388"/>
  <c r="G26" i="388"/>
  <c r="F26" i="388"/>
  <c r="E26" i="388"/>
  <c r="H26" i="388" s="1"/>
  <c r="D26" i="388"/>
  <c r="C26" i="388"/>
  <c r="K25" i="388"/>
  <c r="J25" i="388"/>
  <c r="I25" i="388"/>
  <c r="G25" i="388"/>
  <c r="F25" i="388"/>
  <c r="E25" i="388"/>
  <c r="H25" i="388" s="1"/>
  <c r="D25" i="388"/>
  <c r="C25" i="388"/>
  <c r="K24" i="388"/>
  <c r="J24" i="388"/>
  <c r="I24" i="388"/>
  <c r="G24" i="388"/>
  <c r="F24" i="388"/>
  <c r="E24" i="388"/>
  <c r="H24" i="388" s="1"/>
  <c r="D24" i="388"/>
  <c r="C24" i="388"/>
  <c r="K23" i="388"/>
  <c r="J23" i="388"/>
  <c r="I23" i="388"/>
  <c r="G23" i="388"/>
  <c r="F23" i="388"/>
  <c r="E23" i="388"/>
  <c r="H23" i="388" s="1"/>
  <c r="D23" i="388"/>
  <c r="C23" i="388"/>
  <c r="K21" i="388"/>
  <c r="J21" i="388"/>
  <c r="I21" i="388"/>
  <c r="G21" i="388"/>
  <c r="F21" i="388"/>
  <c r="E21" i="388"/>
  <c r="H21" i="388" s="1"/>
  <c r="D21" i="388"/>
  <c r="C21" i="388"/>
  <c r="K20" i="388"/>
  <c r="J20" i="388"/>
  <c r="I20" i="388"/>
  <c r="G20" i="388"/>
  <c r="F20" i="388"/>
  <c r="E20" i="388"/>
  <c r="H20" i="388" s="1"/>
  <c r="D20" i="388"/>
  <c r="C20" i="388"/>
  <c r="K19" i="388"/>
  <c r="J19" i="388"/>
  <c r="I19" i="388"/>
  <c r="G19" i="388"/>
  <c r="F19" i="388"/>
  <c r="E19" i="388"/>
  <c r="H19" i="388" s="1"/>
  <c r="D19" i="388"/>
  <c r="C19" i="388"/>
  <c r="K18" i="388"/>
  <c r="J18" i="388"/>
  <c r="I18" i="388"/>
  <c r="G18" i="388"/>
  <c r="F18" i="388"/>
  <c r="E18" i="388"/>
  <c r="H18" i="388" s="1"/>
  <c r="D18" i="388"/>
  <c r="C18" i="388"/>
  <c r="K17" i="388"/>
  <c r="J17" i="388"/>
  <c r="I17" i="388"/>
  <c r="G17" i="388"/>
  <c r="F17" i="388"/>
  <c r="E17" i="388"/>
  <c r="H17" i="388" s="1"/>
  <c r="D17" i="388"/>
  <c r="C17" i="388"/>
  <c r="K16" i="388"/>
  <c r="J16" i="388"/>
  <c r="I16" i="388"/>
  <c r="G16" i="388"/>
  <c r="F16" i="388"/>
  <c r="E16" i="388"/>
  <c r="H16" i="388" s="1"/>
  <c r="D16" i="388"/>
  <c r="C16" i="388"/>
  <c r="K15" i="388"/>
  <c r="J15" i="388"/>
  <c r="I15" i="388"/>
  <c r="G15" i="388"/>
  <c r="F15" i="388"/>
  <c r="E15" i="388"/>
  <c r="H15" i="388" s="1"/>
  <c r="D15" i="388"/>
  <c r="C15" i="388"/>
  <c r="K14" i="388"/>
  <c r="J14" i="388"/>
  <c r="I14" i="388"/>
  <c r="G14" i="388"/>
  <c r="F14" i="388"/>
  <c r="E14" i="388"/>
  <c r="H14" i="388" s="1"/>
  <c r="D14" i="388"/>
  <c r="C14" i="388"/>
  <c r="K13" i="388"/>
  <c r="J13" i="388"/>
  <c r="I13" i="388"/>
  <c r="G13" i="388"/>
  <c r="F13" i="388"/>
  <c r="E13" i="388"/>
  <c r="H13" i="388" s="1"/>
  <c r="D13" i="388"/>
  <c r="C13" i="388"/>
  <c r="K12" i="388"/>
  <c r="J12" i="388"/>
  <c r="I12" i="388"/>
  <c r="G12" i="388"/>
  <c r="F12" i="388"/>
  <c r="E12" i="388"/>
  <c r="H12" i="388" s="1"/>
  <c r="D12" i="388"/>
  <c r="C12" i="388"/>
  <c r="K11" i="388"/>
  <c r="J11" i="388"/>
  <c r="I11" i="388"/>
  <c r="G11" i="388"/>
  <c r="F11" i="388"/>
  <c r="E11" i="388"/>
  <c r="H11" i="388" s="1"/>
  <c r="D11" i="388"/>
  <c r="C11" i="388"/>
  <c r="H67" i="387"/>
  <c r="H62" i="387" s="1"/>
  <c r="D67" i="387"/>
  <c r="D62" i="387" s="1"/>
  <c r="C67" i="387"/>
  <c r="C62" i="387" s="1"/>
  <c r="H59" i="387"/>
  <c r="H53" i="387" s="1"/>
  <c r="D59" i="387"/>
  <c r="D53" i="387" s="1"/>
  <c r="C59" i="387"/>
  <c r="C53" i="387" s="1"/>
  <c r="H43" i="387"/>
  <c r="D43" i="387"/>
  <c r="C43" i="387"/>
  <c r="H38" i="387"/>
  <c r="D38" i="387"/>
  <c r="C38" i="387"/>
  <c r="H32" i="387"/>
  <c r="D32" i="387"/>
  <c r="C32" i="387"/>
  <c r="H28" i="387"/>
  <c r="D28" i="387"/>
  <c r="C28" i="387"/>
  <c r="H22" i="387"/>
  <c r="D22" i="387"/>
  <c r="C22" i="387"/>
  <c r="H10" i="387"/>
  <c r="D10" i="387"/>
  <c r="C10" i="387"/>
  <c r="L67" i="386"/>
  <c r="L62" i="386" s="1"/>
  <c r="L47" i="386" s="1"/>
  <c r="K67" i="386"/>
  <c r="J67" i="386"/>
  <c r="I67" i="386"/>
  <c r="I67" i="385" s="1"/>
  <c r="G67" i="386"/>
  <c r="F67" i="386"/>
  <c r="E67" i="386"/>
  <c r="D67" i="386"/>
  <c r="C67" i="386"/>
  <c r="L59" i="386"/>
  <c r="L53" i="386" s="1"/>
  <c r="K59" i="386"/>
  <c r="K53" i="386" s="1"/>
  <c r="J59" i="386"/>
  <c r="I59" i="386"/>
  <c r="I53" i="386" s="1"/>
  <c r="G59" i="386"/>
  <c r="G53" i="386" s="1"/>
  <c r="F59" i="386"/>
  <c r="E59" i="386"/>
  <c r="D59" i="386"/>
  <c r="D53" i="386" s="1"/>
  <c r="C59" i="386"/>
  <c r="C53" i="386" s="1"/>
  <c r="L32" i="386"/>
  <c r="K32" i="386"/>
  <c r="J32" i="386"/>
  <c r="I32" i="386"/>
  <c r="G32" i="386"/>
  <c r="F32" i="386"/>
  <c r="E32" i="386"/>
  <c r="D32" i="386"/>
  <c r="C32" i="386"/>
  <c r="L28" i="386"/>
  <c r="K28" i="386"/>
  <c r="J28" i="386"/>
  <c r="I28" i="386"/>
  <c r="G28" i="386"/>
  <c r="F28" i="386"/>
  <c r="E28" i="386"/>
  <c r="H28" i="386" s="1"/>
  <c r="D28" i="386"/>
  <c r="C28" i="386"/>
  <c r="L22" i="386"/>
  <c r="K22" i="386"/>
  <c r="J22" i="386"/>
  <c r="I22" i="386"/>
  <c r="G22" i="386"/>
  <c r="F22" i="386"/>
  <c r="E22" i="386"/>
  <c r="H22" i="386" s="1"/>
  <c r="D22" i="386"/>
  <c r="C22" i="386"/>
  <c r="L10" i="386"/>
  <c r="K10" i="386"/>
  <c r="J10" i="386"/>
  <c r="I10" i="386"/>
  <c r="G10" i="386"/>
  <c r="F10" i="386"/>
  <c r="E10" i="386"/>
  <c r="D10" i="386"/>
  <c r="C10" i="386"/>
  <c r="K73" i="385"/>
  <c r="J73" i="385"/>
  <c r="I73" i="385"/>
  <c r="H73" i="385"/>
  <c r="G73" i="385"/>
  <c r="F73" i="385"/>
  <c r="E73" i="385"/>
  <c r="D73" i="385"/>
  <c r="C73" i="385"/>
  <c r="K72" i="385"/>
  <c r="J72" i="385"/>
  <c r="I72" i="385"/>
  <c r="G72" i="385"/>
  <c r="F72" i="385"/>
  <c r="E72" i="385"/>
  <c r="D72" i="385"/>
  <c r="C72" i="385"/>
  <c r="K69" i="385"/>
  <c r="J69" i="385"/>
  <c r="I69" i="385"/>
  <c r="G69" i="385"/>
  <c r="F69" i="385"/>
  <c r="E69" i="385"/>
  <c r="D69" i="385"/>
  <c r="C69" i="385"/>
  <c r="K68" i="385"/>
  <c r="J68" i="385"/>
  <c r="I68" i="385"/>
  <c r="G68" i="385"/>
  <c r="F68" i="385"/>
  <c r="E68" i="385"/>
  <c r="D68" i="385"/>
  <c r="C68" i="385"/>
  <c r="K66" i="385"/>
  <c r="J66" i="385"/>
  <c r="I66" i="385"/>
  <c r="G66" i="385"/>
  <c r="F66" i="385"/>
  <c r="E66" i="385"/>
  <c r="D66" i="385"/>
  <c r="C66" i="385"/>
  <c r="K64" i="385"/>
  <c r="J64" i="385"/>
  <c r="I64" i="385"/>
  <c r="G64" i="385"/>
  <c r="F64" i="385"/>
  <c r="E64" i="385"/>
  <c r="D64" i="385"/>
  <c r="C64" i="385"/>
  <c r="K61" i="385"/>
  <c r="J61" i="385"/>
  <c r="I61" i="385"/>
  <c r="G61" i="385"/>
  <c r="F61" i="385"/>
  <c r="E61" i="385"/>
  <c r="D61" i="385"/>
  <c r="C61" i="385"/>
  <c r="K60" i="385"/>
  <c r="J60" i="385"/>
  <c r="I60" i="385"/>
  <c r="G60" i="385"/>
  <c r="F60" i="385"/>
  <c r="E60" i="385"/>
  <c r="D60" i="385"/>
  <c r="C60" i="385"/>
  <c r="K58" i="385"/>
  <c r="J58" i="385"/>
  <c r="I58" i="385"/>
  <c r="G58" i="385"/>
  <c r="F58" i="385"/>
  <c r="E58" i="385"/>
  <c r="D58" i="385"/>
  <c r="C58" i="385"/>
  <c r="K57" i="385"/>
  <c r="J57" i="385"/>
  <c r="I57" i="385"/>
  <c r="G57" i="385"/>
  <c r="F57" i="385"/>
  <c r="E57" i="385"/>
  <c r="D57" i="385"/>
  <c r="C57" i="385"/>
  <c r="K56" i="385"/>
  <c r="J56" i="385"/>
  <c r="I56" i="385"/>
  <c r="G56" i="385"/>
  <c r="F56" i="385"/>
  <c r="E56" i="385"/>
  <c r="D56" i="385"/>
  <c r="C56" i="385"/>
  <c r="K55" i="385"/>
  <c r="J55" i="385"/>
  <c r="I55" i="385"/>
  <c r="G55" i="385"/>
  <c r="F55" i="385"/>
  <c r="E55" i="385"/>
  <c r="D55" i="385"/>
  <c r="C55" i="385"/>
  <c r="K54" i="385"/>
  <c r="J54" i="385"/>
  <c r="I54" i="385"/>
  <c r="G54" i="385"/>
  <c r="F54" i="385"/>
  <c r="E54" i="385"/>
  <c r="D54" i="385"/>
  <c r="C54" i="385"/>
  <c r="K45" i="385"/>
  <c r="J45" i="385"/>
  <c r="I45" i="385"/>
  <c r="G45" i="385"/>
  <c r="F45" i="385"/>
  <c r="E45" i="385"/>
  <c r="D45" i="385"/>
  <c r="C45" i="385"/>
  <c r="K44" i="385"/>
  <c r="J44" i="385"/>
  <c r="I44" i="385"/>
  <c r="G44" i="385"/>
  <c r="F44" i="385"/>
  <c r="E44" i="385"/>
  <c r="D44" i="385"/>
  <c r="C44" i="385"/>
  <c r="K41" i="385"/>
  <c r="J41" i="385"/>
  <c r="I41" i="385"/>
  <c r="G41" i="385"/>
  <c r="F41" i="385"/>
  <c r="E41" i="385"/>
  <c r="D41" i="385"/>
  <c r="C41" i="385"/>
  <c r="K40" i="385"/>
  <c r="J40" i="385"/>
  <c r="I40" i="385"/>
  <c r="G40" i="385"/>
  <c r="F40" i="385"/>
  <c r="E40" i="385"/>
  <c r="D40" i="385"/>
  <c r="C40" i="385"/>
  <c r="K39" i="385"/>
  <c r="J39" i="385"/>
  <c r="I39" i="385"/>
  <c r="G39" i="385"/>
  <c r="F39" i="385"/>
  <c r="E39" i="385"/>
  <c r="D39" i="385"/>
  <c r="C39" i="385"/>
  <c r="K38" i="385"/>
  <c r="J38" i="385"/>
  <c r="I38" i="385"/>
  <c r="G38" i="385"/>
  <c r="F38" i="385"/>
  <c r="E38" i="385"/>
  <c r="D38" i="385"/>
  <c r="C38" i="385"/>
  <c r="K37" i="385"/>
  <c r="J37" i="385"/>
  <c r="I37" i="385"/>
  <c r="G37" i="385"/>
  <c r="F37" i="385"/>
  <c r="E37" i="385"/>
  <c r="D37" i="385"/>
  <c r="C37" i="385"/>
  <c r="K36" i="385"/>
  <c r="J36" i="385"/>
  <c r="I36" i="385"/>
  <c r="G36" i="385"/>
  <c r="F36" i="385"/>
  <c r="E36" i="385"/>
  <c r="D36" i="385"/>
  <c r="C36" i="385"/>
  <c r="K35" i="385"/>
  <c r="J35" i="385"/>
  <c r="I35" i="385"/>
  <c r="G35" i="385"/>
  <c r="F35" i="385"/>
  <c r="E35" i="385"/>
  <c r="D35" i="385"/>
  <c r="C35" i="385"/>
  <c r="K34" i="385"/>
  <c r="J34" i="385"/>
  <c r="I34" i="385"/>
  <c r="G34" i="385"/>
  <c r="F34" i="385"/>
  <c r="E34" i="385"/>
  <c r="D34" i="385"/>
  <c r="C34" i="385"/>
  <c r="K33" i="385"/>
  <c r="J33" i="385"/>
  <c r="I33" i="385"/>
  <c r="G33" i="385"/>
  <c r="F33" i="385"/>
  <c r="E33" i="385"/>
  <c r="D33" i="385"/>
  <c r="C33" i="385"/>
  <c r="K31" i="385"/>
  <c r="J31" i="385"/>
  <c r="I31" i="385"/>
  <c r="G31" i="385"/>
  <c r="F31" i="385"/>
  <c r="E31" i="385"/>
  <c r="D31" i="385"/>
  <c r="C31" i="385"/>
  <c r="K30" i="385"/>
  <c r="J30" i="385"/>
  <c r="I30" i="385"/>
  <c r="G30" i="385"/>
  <c r="F30" i="385"/>
  <c r="E30" i="385"/>
  <c r="D30" i="385"/>
  <c r="C30" i="385"/>
  <c r="K29" i="385"/>
  <c r="J29" i="385"/>
  <c r="I29" i="385"/>
  <c r="G29" i="385"/>
  <c r="F29" i="385"/>
  <c r="E29" i="385"/>
  <c r="D29" i="385"/>
  <c r="C29" i="385"/>
  <c r="K27" i="385"/>
  <c r="J27" i="385"/>
  <c r="I27" i="385"/>
  <c r="G27" i="385"/>
  <c r="F27" i="385"/>
  <c r="E27" i="385"/>
  <c r="D27" i="385"/>
  <c r="C27" i="385"/>
  <c r="K26" i="385"/>
  <c r="J26" i="385"/>
  <c r="I26" i="385"/>
  <c r="G26" i="385"/>
  <c r="F26" i="385"/>
  <c r="E26" i="385"/>
  <c r="D26" i="385"/>
  <c r="C26" i="385"/>
  <c r="K25" i="385"/>
  <c r="J25" i="385"/>
  <c r="I25" i="385"/>
  <c r="G25" i="385"/>
  <c r="F25" i="385"/>
  <c r="E25" i="385"/>
  <c r="D25" i="385"/>
  <c r="C25" i="385"/>
  <c r="K24" i="385"/>
  <c r="J24" i="385"/>
  <c r="I24" i="385"/>
  <c r="G24" i="385"/>
  <c r="F24" i="385"/>
  <c r="E24" i="385"/>
  <c r="D24" i="385"/>
  <c r="C24" i="385"/>
  <c r="K23" i="385"/>
  <c r="J23" i="385"/>
  <c r="I23" i="385"/>
  <c r="G23" i="385"/>
  <c r="F23" i="385"/>
  <c r="E23" i="385"/>
  <c r="D23" i="385"/>
  <c r="C23" i="385"/>
  <c r="K21" i="385"/>
  <c r="J21" i="385"/>
  <c r="I21" i="385"/>
  <c r="G21" i="385"/>
  <c r="F21" i="385"/>
  <c r="E21" i="385"/>
  <c r="D21" i="385"/>
  <c r="C21" i="385"/>
  <c r="K20" i="385"/>
  <c r="J20" i="385"/>
  <c r="I20" i="385"/>
  <c r="G20" i="385"/>
  <c r="F20" i="385"/>
  <c r="E20" i="385"/>
  <c r="D20" i="385"/>
  <c r="C20" i="385"/>
  <c r="K19" i="385"/>
  <c r="J19" i="385"/>
  <c r="I19" i="385"/>
  <c r="G19" i="385"/>
  <c r="F19" i="385"/>
  <c r="E19" i="385"/>
  <c r="D19" i="385"/>
  <c r="C19" i="385"/>
  <c r="K18" i="385"/>
  <c r="J18" i="385"/>
  <c r="I18" i="385"/>
  <c r="G18" i="385"/>
  <c r="F18" i="385"/>
  <c r="E18" i="385"/>
  <c r="D18" i="385"/>
  <c r="C18" i="385"/>
  <c r="K17" i="385"/>
  <c r="J17" i="385"/>
  <c r="I17" i="385"/>
  <c r="G17" i="385"/>
  <c r="F17" i="385"/>
  <c r="E17" i="385"/>
  <c r="D17" i="385"/>
  <c r="C17" i="385"/>
  <c r="K16" i="385"/>
  <c r="J16" i="385"/>
  <c r="I16" i="385"/>
  <c r="G16" i="385"/>
  <c r="F16" i="385"/>
  <c r="E16" i="385"/>
  <c r="D16" i="385"/>
  <c r="C16" i="385"/>
  <c r="K15" i="385"/>
  <c r="J15" i="385"/>
  <c r="I15" i="385"/>
  <c r="G15" i="385"/>
  <c r="F15" i="385"/>
  <c r="E15" i="385"/>
  <c r="D15" i="385"/>
  <c r="C15" i="385"/>
  <c r="K14" i="385"/>
  <c r="J14" i="385"/>
  <c r="I14" i="385"/>
  <c r="G14" i="385"/>
  <c r="F14" i="385"/>
  <c r="E14" i="385"/>
  <c r="D14" i="385"/>
  <c r="C14" i="385"/>
  <c r="K13" i="385"/>
  <c r="J13" i="385"/>
  <c r="I13" i="385"/>
  <c r="G13" i="385"/>
  <c r="F13" i="385"/>
  <c r="E13" i="385"/>
  <c r="D13" i="385"/>
  <c r="C13" i="385"/>
  <c r="K12" i="385"/>
  <c r="J12" i="385"/>
  <c r="I12" i="385"/>
  <c r="G12" i="385"/>
  <c r="F12" i="385"/>
  <c r="E12" i="385"/>
  <c r="D12" i="385"/>
  <c r="C12" i="385"/>
  <c r="K11" i="385"/>
  <c r="J11" i="385"/>
  <c r="I11" i="385"/>
  <c r="G11" i="385"/>
  <c r="F11" i="385"/>
  <c r="E11" i="385"/>
  <c r="D11" i="385"/>
  <c r="C11" i="385"/>
  <c r="L67" i="383"/>
  <c r="K67" i="383"/>
  <c r="K67" i="382" s="1"/>
  <c r="J67" i="383"/>
  <c r="J62" i="383" s="1"/>
  <c r="J47" i="383" s="1"/>
  <c r="I67" i="383"/>
  <c r="I67" i="382" s="1"/>
  <c r="G67" i="383"/>
  <c r="G62" i="383" s="1"/>
  <c r="G47" i="383" s="1"/>
  <c r="F67" i="383"/>
  <c r="E67" i="383"/>
  <c r="D67" i="383"/>
  <c r="C67" i="383"/>
  <c r="C62" i="383" s="1"/>
  <c r="C47" i="383" s="1"/>
  <c r="L59" i="383"/>
  <c r="L53" i="383" s="1"/>
  <c r="K59" i="383"/>
  <c r="J59" i="383"/>
  <c r="J59" i="382" s="1"/>
  <c r="I59" i="383"/>
  <c r="I59" i="382" s="1"/>
  <c r="G59" i="383"/>
  <c r="F59" i="383"/>
  <c r="F53" i="383" s="1"/>
  <c r="E59" i="383"/>
  <c r="D59" i="383"/>
  <c r="C53" i="383"/>
  <c r="J53" i="383"/>
  <c r="I53" i="383"/>
  <c r="L32" i="383"/>
  <c r="K32" i="383"/>
  <c r="J32" i="383"/>
  <c r="I32" i="383"/>
  <c r="G32" i="383"/>
  <c r="F32" i="383"/>
  <c r="E32" i="383"/>
  <c r="H32" i="383" s="1"/>
  <c r="D32" i="383"/>
  <c r="C32" i="383"/>
  <c r="L28" i="383"/>
  <c r="K28" i="383"/>
  <c r="J28" i="383"/>
  <c r="I28" i="383"/>
  <c r="G28" i="383"/>
  <c r="F28" i="383"/>
  <c r="E28" i="383"/>
  <c r="H28" i="383" s="1"/>
  <c r="D28" i="383"/>
  <c r="C28" i="383"/>
  <c r="L22" i="383"/>
  <c r="K22" i="383"/>
  <c r="J22" i="383"/>
  <c r="I22" i="383"/>
  <c r="G22" i="383"/>
  <c r="F22" i="383"/>
  <c r="E22" i="383"/>
  <c r="D22" i="383"/>
  <c r="C22" i="383"/>
  <c r="L10" i="383"/>
  <c r="K10" i="383"/>
  <c r="J10" i="383"/>
  <c r="I10" i="383"/>
  <c r="G10" i="383"/>
  <c r="F10" i="383"/>
  <c r="E10" i="383"/>
  <c r="D10" i="383"/>
  <c r="C10" i="383"/>
  <c r="K73" i="382"/>
  <c r="J73" i="382"/>
  <c r="I73" i="382"/>
  <c r="H73" i="382"/>
  <c r="G73" i="382"/>
  <c r="F73" i="382"/>
  <c r="E73" i="382"/>
  <c r="D73" i="382"/>
  <c r="C73" i="382"/>
  <c r="K72" i="382"/>
  <c r="J72" i="382"/>
  <c r="I72" i="382"/>
  <c r="G72" i="382"/>
  <c r="F72" i="382"/>
  <c r="E72" i="382"/>
  <c r="D72" i="382"/>
  <c r="C72" i="382"/>
  <c r="K69" i="382"/>
  <c r="J69" i="382"/>
  <c r="I69" i="382"/>
  <c r="G69" i="382"/>
  <c r="F69" i="382"/>
  <c r="E69" i="382"/>
  <c r="H69" i="382" s="1"/>
  <c r="D69" i="382"/>
  <c r="C69" i="382"/>
  <c r="K68" i="382"/>
  <c r="J68" i="382"/>
  <c r="I68" i="382"/>
  <c r="G68" i="382"/>
  <c r="F68" i="382"/>
  <c r="E68" i="382"/>
  <c r="H68" i="382" s="1"/>
  <c r="D68" i="382"/>
  <c r="C68" i="382"/>
  <c r="K66" i="382"/>
  <c r="J66" i="382"/>
  <c r="I66" i="382"/>
  <c r="G66" i="382"/>
  <c r="F66" i="382"/>
  <c r="E66" i="382"/>
  <c r="H66" i="382" s="1"/>
  <c r="D66" i="382"/>
  <c r="C66" i="382"/>
  <c r="K64" i="382"/>
  <c r="J64" i="382"/>
  <c r="I64" i="382"/>
  <c r="G64" i="382"/>
  <c r="F64" i="382"/>
  <c r="E64" i="382"/>
  <c r="H64" i="382" s="1"/>
  <c r="D64" i="382"/>
  <c r="C64" i="382"/>
  <c r="K61" i="382"/>
  <c r="J61" i="382"/>
  <c r="I61" i="382"/>
  <c r="G61" i="382"/>
  <c r="F61" i="382"/>
  <c r="E61" i="382"/>
  <c r="H61" i="382" s="1"/>
  <c r="D61" i="382"/>
  <c r="C61" i="382"/>
  <c r="K60" i="382"/>
  <c r="J60" i="382"/>
  <c r="I60" i="382"/>
  <c r="G60" i="382"/>
  <c r="F60" i="382"/>
  <c r="E60" i="382"/>
  <c r="H60" i="382" s="1"/>
  <c r="D60" i="382"/>
  <c r="C60" i="382"/>
  <c r="K58" i="382"/>
  <c r="J58" i="382"/>
  <c r="I58" i="382"/>
  <c r="G58" i="382"/>
  <c r="F58" i="382"/>
  <c r="E58" i="382"/>
  <c r="H58" i="382" s="1"/>
  <c r="D58" i="382"/>
  <c r="C58" i="382"/>
  <c r="K57" i="382"/>
  <c r="J57" i="382"/>
  <c r="I57" i="382"/>
  <c r="G57" i="382"/>
  <c r="F57" i="382"/>
  <c r="E57" i="382"/>
  <c r="H57" i="382" s="1"/>
  <c r="D57" i="382"/>
  <c r="C57" i="382"/>
  <c r="K56" i="382"/>
  <c r="J56" i="382"/>
  <c r="I56" i="382"/>
  <c r="G56" i="382"/>
  <c r="F56" i="382"/>
  <c r="E56" i="382"/>
  <c r="H56" i="382" s="1"/>
  <c r="D56" i="382"/>
  <c r="C56" i="382"/>
  <c r="K55" i="382"/>
  <c r="J55" i="382"/>
  <c r="I55" i="382"/>
  <c r="G55" i="382"/>
  <c r="F55" i="382"/>
  <c r="E55" i="382"/>
  <c r="H55" i="382" s="1"/>
  <c r="D55" i="382"/>
  <c r="C55" i="382"/>
  <c r="K54" i="382"/>
  <c r="J54" i="382"/>
  <c r="I54" i="382"/>
  <c r="G54" i="382"/>
  <c r="F54" i="382"/>
  <c r="E54" i="382"/>
  <c r="H54" i="382" s="1"/>
  <c r="D54" i="382"/>
  <c r="C54" i="382"/>
  <c r="K45" i="382"/>
  <c r="J45" i="382"/>
  <c r="I45" i="382"/>
  <c r="G45" i="382"/>
  <c r="F45" i="382"/>
  <c r="E45" i="382"/>
  <c r="H45" i="382" s="1"/>
  <c r="D45" i="382"/>
  <c r="C45" i="382"/>
  <c r="K44" i="382"/>
  <c r="J44" i="382"/>
  <c r="I44" i="382"/>
  <c r="G44" i="382"/>
  <c r="F44" i="382"/>
  <c r="E44" i="382"/>
  <c r="H44" i="382" s="1"/>
  <c r="D44" i="382"/>
  <c r="C44" i="382"/>
  <c r="K41" i="382"/>
  <c r="J41" i="382"/>
  <c r="I41" i="382"/>
  <c r="G41" i="382"/>
  <c r="F41" i="382"/>
  <c r="E41" i="382"/>
  <c r="H41" i="382" s="1"/>
  <c r="D41" i="382"/>
  <c r="C41" i="382"/>
  <c r="K40" i="382"/>
  <c r="J40" i="382"/>
  <c r="I40" i="382"/>
  <c r="G40" i="382"/>
  <c r="F40" i="382"/>
  <c r="E40" i="382"/>
  <c r="H40" i="382" s="1"/>
  <c r="D40" i="382"/>
  <c r="C40" i="382"/>
  <c r="K39" i="382"/>
  <c r="J39" i="382"/>
  <c r="I39" i="382"/>
  <c r="G39" i="382"/>
  <c r="F39" i="382"/>
  <c r="E39" i="382"/>
  <c r="H39" i="382" s="1"/>
  <c r="D39" i="382"/>
  <c r="C39" i="382"/>
  <c r="K38" i="382"/>
  <c r="J38" i="382"/>
  <c r="I38" i="382"/>
  <c r="G38" i="382"/>
  <c r="F38" i="382"/>
  <c r="E38" i="382"/>
  <c r="H38" i="382" s="1"/>
  <c r="D38" i="382"/>
  <c r="C38" i="382"/>
  <c r="K37" i="382"/>
  <c r="J37" i="382"/>
  <c r="I37" i="382"/>
  <c r="G37" i="382"/>
  <c r="F37" i="382"/>
  <c r="E37" i="382"/>
  <c r="H37" i="382" s="1"/>
  <c r="D37" i="382"/>
  <c r="C37" i="382"/>
  <c r="K36" i="382"/>
  <c r="J36" i="382"/>
  <c r="I36" i="382"/>
  <c r="G36" i="382"/>
  <c r="F36" i="382"/>
  <c r="E36" i="382"/>
  <c r="H36" i="382" s="1"/>
  <c r="D36" i="382"/>
  <c r="C36" i="382"/>
  <c r="K35" i="382"/>
  <c r="J35" i="382"/>
  <c r="I35" i="382"/>
  <c r="G35" i="382"/>
  <c r="F35" i="382"/>
  <c r="E35" i="382"/>
  <c r="H35" i="382" s="1"/>
  <c r="D35" i="382"/>
  <c r="C35" i="382"/>
  <c r="K34" i="382"/>
  <c r="J34" i="382"/>
  <c r="I34" i="382"/>
  <c r="G34" i="382"/>
  <c r="F34" i="382"/>
  <c r="E34" i="382"/>
  <c r="H34" i="382" s="1"/>
  <c r="D34" i="382"/>
  <c r="C34" i="382"/>
  <c r="K33" i="382"/>
  <c r="J33" i="382"/>
  <c r="I33" i="382"/>
  <c r="G33" i="382"/>
  <c r="F33" i="382"/>
  <c r="E33" i="382"/>
  <c r="H33" i="382" s="1"/>
  <c r="D33" i="382"/>
  <c r="C33" i="382"/>
  <c r="K31" i="382"/>
  <c r="J31" i="382"/>
  <c r="I31" i="382"/>
  <c r="G31" i="382"/>
  <c r="F31" i="382"/>
  <c r="E31" i="382"/>
  <c r="H31" i="382" s="1"/>
  <c r="D31" i="382"/>
  <c r="C31" i="382"/>
  <c r="K30" i="382"/>
  <c r="J30" i="382"/>
  <c r="I30" i="382"/>
  <c r="G30" i="382"/>
  <c r="F30" i="382"/>
  <c r="E30" i="382"/>
  <c r="H30" i="382" s="1"/>
  <c r="D30" i="382"/>
  <c r="C30" i="382"/>
  <c r="K29" i="382"/>
  <c r="J29" i="382"/>
  <c r="I29" i="382"/>
  <c r="G29" i="382"/>
  <c r="F29" i="382"/>
  <c r="E29" i="382"/>
  <c r="H29" i="382" s="1"/>
  <c r="D29" i="382"/>
  <c r="C29" i="382"/>
  <c r="K27" i="382"/>
  <c r="J27" i="382"/>
  <c r="I27" i="382"/>
  <c r="G27" i="382"/>
  <c r="F27" i="382"/>
  <c r="E27" i="382"/>
  <c r="H27" i="382" s="1"/>
  <c r="D27" i="382"/>
  <c r="C27" i="382"/>
  <c r="K26" i="382"/>
  <c r="J26" i="382"/>
  <c r="I26" i="382"/>
  <c r="G26" i="382"/>
  <c r="F26" i="382"/>
  <c r="E26" i="382"/>
  <c r="H26" i="382" s="1"/>
  <c r="D26" i="382"/>
  <c r="C26" i="382"/>
  <c r="K25" i="382"/>
  <c r="J25" i="382"/>
  <c r="I25" i="382"/>
  <c r="G25" i="382"/>
  <c r="F25" i="382"/>
  <c r="E25" i="382"/>
  <c r="H25" i="382" s="1"/>
  <c r="D25" i="382"/>
  <c r="C25" i="382"/>
  <c r="K24" i="382"/>
  <c r="J24" i="382"/>
  <c r="I24" i="382"/>
  <c r="G24" i="382"/>
  <c r="F24" i="382"/>
  <c r="E24" i="382"/>
  <c r="H24" i="382" s="1"/>
  <c r="D24" i="382"/>
  <c r="C24" i="382"/>
  <c r="K23" i="382"/>
  <c r="J23" i="382"/>
  <c r="I23" i="382"/>
  <c r="G23" i="382"/>
  <c r="F23" i="382"/>
  <c r="E23" i="382"/>
  <c r="H23" i="382" s="1"/>
  <c r="D23" i="382"/>
  <c r="C23" i="382"/>
  <c r="K21" i="382"/>
  <c r="J21" i="382"/>
  <c r="I21" i="382"/>
  <c r="G21" i="382"/>
  <c r="F21" i="382"/>
  <c r="E21" i="382"/>
  <c r="H21" i="382" s="1"/>
  <c r="D21" i="382"/>
  <c r="C21" i="382"/>
  <c r="K20" i="382"/>
  <c r="J20" i="382"/>
  <c r="I20" i="382"/>
  <c r="G20" i="382"/>
  <c r="F20" i="382"/>
  <c r="E20" i="382"/>
  <c r="H20" i="382" s="1"/>
  <c r="D20" i="382"/>
  <c r="C20" i="382"/>
  <c r="K19" i="382"/>
  <c r="J19" i="382"/>
  <c r="I19" i="382"/>
  <c r="G19" i="382"/>
  <c r="F19" i="382"/>
  <c r="E19" i="382"/>
  <c r="H19" i="382" s="1"/>
  <c r="D19" i="382"/>
  <c r="C19" i="382"/>
  <c r="K18" i="382"/>
  <c r="J18" i="382"/>
  <c r="I18" i="382"/>
  <c r="G18" i="382"/>
  <c r="F18" i="382"/>
  <c r="E18" i="382"/>
  <c r="H18" i="382" s="1"/>
  <c r="D18" i="382"/>
  <c r="C18" i="382"/>
  <c r="K17" i="382"/>
  <c r="J17" i="382"/>
  <c r="I17" i="382"/>
  <c r="G17" i="382"/>
  <c r="F17" i="382"/>
  <c r="E17" i="382"/>
  <c r="H17" i="382" s="1"/>
  <c r="D17" i="382"/>
  <c r="C17" i="382"/>
  <c r="K16" i="382"/>
  <c r="J16" i="382"/>
  <c r="I16" i="382"/>
  <c r="G16" i="382"/>
  <c r="F16" i="382"/>
  <c r="E16" i="382"/>
  <c r="H16" i="382" s="1"/>
  <c r="D16" i="382"/>
  <c r="C16" i="382"/>
  <c r="K15" i="382"/>
  <c r="J15" i="382"/>
  <c r="I15" i="382"/>
  <c r="G15" i="382"/>
  <c r="F15" i="382"/>
  <c r="E15" i="382"/>
  <c r="H15" i="382" s="1"/>
  <c r="D15" i="382"/>
  <c r="C15" i="382"/>
  <c r="K14" i="382"/>
  <c r="J14" i="382"/>
  <c r="I14" i="382"/>
  <c r="G14" i="382"/>
  <c r="F14" i="382"/>
  <c r="E14" i="382"/>
  <c r="H14" i="382" s="1"/>
  <c r="D14" i="382"/>
  <c r="C14" i="382"/>
  <c r="K13" i="382"/>
  <c r="J13" i="382"/>
  <c r="I13" i="382"/>
  <c r="G13" i="382"/>
  <c r="F13" i="382"/>
  <c r="E13" i="382"/>
  <c r="H13" i="382" s="1"/>
  <c r="D13" i="382"/>
  <c r="C13" i="382"/>
  <c r="K12" i="382"/>
  <c r="J12" i="382"/>
  <c r="I12" i="382"/>
  <c r="G12" i="382"/>
  <c r="F12" i="382"/>
  <c r="E12" i="382"/>
  <c r="H12" i="382" s="1"/>
  <c r="D12" i="382"/>
  <c r="C12" i="382"/>
  <c r="K11" i="382"/>
  <c r="J11" i="382"/>
  <c r="I11" i="382"/>
  <c r="G11" i="382"/>
  <c r="F11" i="382"/>
  <c r="E11" i="382"/>
  <c r="H11" i="382" s="1"/>
  <c r="D11" i="382"/>
  <c r="C11" i="382"/>
  <c r="H73" i="381"/>
  <c r="L62" i="380"/>
  <c r="L47" i="380" s="1"/>
  <c r="K62" i="380"/>
  <c r="J62" i="380"/>
  <c r="J47" i="380" s="1"/>
  <c r="I62" i="380"/>
  <c r="I47" i="380" s="1"/>
  <c r="G62" i="380"/>
  <c r="F62" i="380"/>
  <c r="F47" i="380" s="1"/>
  <c r="E62" i="380"/>
  <c r="D62" i="380"/>
  <c r="C62" i="380"/>
  <c r="C47" i="380" s="1"/>
  <c r="L53" i="380"/>
  <c r="K53" i="380"/>
  <c r="J53" i="380"/>
  <c r="I53" i="380"/>
  <c r="G53" i="380"/>
  <c r="F53" i="380"/>
  <c r="E53" i="380"/>
  <c r="D53" i="380"/>
  <c r="C53" i="380"/>
  <c r="H50" i="380"/>
  <c r="H49" i="380"/>
  <c r="L32" i="380"/>
  <c r="K32" i="380"/>
  <c r="J32" i="380"/>
  <c r="I32" i="380"/>
  <c r="G32" i="380"/>
  <c r="F32" i="380"/>
  <c r="E32" i="380"/>
  <c r="D32" i="380"/>
  <c r="C32" i="380"/>
  <c r="L28" i="380"/>
  <c r="K28" i="380"/>
  <c r="J28" i="380"/>
  <c r="I28" i="380"/>
  <c r="G28" i="380"/>
  <c r="F28" i="380"/>
  <c r="E28" i="380"/>
  <c r="D28" i="380"/>
  <c r="C28" i="380"/>
  <c r="L22" i="380"/>
  <c r="K22" i="380"/>
  <c r="J22" i="380"/>
  <c r="I22" i="380"/>
  <c r="G22" i="380"/>
  <c r="F22" i="380"/>
  <c r="E22" i="380"/>
  <c r="H22" i="380" s="1"/>
  <c r="D22" i="380"/>
  <c r="C22" i="380"/>
  <c r="L10" i="380"/>
  <c r="K10" i="380"/>
  <c r="J10" i="380"/>
  <c r="I10" i="380"/>
  <c r="G10" i="380"/>
  <c r="F10" i="380"/>
  <c r="E10" i="380"/>
  <c r="H10" i="380" s="1"/>
  <c r="D10" i="380"/>
  <c r="C10" i="380"/>
  <c r="K73" i="379"/>
  <c r="J73" i="379"/>
  <c r="I73" i="379"/>
  <c r="H73" i="379"/>
  <c r="G73" i="379"/>
  <c r="F73" i="379"/>
  <c r="E73" i="379"/>
  <c r="D73" i="379"/>
  <c r="C73" i="379"/>
  <c r="K72" i="379"/>
  <c r="J72" i="379"/>
  <c r="I72" i="379"/>
  <c r="G72" i="379"/>
  <c r="F72" i="379"/>
  <c r="E72" i="379"/>
  <c r="D72" i="379"/>
  <c r="C72" i="379"/>
  <c r="K69" i="379"/>
  <c r="J69" i="379"/>
  <c r="I69" i="379"/>
  <c r="G69" i="379"/>
  <c r="F69" i="379"/>
  <c r="E69" i="379"/>
  <c r="D69" i="379"/>
  <c r="C69" i="379"/>
  <c r="K68" i="379"/>
  <c r="J68" i="379"/>
  <c r="I68" i="379"/>
  <c r="G68" i="379"/>
  <c r="F68" i="379"/>
  <c r="E68" i="379"/>
  <c r="D68" i="379"/>
  <c r="C68" i="379"/>
  <c r="K67" i="379"/>
  <c r="J67" i="379"/>
  <c r="I67" i="379"/>
  <c r="G67" i="379"/>
  <c r="F67" i="379"/>
  <c r="E67" i="379"/>
  <c r="D67" i="379"/>
  <c r="C67" i="379"/>
  <c r="K66" i="379"/>
  <c r="J66" i="379"/>
  <c r="I66" i="379"/>
  <c r="G66" i="379"/>
  <c r="F66" i="379"/>
  <c r="E66" i="379"/>
  <c r="D66" i="379"/>
  <c r="C66" i="379"/>
  <c r="K64" i="379"/>
  <c r="J64" i="379"/>
  <c r="I64" i="379"/>
  <c r="G64" i="379"/>
  <c r="F64" i="379"/>
  <c r="E64" i="379"/>
  <c r="D64" i="379"/>
  <c r="C64" i="379"/>
  <c r="C63" i="373" s="1"/>
  <c r="K61" i="379"/>
  <c r="J61" i="379"/>
  <c r="I61" i="379"/>
  <c r="G61" i="379"/>
  <c r="F61" i="379"/>
  <c r="E61" i="379"/>
  <c r="D61" i="379"/>
  <c r="C61" i="379"/>
  <c r="K60" i="379"/>
  <c r="J60" i="379"/>
  <c r="I60" i="379"/>
  <c r="G60" i="379"/>
  <c r="F60" i="379"/>
  <c r="E60" i="379"/>
  <c r="D60" i="379"/>
  <c r="C60" i="379"/>
  <c r="K58" i="379"/>
  <c r="J58" i="379"/>
  <c r="I58" i="379"/>
  <c r="G58" i="379"/>
  <c r="F58" i="379"/>
  <c r="E58" i="379"/>
  <c r="D58" i="379"/>
  <c r="C58" i="379"/>
  <c r="K57" i="379"/>
  <c r="J57" i="379"/>
  <c r="I57" i="379"/>
  <c r="G57" i="379"/>
  <c r="F57" i="379"/>
  <c r="E57" i="379"/>
  <c r="D57" i="379"/>
  <c r="C57" i="379"/>
  <c r="K56" i="379"/>
  <c r="J56" i="379"/>
  <c r="I56" i="379"/>
  <c r="G56" i="379"/>
  <c r="F56" i="379"/>
  <c r="E56" i="379"/>
  <c r="D56" i="379"/>
  <c r="C56" i="379"/>
  <c r="K55" i="379"/>
  <c r="J55" i="379"/>
  <c r="I55" i="379"/>
  <c r="G55" i="379"/>
  <c r="F55" i="379"/>
  <c r="E55" i="379"/>
  <c r="D55" i="379"/>
  <c r="C55" i="379"/>
  <c r="K54" i="379"/>
  <c r="J54" i="379"/>
  <c r="I54" i="379"/>
  <c r="G54" i="379"/>
  <c r="F54" i="379"/>
  <c r="E54" i="379"/>
  <c r="D54" i="379"/>
  <c r="C54" i="379"/>
  <c r="K45" i="379"/>
  <c r="J45" i="379"/>
  <c r="I45" i="379"/>
  <c r="G45" i="379"/>
  <c r="F45" i="379"/>
  <c r="E45" i="379"/>
  <c r="D45" i="379"/>
  <c r="C45" i="379"/>
  <c r="K44" i="379"/>
  <c r="J44" i="379"/>
  <c r="I44" i="379"/>
  <c r="G44" i="379"/>
  <c r="F44" i="379"/>
  <c r="E44" i="379"/>
  <c r="D44" i="379"/>
  <c r="C44" i="379"/>
  <c r="K41" i="379"/>
  <c r="J41" i="379"/>
  <c r="I41" i="379"/>
  <c r="G41" i="379"/>
  <c r="F41" i="379"/>
  <c r="E41" i="379"/>
  <c r="D41" i="379"/>
  <c r="C41" i="379"/>
  <c r="K40" i="379"/>
  <c r="J40" i="379"/>
  <c r="I40" i="379"/>
  <c r="G40" i="379"/>
  <c r="F40" i="379"/>
  <c r="E40" i="379"/>
  <c r="D40" i="379"/>
  <c r="C40" i="379"/>
  <c r="K39" i="379"/>
  <c r="J39" i="379"/>
  <c r="I39" i="379"/>
  <c r="G39" i="379"/>
  <c r="F39" i="379"/>
  <c r="E39" i="379"/>
  <c r="D39" i="379"/>
  <c r="C39" i="379"/>
  <c r="K38" i="379"/>
  <c r="J38" i="379"/>
  <c r="I38" i="379"/>
  <c r="G38" i="379"/>
  <c r="F38" i="379"/>
  <c r="E38" i="379"/>
  <c r="D38" i="379"/>
  <c r="C38" i="379"/>
  <c r="K37" i="379"/>
  <c r="J37" i="379"/>
  <c r="I37" i="379"/>
  <c r="G37" i="379"/>
  <c r="F37" i="379"/>
  <c r="E37" i="379"/>
  <c r="D37" i="379"/>
  <c r="C37" i="379"/>
  <c r="K36" i="379"/>
  <c r="J36" i="379"/>
  <c r="I36" i="379"/>
  <c r="G36" i="379"/>
  <c r="F36" i="379"/>
  <c r="E36" i="379"/>
  <c r="D36" i="379"/>
  <c r="C36" i="379"/>
  <c r="K35" i="379"/>
  <c r="J35" i="379"/>
  <c r="I35" i="379"/>
  <c r="G35" i="379"/>
  <c r="F35" i="379"/>
  <c r="E35" i="379"/>
  <c r="D35" i="379"/>
  <c r="C35" i="379"/>
  <c r="K34" i="379"/>
  <c r="J34" i="379"/>
  <c r="I34" i="379"/>
  <c r="G34" i="379"/>
  <c r="F34" i="379"/>
  <c r="E34" i="379"/>
  <c r="D34" i="379"/>
  <c r="C34" i="379"/>
  <c r="K33" i="379"/>
  <c r="J33" i="379"/>
  <c r="I33" i="379"/>
  <c r="G33" i="379"/>
  <c r="F33" i="379"/>
  <c r="E33" i="379"/>
  <c r="D33" i="379"/>
  <c r="C33" i="379"/>
  <c r="K31" i="379"/>
  <c r="J31" i="379"/>
  <c r="I31" i="379"/>
  <c r="G31" i="379"/>
  <c r="F31" i="379"/>
  <c r="E31" i="379"/>
  <c r="D31" i="379"/>
  <c r="C31" i="379"/>
  <c r="K30" i="379"/>
  <c r="J30" i="379"/>
  <c r="I30" i="379"/>
  <c r="G30" i="379"/>
  <c r="F30" i="379"/>
  <c r="E30" i="379"/>
  <c r="D30" i="379"/>
  <c r="C30" i="379"/>
  <c r="K29" i="379"/>
  <c r="J29" i="379"/>
  <c r="I29" i="379"/>
  <c r="G29" i="379"/>
  <c r="F29" i="379"/>
  <c r="E29" i="379"/>
  <c r="D29" i="379"/>
  <c r="C29" i="379"/>
  <c r="K26" i="379"/>
  <c r="J26" i="379"/>
  <c r="I26" i="379"/>
  <c r="G26" i="379"/>
  <c r="F26" i="379"/>
  <c r="E26" i="379"/>
  <c r="D26" i="379"/>
  <c r="C26" i="379"/>
  <c r="K25" i="379"/>
  <c r="J25" i="379"/>
  <c r="I25" i="379"/>
  <c r="G25" i="379"/>
  <c r="F25" i="379"/>
  <c r="E25" i="379"/>
  <c r="D25" i="379"/>
  <c r="C25" i="379"/>
  <c r="K24" i="379"/>
  <c r="J24" i="379"/>
  <c r="I24" i="379"/>
  <c r="G24" i="379"/>
  <c r="F24" i="379"/>
  <c r="E24" i="379"/>
  <c r="D24" i="379"/>
  <c r="C24" i="379"/>
  <c r="K23" i="379"/>
  <c r="J23" i="379"/>
  <c r="I23" i="379"/>
  <c r="G23" i="379"/>
  <c r="F23" i="379"/>
  <c r="E23" i="379"/>
  <c r="D23" i="379"/>
  <c r="C23" i="379"/>
  <c r="K21" i="379"/>
  <c r="J21" i="379"/>
  <c r="I21" i="379"/>
  <c r="G21" i="379"/>
  <c r="F21" i="379"/>
  <c r="E21" i="379"/>
  <c r="D21" i="379"/>
  <c r="C21" i="379"/>
  <c r="K20" i="379"/>
  <c r="J20" i="379"/>
  <c r="I20" i="379"/>
  <c r="G20" i="379"/>
  <c r="F20" i="379"/>
  <c r="E20" i="379"/>
  <c r="D20" i="379"/>
  <c r="C20" i="379"/>
  <c r="K19" i="379"/>
  <c r="J19" i="379"/>
  <c r="I19" i="379"/>
  <c r="G19" i="379"/>
  <c r="F19" i="379"/>
  <c r="E19" i="379"/>
  <c r="D19" i="379"/>
  <c r="C19" i="379"/>
  <c r="K18" i="379"/>
  <c r="J18" i="379"/>
  <c r="I18" i="379"/>
  <c r="G18" i="379"/>
  <c r="F18" i="379"/>
  <c r="E18" i="379"/>
  <c r="D18" i="379"/>
  <c r="C18" i="379"/>
  <c r="K17" i="379"/>
  <c r="J17" i="379"/>
  <c r="I17" i="379"/>
  <c r="G17" i="379"/>
  <c r="F17" i="379"/>
  <c r="E17" i="379"/>
  <c r="D17" i="379"/>
  <c r="C17" i="379"/>
  <c r="K16" i="379"/>
  <c r="J16" i="379"/>
  <c r="I16" i="379"/>
  <c r="G16" i="379"/>
  <c r="F16" i="379"/>
  <c r="E16" i="379"/>
  <c r="D16" i="379"/>
  <c r="C16" i="379"/>
  <c r="K15" i="379"/>
  <c r="J15" i="379"/>
  <c r="I15" i="379"/>
  <c r="G15" i="379"/>
  <c r="F15" i="379"/>
  <c r="E15" i="379"/>
  <c r="D15" i="379"/>
  <c r="C15" i="379"/>
  <c r="K14" i="379"/>
  <c r="J14" i="379"/>
  <c r="I14" i="379"/>
  <c r="G14" i="379"/>
  <c r="F14" i="379"/>
  <c r="E14" i="379"/>
  <c r="D14" i="379"/>
  <c r="C14" i="379"/>
  <c r="K13" i="379"/>
  <c r="J13" i="379"/>
  <c r="I13" i="379"/>
  <c r="G13" i="379"/>
  <c r="F13" i="379"/>
  <c r="E13" i="379"/>
  <c r="D13" i="379"/>
  <c r="C13" i="379"/>
  <c r="K12" i="379"/>
  <c r="J12" i="379"/>
  <c r="I12" i="379"/>
  <c r="G12" i="379"/>
  <c r="F12" i="379"/>
  <c r="E12" i="379"/>
  <c r="D12" i="379"/>
  <c r="C12" i="379"/>
  <c r="K11" i="379"/>
  <c r="J11" i="379"/>
  <c r="I11" i="379"/>
  <c r="G11" i="379"/>
  <c r="F11" i="379"/>
  <c r="E11" i="379"/>
  <c r="D11" i="379"/>
  <c r="C11" i="379"/>
  <c r="L73" i="378"/>
  <c r="L72" i="375" s="1"/>
  <c r="L58" i="369" s="1"/>
  <c r="K73" i="378"/>
  <c r="K72" i="375" s="1"/>
  <c r="K58" i="369" s="1"/>
  <c r="J73" i="378"/>
  <c r="J72" i="375" s="1"/>
  <c r="J58" i="369" s="1"/>
  <c r="I73" i="378"/>
  <c r="I72" i="375" s="1"/>
  <c r="I58" i="369" s="1"/>
  <c r="H73" i="378"/>
  <c r="G73" i="378"/>
  <c r="G72" i="375" s="1"/>
  <c r="G58" i="369" s="1"/>
  <c r="F73" i="378"/>
  <c r="F72" i="375" s="1"/>
  <c r="F58" i="369" s="1"/>
  <c r="E73" i="378"/>
  <c r="D73" i="378"/>
  <c r="D72" i="375" s="1"/>
  <c r="C73" i="378"/>
  <c r="C72" i="375" s="1"/>
  <c r="C58" i="369" s="1"/>
  <c r="K72" i="378"/>
  <c r="K71" i="375" s="1"/>
  <c r="K57" i="369" s="1"/>
  <c r="J72" i="378"/>
  <c r="J71" i="375" s="1"/>
  <c r="J57" i="369" s="1"/>
  <c r="I72" i="378"/>
  <c r="I71" i="375" s="1"/>
  <c r="I57" i="369" s="1"/>
  <c r="G72" i="378"/>
  <c r="G71" i="375" s="1"/>
  <c r="G57" i="369" s="1"/>
  <c r="F72" i="378"/>
  <c r="F71" i="375" s="1"/>
  <c r="F57" i="369" s="1"/>
  <c r="E72" i="378"/>
  <c r="D72" i="378"/>
  <c r="D71" i="375" s="1"/>
  <c r="C72" i="378"/>
  <c r="C71" i="375" s="1"/>
  <c r="C57" i="369" s="1"/>
  <c r="K69" i="378"/>
  <c r="K68" i="375" s="1"/>
  <c r="K38" i="369" s="1"/>
  <c r="J69" i="378"/>
  <c r="J68" i="375" s="1"/>
  <c r="J38" i="369" s="1"/>
  <c r="I69" i="378"/>
  <c r="I68" i="375" s="1"/>
  <c r="I38" i="369" s="1"/>
  <c r="G69" i="378"/>
  <c r="G68" i="375" s="1"/>
  <c r="G38" i="369" s="1"/>
  <c r="F69" i="378"/>
  <c r="F68" i="375" s="1"/>
  <c r="F38" i="369" s="1"/>
  <c r="E69" i="378"/>
  <c r="D69" i="378"/>
  <c r="D68" i="375" s="1"/>
  <c r="C69" i="378"/>
  <c r="C68" i="375" s="1"/>
  <c r="C36" i="369" s="1"/>
  <c r="K68" i="378"/>
  <c r="K67" i="375" s="1"/>
  <c r="J68" i="378"/>
  <c r="J67" i="375" s="1"/>
  <c r="I68" i="378"/>
  <c r="I67" i="375" s="1"/>
  <c r="G68" i="378"/>
  <c r="G67" i="375" s="1"/>
  <c r="F68" i="378"/>
  <c r="F67" i="375" s="1"/>
  <c r="E68" i="378"/>
  <c r="D68" i="378"/>
  <c r="D67" i="375" s="1"/>
  <c r="C68" i="378"/>
  <c r="C67" i="375" s="1"/>
  <c r="C35" i="369" s="1"/>
  <c r="G67" i="378"/>
  <c r="F67" i="378"/>
  <c r="K66" i="378"/>
  <c r="K65" i="375" s="1"/>
  <c r="J66" i="378"/>
  <c r="J65" i="375" s="1"/>
  <c r="I66" i="378"/>
  <c r="I65" i="375" s="1"/>
  <c r="G66" i="378"/>
  <c r="G65" i="375" s="1"/>
  <c r="F66" i="378"/>
  <c r="F65" i="375" s="1"/>
  <c r="E66" i="378"/>
  <c r="D66" i="378"/>
  <c r="D65" i="375" s="1"/>
  <c r="C66" i="378"/>
  <c r="C65" i="375" s="1"/>
  <c r="C33" i="369" s="1"/>
  <c r="K64" i="378"/>
  <c r="K63" i="375" s="1"/>
  <c r="J64" i="378"/>
  <c r="J63" i="375" s="1"/>
  <c r="I64" i="378"/>
  <c r="I63" i="375" s="1"/>
  <c r="G64" i="378"/>
  <c r="G63" i="375" s="1"/>
  <c r="F64" i="378"/>
  <c r="F63" i="375" s="1"/>
  <c r="E64" i="378"/>
  <c r="D64" i="378"/>
  <c r="D63" i="375" s="1"/>
  <c r="C64" i="378"/>
  <c r="G61" i="378"/>
  <c r="G60" i="375" s="1"/>
  <c r="F61" i="378"/>
  <c r="F60" i="375" s="1"/>
  <c r="K60" i="378"/>
  <c r="K59" i="375" s="1"/>
  <c r="J60" i="378"/>
  <c r="J59" i="375" s="1"/>
  <c r="I60" i="378"/>
  <c r="I59" i="375" s="1"/>
  <c r="G60" i="378"/>
  <c r="F60" i="378"/>
  <c r="E60" i="378"/>
  <c r="E21" i="369" s="1"/>
  <c r="D60" i="378"/>
  <c r="K59" i="378"/>
  <c r="J59" i="378"/>
  <c r="I59" i="378"/>
  <c r="G59" i="378"/>
  <c r="F59" i="378"/>
  <c r="K58" i="378"/>
  <c r="J58" i="378"/>
  <c r="I58" i="378"/>
  <c r="G58" i="378"/>
  <c r="F58" i="378"/>
  <c r="E58" i="378"/>
  <c r="D58" i="378"/>
  <c r="C58" i="378"/>
  <c r="K57" i="378"/>
  <c r="J57" i="378"/>
  <c r="I57" i="378"/>
  <c r="G57" i="378"/>
  <c r="F57" i="378"/>
  <c r="E57" i="378"/>
  <c r="D57" i="378"/>
  <c r="C57" i="378"/>
  <c r="C15" i="369" s="1"/>
  <c r="K56" i="378"/>
  <c r="J56" i="378"/>
  <c r="I56" i="378"/>
  <c r="G56" i="378"/>
  <c r="F56" i="378"/>
  <c r="E56" i="378"/>
  <c r="D56" i="378"/>
  <c r="C56" i="378"/>
  <c r="C55" i="375" s="1"/>
  <c r="K55" i="378"/>
  <c r="J55" i="378"/>
  <c r="I55" i="378"/>
  <c r="G55" i="378"/>
  <c r="F55" i="378"/>
  <c r="E55" i="378"/>
  <c r="D55" i="378"/>
  <c r="C55" i="378"/>
  <c r="K54" i="378"/>
  <c r="J54" i="378"/>
  <c r="I54" i="378"/>
  <c r="G54" i="378"/>
  <c r="F54" i="378"/>
  <c r="E54" i="378"/>
  <c r="D54" i="378"/>
  <c r="C54" i="378"/>
  <c r="K45" i="378"/>
  <c r="K45" i="375" s="1"/>
  <c r="K78" i="368" s="1"/>
  <c r="J45" i="378"/>
  <c r="J45" i="375" s="1"/>
  <c r="J78" i="368" s="1"/>
  <c r="I45" i="378"/>
  <c r="I45" i="375" s="1"/>
  <c r="I78" i="368" s="1"/>
  <c r="G45" i="378"/>
  <c r="G45" i="375" s="1"/>
  <c r="G78" i="368" s="1"/>
  <c r="F45" i="378"/>
  <c r="F45" i="375" s="1"/>
  <c r="F78" i="368" s="1"/>
  <c r="E45" i="378"/>
  <c r="D45" i="378"/>
  <c r="D45" i="375" s="1"/>
  <c r="C45" i="378"/>
  <c r="C45" i="375" s="1"/>
  <c r="C78" i="368" s="1"/>
  <c r="K44" i="378"/>
  <c r="K44" i="375" s="1"/>
  <c r="K77" i="368" s="1"/>
  <c r="J44" i="378"/>
  <c r="J44" i="375" s="1"/>
  <c r="J77" i="368" s="1"/>
  <c r="I44" i="378"/>
  <c r="I44" i="375" s="1"/>
  <c r="I77" i="368" s="1"/>
  <c r="G44" i="378"/>
  <c r="G44" i="375" s="1"/>
  <c r="G77" i="368" s="1"/>
  <c r="F44" i="378"/>
  <c r="F44" i="375" s="1"/>
  <c r="F77" i="368" s="1"/>
  <c r="E44" i="378"/>
  <c r="D44" i="378"/>
  <c r="D44" i="375" s="1"/>
  <c r="C44" i="378"/>
  <c r="C44" i="375" s="1"/>
  <c r="C77" i="368" s="1"/>
  <c r="K41" i="378"/>
  <c r="K41" i="375" s="1"/>
  <c r="J41" i="378"/>
  <c r="J41" i="375" s="1"/>
  <c r="I41" i="378"/>
  <c r="I41" i="375" s="1"/>
  <c r="G41" i="378"/>
  <c r="G41" i="375" s="1"/>
  <c r="F41" i="378"/>
  <c r="F41" i="375" s="1"/>
  <c r="E41" i="378"/>
  <c r="D41" i="378"/>
  <c r="D41" i="375" s="1"/>
  <c r="C41" i="378"/>
  <c r="C41" i="375" s="1"/>
  <c r="K40" i="378"/>
  <c r="J40" i="378"/>
  <c r="I40" i="378"/>
  <c r="G40" i="378"/>
  <c r="F40" i="378"/>
  <c r="E40" i="378"/>
  <c r="H40" i="378" s="1"/>
  <c r="D40" i="378"/>
  <c r="C40" i="378"/>
  <c r="K39" i="378"/>
  <c r="K39" i="375" s="1"/>
  <c r="J39" i="378"/>
  <c r="J39" i="375" s="1"/>
  <c r="I39" i="378"/>
  <c r="I39" i="375" s="1"/>
  <c r="G39" i="378"/>
  <c r="G39" i="375" s="1"/>
  <c r="F39" i="378"/>
  <c r="F39" i="375" s="1"/>
  <c r="E39" i="378"/>
  <c r="D39" i="378"/>
  <c r="D39" i="375" s="1"/>
  <c r="C39" i="378"/>
  <c r="C39" i="375" s="1"/>
  <c r="K37" i="378"/>
  <c r="K37" i="375" s="1"/>
  <c r="K62" i="368" s="1"/>
  <c r="J37" i="378"/>
  <c r="J37" i="375" s="1"/>
  <c r="J62" i="368" s="1"/>
  <c r="I37" i="378"/>
  <c r="I37" i="375" s="1"/>
  <c r="I62" i="368" s="1"/>
  <c r="G37" i="378"/>
  <c r="G37" i="375" s="1"/>
  <c r="G62" i="368" s="1"/>
  <c r="F37" i="378"/>
  <c r="F37" i="375" s="1"/>
  <c r="F62" i="368" s="1"/>
  <c r="E37" i="378"/>
  <c r="D37" i="378"/>
  <c r="D37" i="375" s="1"/>
  <c r="C37" i="378"/>
  <c r="C37" i="375" s="1"/>
  <c r="C62" i="368" s="1"/>
  <c r="K36" i="378"/>
  <c r="K36" i="375" s="1"/>
  <c r="K61" i="368" s="1"/>
  <c r="K59" i="368" s="1"/>
  <c r="J36" i="378"/>
  <c r="J36" i="375" s="1"/>
  <c r="J61" i="368" s="1"/>
  <c r="J59" i="368" s="1"/>
  <c r="I36" i="378"/>
  <c r="I36" i="375" s="1"/>
  <c r="I61" i="368" s="1"/>
  <c r="I59" i="368" s="1"/>
  <c r="G36" i="378"/>
  <c r="G36" i="375" s="1"/>
  <c r="G61" i="368" s="1"/>
  <c r="G59" i="368" s="1"/>
  <c r="F36" i="378"/>
  <c r="F36" i="375" s="1"/>
  <c r="F61" i="368" s="1"/>
  <c r="F59" i="368" s="1"/>
  <c r="E36" i="378"/>
  <c r="D36" i="378"/>
  <c r="D36" i="375" s="1"/>
  <c r="C36" i="378"/>
  <c r="C36" i="375" s="1"/>
  <c r="C61" i="368" s="1"/>
  <c r="K35" i="378"/>
  <c r="K35" i="375" s="1"/>
  <c r="K56" i="368" s="1"/>
  <c r="J35" i="378"/>
  <c r="J35" i="375" s="1"/>
  <c r="J56" i="368" s="1"/>
  <c r="I35" i="378"/>
  <c r="I35" i="375" s="1"/>
  <c r="I56" i="368" s="1"/>
  <c r="G35" i="378"/>
  <c r="G35" i="375" s="1"/>
  <c r="G56" i="368" s="1"/>
  <c r="F35" i="378"/>
  <c r="F35" i="375" s="1"/>
  <c r="F56" i="368" s="1"/>
  <c r="E35" i="378"/>
  <c r="D35" i="378"/>
  <c r="D35" i="375" s="1"/>
  <c r="C35" i="378"/>
  <c r="K34" i="378"/>
  <c r="K34" i="375" s="1"/>
  <c r="K55" i="368" s="1"/>
  <c r="J34" i="378"/>
  <c r="J34" i="375" s="1"/>
  <c r="J55" i="368" s="1"/>
  <c r="I34" i="378"/>
  <c r="I34" i="375" s="1"/>
  <c r="I55" i="368" s="1"/>
  <c r="G34" i="378"/>
  <c r="G34" i="375" s="1"/>
  <c r="G55" i="368" s="1"/>
  <c r="F34" i="378"/>
  <c r="F34" i="375" s="1"/>
  <c r="F55" i="368" s="1"/>
  <c r="E34" i="378"/>
  <c r="D34" i="378"/>
  <c r="D34" i="375" s="1"/>
  <c r="C34" i="378"/>
  <c r="C34" i="375" s="1"/>
  <c r="C55" i="368" s="1"/>
  <c r="K33" i="378"/>
  <c r="K33" i="375" s="1"/>
  <c r="J33" i="378"/>
  <c r="J33" i="375" s="1"/>
  <c r="I33" i="378"/>
  <c r="I33" i="375" s="1"/>
  <c r="G33" i="378"/>
  <c r="G33" i="375" s="1"/>
  <c r="F33" i="378"/>
  <c r="F33" i="375" s="1"/>
  <c r="E33" i="378"/>
  <c r="D33" i="378"/>
  <c r="D33" i="375" s="1"/>
  <c r="C33" i="378"/>
  <c r="C33" i="375" s="1"/>
  <c r="K31" i="378"/>
  <c r="K31" i="375" s="1"/>
  <c r="J31" i="378"/>
  <c r="J31" i="375" s="1"/>
  <c r="I31" i="378"/>
  <c r="I31" i="375" s="1"/>
  <c r="G31" i="378"/>
  <c r="G31" i="375" s="1"/>
  <c r="F31" i="378"/>
  <c r="F31" i="375" s="1"/>
  <c r="E31" i="378"/>
  <c r="D31" i="378"/>
  <c r="D31" i="375" s="1"/>
  <c r="C31" i="378"/>
  <c r="C31" i="375" s="1"/>
  <c r="K30" i="378"/>
  <c r="J30" i="378"/>
  <c r="I30" i="378"/>
  <c r="G30" i="378"/>
  <c r="F30" i="378"/>
  <c r="E30" i="378"/>
  <c r="H30" i="378" s="1"/>
  <c r="D30" i="378"/>
  <c r="C30" i="378"/>
  <c r="K29" i="378"/>
  <c r="K29" i="375" s="1"/>
  <c r="J29" i="378"/>
  <c r="J29" i="375" s="1"/>
  <c r="I29" i="378"/>
  <c r="I29" i="375" s="1"/>
  <c r="G29" i="378"/>
  <c r="G29" i="375" s="1"/>
  <c r="F29" i="378"/>
  <c r="F29" i="375" s="1"/>
  <c r="E29" i="378"/>
  <c r="D29" i="378"/>
  <c r="D29" i="375" s="1"/>
  <c r="C29" i="378"/>
  <c r="C29" i="375" s="1"/>
  <c r="K26" i="378"/>
  <c r="K26" i="375" s="1"/>
  <c r="J26" i="378"/>
  <c r="J26" i="375" s="1"/>
  <c r="I26" i="378"/>
  <c r="I26" i="375" s="1"/>
  <c r="G26" i="378"/>
  <c r="G26" i="375" s="1"/>
  <c r="F26" i="378"/>
  <c r="F26" i="375" s="1"/>
  <c r="E26" i="378"/>
  <c r="D26" i="378"/>
  <c r="D26" i="375" s="1"/>
  <c r="C26" i="378"/>
  <c r="C26" i="375" s="1"/>
  <c r="C25" i="375" s="1"/>
  <c r="K25" i="378"/>
  <c r="J25" i="378"/>
  <c r="I25" i="378"/>
  <c r="G25" i="378"/>
  <c r="F25" i="378"/>
  <c r="E25" i="378"/>
  <c r="D25" i="378"/>
  <c r="C25" i="378"/>
  <c r="K24" i="378"/>
  <c r="K24" i="375" s="1"/>
  <c r="K21" i="368" s="1"/>
  <c r="J24" i="378"/>
  <c r="J24" i="375" s="1"/>
  <c r="J21" i="368" s="1"/>
  <c r="I24" i="378"/>
  <c r="I24" i="375" s="1"/>
  <c r="I21" i="368" s="1"/>
  <c r="G24" i="378"/>
  <c r="G24" i="375" s="1"/>
  <c r="G21" i="368" s="1"/>
  <c r="F24" i="378"/>
  <c r="F24" i="375" s="1"/>
  <c r="F21" i="368" s="1"/>
  <c r="E24" i="378"/>
  <c r="D24" i="378"/>
  <c r="D24" i="375" s="1"/>
  <c r="C24" i="378"/>
  <c r="C24" i="375" s="1"/>
  <c r="C21" i="368" s="1"/>
  <c r="K23" i="378"/>
  <c r="K23" i="375" s="1"/>
  <c r="J23" i="378"/>
  <c r="J23" i="375" s="1"/>
  <c r="I23" i="378"/>
  <c r="I23" i="375" s="1"/>
  <c r="G23" i="378"/>
  <c r="G23" i="375" s="1"/>
  <c r="F23" i="378"/>
  <c r="F23" i="375" s="1"/>
  <c r="E23" i="378"/>
  <c r="D23" i="378"/>
  <c r="D23" i="375" s="1"/>
  <c r="C23" i="378"/>
  <c r="K21" i="378"/>
  <c r="K21" i="375" s="1"/>
  <c r="K52" i="368" s="1"/>
  <c r="J21" i="378"/>
  <c r="J21" i="375" s="1"/>
  <c r="J52" i="368" s="1"/>
  <c r="I21" i="378"/>
  <c r="I21" i="375" s="1"/>
  <c r="I52" i="368" s="1"/>
  <c r="G21" i="378"/>
  <c r="G21" i="375" s="1"/>
  <c r="G52" i="368" s="1"/>
  <c r="F21" i="378"/>
  <c r="F21" i="375" s="1"/>
  <c r="F52" i="368" s="1"/>
  <c r="E21" i="378"/>
  <c r="D21" i="378"/>
  <c r="D21" i="375" s="1"/>
  <c r="C21" i="378"/>
  <c r="K20" i="378"/>
  <c r="K20" i="375" s="1"/>
  <c r="K51" i="368" s="1"/>
  <c r="J20" i="378"/>
  <c r="J20" i="375" s="1"/>
  <c r="J51" i="368" s="1"/>
  <c r="I20" i="378"/>
  <c r="I20" i="375" s="1"/>
  <c r="I51" i="368" s="1"/>
  <c r="G20" i="378"/>
  <c r="G20" i="375" s="1"/>
  <c r="G51" i="368" s="1"/>
  <c r="F20" i="378"/>
  <c r="F20" i="375" s="1"/>
  <c r="F51" i="368" s="1"/>
  <c r="E20" i="378"/>
  <c r="D20" i="378"/>
  <c r="D20" i="375" s="1"/>
  <c r="C20" i="378"/>
  <c r="K19" i="378"/>
  <c r="K19" i="375" s="1"/>
  <c r="K50" i="368" s="1"/>
  <c r="J19" i="378"/>
  <c r="J19" i="375" s="1"/>
  <c r="J50" i="368" s="1"/>
  <c r="I19" i="378"/>
  <c r="I19" i="375" s="1"/>
  <c r="I50" i="368" s="1"/>
  <c r="G19" i="378"/>
  <c r="G19" i="375" s="1"/>
  <c r="G50" i="368" s="1"/>
  <c r="F19" i="378"/>
  <c r="F19" i="375" s="1"/>
  <c r="F50" i="368" s="1"/>
  <c r="E19" i="378"/>
  <c r="D19" i="378"/>
  <c r="D19" i="375" s="1"/>
  <c r="C19" i="378"/>
  <c r="K18" i="378"/>
  <c r="K18" i="375" s="1"/>
  <c r="K49" i="368" s="1"/>
  <c r="J18" i="378"/>
  <c r="J18" i="375" s="1"/>
  <c r="J49" i="368" s="1"/>
  <c r="I18" i="378"/>
  <c r="I18" i="375" s="1"/>
  <c r="I49" i="368" s="1"/>
  <c r="G18" i="378"/>
  <c r="G18" i="375" s="1"/>
  <c r="G49" i="368" s="1"/>
  <c r="F18" i="378"/>
  <c r="F18" i="375" s="1"/>
  <c r="F49" i="368" s="1"/>
  <c r="E18" i="378"/>
  <c r="D18" i="378"/>
  <c r="D18" i="375" s="1"/>
  <c r="C18" i="378"/>
  <c r="K17" i="378"/>
  <c r="K17" i="375" s="1"/>
  <c r="K48" i="368" s="1"/>
  <c r="J17" i="378"/>
  <c r="J17" i="375" s="1"/>
  <c r="J48" i="368" s="1"/>
  <c r="I17" i="378"/>
  <c r="I17" i="375" s="1"/>
  <c r="I48" i="368" s="1"/>
  <c r="G17" i="378"/>
  <c r="G17" i="375" s="1"/>
  <c r="G48" i="368" s="1"/>
  <c r="F17" i="378"/>
  <c r="F17" i="375" s="1"/>
  <c r="F48" i="368" s="1"/>
  <c r="E17" i="378"/>
  <c r="D17" i="378"/>
  <c r="D17" i="375" s="1"/>
  <c r="C17" i="378"/>
  <c r="K16" i="378"/>
  <c r="K16" i="375" s="1"/>
  <c r="K47" i="368" s="1"/>
  <c r="J16" i="378"/>
  <c r="J16" i="375" s="1"/>
  <c r="J47" i="368" s="1"/>
  <c r="I16" i="378"/>
  <c r="I16" i="375" s="1"/>
  <c r="I47" i="368" s="1"/>
  <c r="G16" i="378"/>
  <c r="G16" i="375" s="1"/>
  <c r="G47" i="368" s="1"/>
  <c r="F16" i="378"/>
  <c r="F16" i="375" s="1"/>
  <c r="F47" i="368" s="1"/>
  <c r="E16" i="378"/>
  <c r="D16" i="378"/>
  <c r="D16" i="375" s="1"/>
  <c r="C16" i="378"/>
  <c r="K15" i="378"/>
  <c r="K15" i="375" s="1"/>
  <c r="K46" i="368" s="1"/>
  <c r="J15" i="378"/>
  <c r="J15" i="375" s="1"/>
  <c r="J46" i="368" s="1"/>
  <c r="I15" i="378"/>
  <c r="I15" i="375" s="1"/>
  <c r="I46" i="368" s="1"/>
  <c r="G15" i="378"/>
  <c r="G15" i="375" s="1"/>
  <c r="G46" i="368" s="1"/>
  <c r="F15" i="378"/>
  <c r="F15" i="375" s="1"/>
  <c r="F46" i="368" s="1"/>
  <c r="E15" i="378"/>
  <c r="D15" i="378"/>
  <c r="D15" i="375" s="1"/>
  <c r="C15" i="378"/>
  <c r="K14" i="378"/>
  <c r="K14" i="375" s="1"/>
  <c r="K45" i="368" s="1"/>
  <c r="J14" i="378"/>
  <c r="J14" i="375" s="1"/>
  <c r="J45" i="368" s="1"/>
  <c r="I14" i="378"/>
  <c r="I14" i="375" s="1"/>
  <c r="I45" i="368" s="1"/>
  <c r="G14" i="378"/>
  <c r="G14" i="375" s="1"/>
  <c r="G45" i="368" s="1"/>
  <c r="F14" i="378"/>
  <c r="F14" i="375" s="1"/>
  <c r="F45" i="368" s="1"/>
  <c r="E14" i="378"/>
  <c r="D14" i="378"/>
  <c r="D14" i="375" s="1"/>
  <c r="C14" i="378"/>
  <c r="K13" i="378"/>
  <c r="K13" i="375" s="1"/>
  <c r="K44" i="368" s="1"/>
  <c r="J13" i="378"/>
  <c r="J13" i="375" s="1"/>
  <c r="J44" i="368" s="1"/>
  <c r="I13" i="378"/>
  <c r="I13" i="375" s="1"/>
  <c r="I44" i="368" s="1"/>
  <c r="G13" i="378"/>
  <c r="G13" i="375" s="1"/>
  <c r="G44" i="368" s="1"/>
  <c r="F13" i="378"/>
  <c r="F13" i="375" s="1"/>
  <c r="F44" i="368" s="1"/>
  <c r="E13" i="378"/>
  <c r="D13" i="378"/>
  <c r="D13" i="375" s="1"/>
  <c r="C13" i="378"/>
  <c r="K12" i="378"/>
  <c r="K12" i="375" s="1"/>
  <c r="K43" i="368" s="1"/>
  <c r="J12" i="378"/>
  <c r="J12" i="375" s="1"/>
  <c r="J43" i="368" s="1"/>
  <c r="I12" i="378"/>
  <c r="I12" i="375" s="1"/>
  <c r="I43" i="368" s="1"/>
  <c r="G12" i="378"/>
  <c r="G12" i="375" s="1"/>
  <c r="G43" i="368" s="1"/>
  <c r="F12" i="378"/>
  <c r="F12" i="375" s="1"/>
  <c r="F43" i="368" s="1"/>
  <c r="E12" i="378"/>
  <c r="D12" i="378"/>
  <c r="D12" i="375" s="1"/>
  <c r="C12" i="378"/>
  <c r="K11" i="378"/>
  <c r="K11" i="375" s="1"/>
  <c r="J11" i="378"/>
  <c r="J11" i="375" s="1"/>
  <c r="I11" i="378"/>
  <c r="I11" i="375" s="1"/>
  <c r="G11" i="378"/>
  <c r="G11" i="375" s="1"/>
  <c r="F11" i="378"/>
  <c r="F11" i="375" s="1"/>
  <c r="E11" i="378"/>
  <c r="D11" i="378"/>
  <c r="D11" i="375" s="1"/>
  <c r="C11" i="378"/>
  <c r="C11" i="375" s="1"/>
  <c r="H73" i="377"/>
  <c r="C68" i="374"/>
  <c r="C65" i="374"/>
  <c r="C53" i="374"/>
  <c r="C10" i="377"/>
  <c r="L73" i="376"/>
  <c r="K73" i="376"/>
  <c r="J73" i="376"/>
  <c r="I73" i="376"/>
  <c r="G73" i="376"/>
  <c r="F73" i="376"/>
  <c r="E73" i="376"/>
  <c r="D73" i="376"/>
  <c r="K72" i="376"/>
  <c r="J72" i="376"/>
  <c r="I72" i="376"/>
  <c r="K57" i="376"/>
  <c r="J57" i="376"/>
  <c r="I57" i="376"/>
  <c r="K56" i="376"/>
  <c r="J56" i="376"/>
  <c r="I56" i="376"/>
  <c r="K55" i="376"/>
  <c r="J55" i="376"/>
  <c r="I55" i="376"/>
  <c r="K54" i="376"/>
  <c r="J54" i="376"/>
  <c r="I54" i="376"/>
  <c r="E49" i="376"/>
  <c r="L27" i="375"/>
  <c r="L40" i="368" s="1"/>
  <c r="C27" i="375"/>
  <c r="L72" i="374"/>
  <c r="L58" i="367" s="1"/>
  <c r="L71" i="374"/>
  <c r="L57" i="367" s="1"/>
  <c r="L68" i="374"/>
  <c r="L38" i="367" s="1"/>
  <c r="L67" i="374"/>
  <c r="L36" i="367" s="1"/>
  <c r="L65" i="374"/>
  <c r="L33" i="367" s="1"/>
  <c r="L64" i="374"/>
  <c r="L32" i="367" s="1"/>
  <c r="L63" i="374"/>
  <c r="L31" i="367" s="1"/>
  <c r="L62" i="374"/>
  <c r="L30" i="367" s="1"/>
  <c r="L60" i="374"/>
  <c r="L23" i="367" s="1"/>
  <c r="L59" i="374"/>
  <c r="L57" i="374"/>
  <c r="L16" i="367" s="1"/>
  <c r="L56" i="374"/>
  <c r="L15" i="367" s="1"/>
  <c r="L55" i="374"/>
  <c r="L14" i="367" s="1"/>
  <c r="L54" i="374"/>
  <c r="L13" i="367" s="1"/>
  <c r="L53" i="374"/>
  <c r="L12" i="367" s="1"/>
  <c r="L45" i="374"/>
  <c r="L79" i="366" s="1"/>
  <c r="C45" i="374"/>
  <c r="L44" i="374"/>
  <c r="L78" i="366" s="1"/>
  <c r="C44" i="374"/>
  <c r="L41" i="374"/>
  <c r="L67" i="366" s="1"/>
  <c r="C41" i="374"/>
  <c r="L40" i="374"/>
  <c r="L66" i="366" s="1"/>
  <c r="L39" i="374"/>
  <c r="L65" i="366" s="1"/>
  <c r="C39" i="374"/>
  <c r="L38" i="374"/>
  <c r="L37" i="374"/>
  <c r="L63" i="366" s="1"/>
  <c r="L36" i="374"/>
  <c r="L62" i="366" s="1"/>
  <c r="C36" i="374"/>
  <c r="L35" i="374"/>
  <c r="L57" i="366" s="1"/>
  <c r="C35" i="374"/>
  <c r="L34" i="374"/>
  <c r="L56" i="366" s="1"/>
  <c r="C34" i="374"/>
  <c r="L33" i="374"/>
  <c r="L55" i="366" s="1"/>
  <c r="C33" i="374"/>
  <c r="L31" i="374"/>
  <c r="L31" i="366" s="1"/>
  <c r="C31" i="374"/>
  <c r="L30" i="374"/>
  <c r="L30" i="366" s="1"/>
  <c r="L29" i="374"/>
  <c r="C29" i="374"/>
  <c r="L27" i="374"/>
  <c r="L26" i="374"/>
  <c r="L25" i="366" s="1"/>
  <c r="C26" i="374"/>
  <c r="L25" i="374"/>
  <c r="L24" i="366" s="1"/>
  <c r="L24" i="374"/>
  <c r="C24" i="374"/>
  <c r="L23" i="374"/>
  <c r="C23" i="374"/>
  <c r="L21" i="374"/>
  <c r="L53" i="366" s="1"/>
  <c r="C21" i="374"/>
  <c r="L20" i="374"/>
  <c r="L52" i="366" s="1"/>
  <c r="C20" i="374"/>
  <c r="L19" i="374"/>
  <c r="L51" i="366" s="1"/>
  <c r="C19" i="374"/>
  <c r="L18" i="374"/>
  <c r="L50" i="366" s="1"/>
  <c r="C18" i="374"/>
  <c r="L17" i="374"/>
  <c r="L49" i="366" s="1"/>
  <c r="C17" i="374"/>
  <c r="L16" i="374"/>
  <c r="L48" i="366" s="1"/>
  <c r="C16" i="374"/>
  <c r="L15" i="374"/>
  <c r="L47" i="366" s="1"/>
  <c r="C15" i="374"/>
  <c r="L14" i="374"/>
  <c r="L46" i="366" s="1"/>
  <c r="C14" i="374"/>
  <c r="L13" i="374"/>
  <c r="L45" i="366" s="1"/>
  <c r="C13" i="374"/>
  <c r="L12" i="374"/>
  <c r="L44" i="366" s="1"/>
  <c r="C12" i="374"/>
  <c r="L11" i="374"/>
  <c r="L43" i="366" s="1"/>
  <c r="C11" i="374"/>
  <c r="L121" i="372"/>
  <c r="L117" i="372"/>
  <c r="L111" i="372"/>
  <c r="L106" i="372" s="1"/>
  <c r="L103" i="372"/>
  <c r="L101" i="372" s="1"/>
  <c r="L94" i="372"/>
  <c r="L79" i="372"/>
  <c r="C79" i="372"/>
  <c r="L76" i="372"/>
  <c r="C76" i="372"/>
  <c r="L72" i="372"/>
  <c r="C72" i="372"/>
  <c r="L68" i="372"/>
  <c r="C68" i="372"/>
  <c r="L63" i="372"/>
  <c r="L59" i="372"/>
  <c r="L53" i="372"/>
  <c r="L41" i="372"/>
  <c r="L37" i="372"/>
  <c r="L34" i="372"/>
  <c r="C34" i="372"/>
  <c r="L32" i="372"/>
  <c r="C32" i="372"/>
  <c r="L25" i="372"/>
  <c r="L18" i="368"/>
  <c r="L11" i="372"/>
  <c r="L121" i="371"/>
  <c r="L117" i="371"/>
  <c r="L106" i="371"/>
  <c r="L103" i="371"/>
  <c r="L101" i="371" s="1"/>
  <c r="L94" i="371"/>
  <c r="L79" i="371"/>
  <c r="L76" i="371"/>
  <c r="L72" i="371"/>
  <c r="L68" i="371"/>
  <c r="L63" i="371"/>
  <c r="L59" i="371"/>
  <c r="L53" i="371"/>
  <c r="L41" i="371"/>
  <c r="L37" i="371"/>
  <c r="C37" i="371"/>
  <c r="L34" i="371"/>
  <c r="C34" i="371"/>
  <c r="L32" i="371"/>
  <c r="C32" i="371"/>
  <c r="L25" i="371"/>
  <c r="L11" i="371"/>
  <c r="C134" i="370"/>
  <c r="H134" i="370" s="1"/>
  <c r="C133" i="370"/>
  <c r="C129" i="370"/>
  <c r="C128" i="370"/>
  <c r="C127" i="370"/>
  <c r="C123" i="370"/>
  <c r="L122" i="370"/>
  <c r="C122" i="370"/>
  <c r="C121" i="370"/>
  <c r="C119" i="370"/>
  <c r="C118" i="370"/>
  <c r="C117" i="370"/>
  <c r="C113" i="370"/>
  <c r="C111" i="370"/>
  <c r="C109" i="370"/>
  <c r="C107" i="370"/>
  <c r="C104" i="370"/>
  <c r="C103" i="370"/>
  <c r="C101" i="370"/>
  <c r="C98" i="370"/>
  <c r="C96" i="370"/>
  <c r="C94" i="370"/>
  <c r="C90" i="370"/>
  <c r="C89" i="370"/>
  <c r="C88" i="370"/>
  <c r="H84" i="370"/>
  <c r="C81" i="370"/>
  <c r="C80" i="370"/>
  <c r="C79" i="370"/>
  <c r="C77" i="370"/>
  <c r="C76" i="370"/>
  <c r="C74" i="370"/>
  <c r="C73" i="370"/>
  <c r="C72" i="370"/>
  <c r="C70" i="370"/>
  <c r="C69" i="370"/>
  <c r="C68" i="370"/>
  <c r="C65" i="370"/>
  <c r="C64" i="370"/>
  <c r="C63" i="370"/>
  <c r="C61" i="370"/>
  <c r="C60" i="370"/>
  <c r="C59" i="370"/>
  <c r="C57" i="370"/>
  <c r="C56" i="370"/>
  <c r="C55" i="370"/>
  <c r="C53" i="370"/>
  <c r="C51" i="370"/>
  <c r="C50" i="370"/>
  <c r="C49" i="370"/>
  <c r="C48" i="370"/>
  <c r="C47" i="370"/>
  <c r="C46" i="370"/>
  <c r="C45" i="370"/>
  <c r="C44" i="370"/>
  <c r="C43" i="370"/>
  <c r="C41" i="370"/>
  <c r="C39" i="370"/>
  <c r="C38" i="370"/>
  <c r="C37" i="370"/>
  <c r="C35" i="370"/>
  <c r="C32" i="370"/>
  <c r="C29" i="370"/>
  <c r="C28" i="370"/>
  <c r="C27" i="370"/>
  <c r="C26" i="370"/>
  <c r="C25" i="370"/>
  <c r="C23" i="370"/>
  <c r="C21" i="370"/>
  <c r="C20" i="370"/>
  <c r="C19" i="370"/>
  <c r="C16" i="370"/>
  <c r="C15" i="370"/>
  <c r="C14" i="370"/>
  <c r="C12" i="370"/>
  <c r="C11" i="370"/>
  <c r="L53" i="369"/>
  <c r="C53" i="369"/>
  <c r="L52" i="369"/>
  <c r="C52" i="369"/>
  <c r="L51" i="369"/>
  <c r="C51" i="369"/>
  <c r="L47" i="369"/>
  <c r="C47" i="369"/>
  <c r="L46" i="369"/>
  <c r="C46" i="369"/>
  <c r="L45" i="369"/>
  <c r="L44" i="369" s="1"/>
  <c r="C45" i="369"/>
  <c r="L43" i="369"/>
  <c r="C43" i="369"/>
  <c r="L42" i="369"/>
  <c r="C42" i="369"/>
  <c r="L41" i="369"/>
  <c r="C41" i="369"/>
  <c r="L37" i="369"/>
  <c r="L35" i="369"/>
  <c r="L28" i="369"/>
  <c r="L27" i="369"/>
  <c r="L25" i="369"/>
  <c r="L22" i="369"/>
  <c r="L21" i="369"/>
  <c r="L20" i="369"/>
  <c r="L19" i="369"/>
  <c r="L18" i="369"/>
  <c r="L82" i="368"/>
  <c r="C82" i="368"/>
  <c r="L81" i="368"/>
  <c r="C81" i="368"/>
  <c r="L80" i="368"/>
  <c r="C80" i="368"/>
  <c r="L75" i="368"/>
  <c r="C75" i="368"/>
  <c r="L74" i="368"/>
  <c r="C74" i="368"/>
  <c r="L73" i="368"/>
  <c r="C73" i="368"/>
  <c r="L71" i="368"/>
  <c r="C71" i="368"/>
  <c r="L70" i="368"/>
  <c r="C70" i="368"/>
  <c r="L69" i="368"/>
  <c r="C69" i="368"/>
  <c r="L60" i="368"/>
  <c r="C60" i="368"/>
  <c r="L58" i="368"/>
  <c r="C58" i="368"/>
  <c r="L57" i="368"/>
  <c r="C57" i="368"/>
  <c r="L39" i="368"/>
  <c r="C39" i="368"/>
  <c r="L38" i="368"/>
  <c r="C38" i="368"/>
  <c r="L36" i="368"/>
  <c r="C36" i="368"/>
  <c r="L35" i="368"/>
  <c r="L34" i="368" s="1"/>
  <c r="C35" i="368"/>
  <c r="L33" i="368"/>
  <c r="L32" i="368" s="1"/>
  <c r="C33" i="368"/>
  <c r="L28" i="368"/>
  <c r="C28" i="368"/>
  <c r="L26" i="368"/>
  <c r="C26" i="368"/>
  <c r="L22" i="368"/>
  <c r="C22" i="368"/>
  <c r="L17" i="368"/>
  <c r="C17" i="368"/>
  <c r="L16" i="368"/>
  <c r="C16" i="368"/>
  <c r="L15" i="368"/>
  <c r="C15" i="368"/>
  <c r="L14" i="368"/>
  <c r="C14" i="368"/>
  <c r="L13" i="368"/>
  <c r="C13" i="368"/>
  <c r="L12" i="368"/>
  <c r="C12" i="368"/>
  <c r="L53" i="367"/>
  <c r="C53" i="367"/>
  <c r="L52" i="367"/>
  <c r="C52" i="367"/>
  <c r="L51" i="367"/>
  <c r="C51" i="367"/>
  <c r="L47" i="367"/>
  <c r="C47" i="367"/>
  <c r="L46" i="367"/>
  <c r="L46" i="365" s="1"/>
  <c r="C46" i="367"/>
  <c r="L45" i="367"/>
  <c r="L44" i="367" s="1"/>
  <c r="C45" i="367"/>
  <c r="L43" i="367"/>
  <c r="C43" i="367"/>
  <c r="L42" i="367"/>
  <c r="C42" i="367"/>
  <c r="L41" i="367"/>
  <c r="C41" i="367"/>
  <c r="L37" i="367"/>
  <c r="C37" i="367"/>
  <c r="L35" i="367"/>
  <c r="C35" i="367"/>
  <c r="L28" i="367"/>
  <c r="C28" i="367"/>
  <c r="L27" i="367"/>
  <c r="C27" i="367"/>
  <c r="L25" i="367"/>
  <c r="C25" i="367"/>
  <c r="L22" i="367"/>
  <c r="C22" i="367"/>
  <c r="L21" i="367"/>
  <c r="C21" i="367"/>
  <c r="L19" i="367"/>
  <c r="C19" i="367"/>
  <c r="L18" i="367"/>
  <c r="C18" i="367"/>
  <c r="L83" i="366"/>
  <c r="C83" i="366"/>
  <c r="L82" i="366"/>
  <c r="C82" i="366"/>
  <c r="L81" i="366"/>
  <c r="C81" i="366"/>
  <c r="L76" i="366"/>
  <c r="C76" i="366"/>
  <c r="L75" i="366"/>
  <c r="L74" i="364" s="1"/>
  <c r="C75" i="366"/>
  <c r="L74" i="366"/>
  <c r="C74" i="366"/>
  <c r="L72" i="366"/>
  <c r="C72" i="366"/>
  <c r="L71" i="366"/>
  <c r="C71" i="366"/>
  <c r="L70" i="366"/>
  <c r="C70" i="366"/>
  <c r="C63" i="366"/>
  <c r="L61" i="366"/>
  <c r="C61" i="366"/>
  <c r="L59" i="366"/>
  <c r="C59" i="366"/>
  <c r="L58" i="366"/>
  <c r="C58" i="366"/>
  <c r="L41" i="366"/>
  <c r="L40" i="366"/>
  <c r="C40" i="366"/>
  <c r="L39" i="366"/>
  <c r="L37" i="366"/>
  <c r="C37" i="366"/>
  <c r="L36" i="366"/>
  <c r="L35" i="366" s="1"/>
  <c r="C36" i="366"/>
  <c r="L34" i="366"/>
  <c r="L33" i="366" s="1"/>
  <c r="L29" i="366"/>
  <c r="C29" i="366"/>
  <c r="L28" i="366"/>
  <c r="C28" i="366"/>
  <c r="L27" i="366"/>
  <c r="C27" i="366"/>
  <c r="L23" i="366"/>
  <c r="C23" i="366"/>
  <c r="L22" i="366"/>
  <c r="C22" i="366"/>
  <c r="L21" i="366"/>
  <c r="C21" i="366"/>
  <c r="L18" i="366"/>
  <c r="C18" i="366"/>
  <c r="L17" i="366"/>
  <c r="C17" i="366"/>
  <c r="L16" i="366"/>
  <c r="L15" i="364" s="1"/>
  <c r="C16" i="366"/>
  <c r="L15" i="366"/>
  <c r="C15" i="366"/>
  <c r="L14" i="366"/>
  <c r="C14" i="366"/>
  <c r="L13" i="366"/>
  <c r="C13" i="366"/>
  <c r="A5" i="365"/>
  <c r="A6" i="366" s="1"/>
  <c r="A5" i="367" s="1"/>
  <c r="A5" i="368" s="1"/>
  <c r="A5" i="369" s="1"/>
  <c r="L9" i="364"/>
  <c r="L9" i="365" s="1"/>
  <c r="L10" i="366" s="1"/>
  <c r="L9" i="367" s="1"/>
  <c r="L9" i="368" s="1"/>
  <c r="L9" i="369" s="1"/>
  <c r="K9" i="364"/>
  <c r="J9" i="364"/>
  <c r="J9" i="365" s="1"/>
  <c r="J10" i="366" s="1"/>
  <c r="J9" i="367" s="1"/>
  <c r="J9" i="368" s="1"/>
  <c r="J9" i="369" s="1"/>
  <c r="I9" i="364"/>
  <c r="H9" i="364"/>
  <c r="H7" i="373" s="1"/>
  <c r="H51" i="373" s="1"/>
  <c r="G9" i="364"/>
  <c r="F9" i="364"/>
  <c r="F9" i="365" s="1"/>
  <c r="F10" i="366" s="1"/>
  <c r="F9" i="367" s="1"/>
  <c r="F9" i="368" s="1"/>
  <c r="F9" i="369" s="1"/>
  <c r="E9" i="364"/>
  <c r="D9" i="364"/>
  <c r="D9" i="365" s="1"/>
  <c r="D10" i="366" s="1"/>
  <c r="D9" i="367" s="1"/>
  <c r="D9" i="368" s="1"/>
  <c r="D9" i="369" s="1"/>
  <c r="C9" i="364"/>
  <c r="E78" i="403"/>
  <c r="E49" i="403"/>
  <c r="D49" i="403"/>
  <c r="C49" i="403"/>
  <c r="B49" i="403"/>
  <c r="F48" i="403"/>
  <c r="F47" i="403"/>
  <c r="F46" i="403"/>
  <c r="F45" i="403"/>
  <c r="F44" i="403"/>
  <c r="F43" i="403"/>
  <c r="F42" i="403"/>
  <c r="E39" i="403"/>
  <c r="D39" i="403"/>
  <c r="C39" i="403"/>
  <c r="B39" i="403"/>
  <c r="F38" i="403"/>
  <c r="F37" i="403"/>
  <c r="F36" i="403"/>
  <c r="F35" i="403"/>
  <c r="F34" i="403"/>
  <c r="F33" i="403"/>
  <c r="F32" i="403"/>
  <c r="E27" i="403"/>
  <c r="D27" i="403"/>
  <c r="C27" i="403"/>
  <c r="B27" i="403"/>
  <c r="F26" i="403"/>
  <c r="F25" i="403"/>
  <c r="F24" i="403"/>
  <c r="F23" i="403"/>
  <c r="F22" i="403"/>
  <c r="F21" i="403"/>
  <c r="F20" i="403"/>
  <c r="E17" i="403"/>
  <c r="D17" i="403"/>
  <c r="C17" i="403"/>
  <c r="B17" i="403"/>
  <c r="F16" i="403"/>
  <c r="F15" i="403"/>
  <c r="F14" i="403"/>
  <c r="F13" i="403"/>
  <c r="F12" i="403"/>
  <c r="F11" i="403"/>
  <c r="F10" i="403"/>
  <c r="F19" i="399"/>
  <c r="E19" i="399"/>
  <c r="D19" i="399"/>
  <c r="C19" i="399"/>
  <c r="G18" i="399"/>
  <c r="G17" i="399"/>
  <c r="G16" i="399"/>
  <c r="G15" i="399"/>
  <c r="G14" i="399"/>
  <c r="G13" i="399"/>
  <c r="C11" i="398"/>
  <c r="D32" i="395"/>
  <c r="B31" i="395"/>
  <c r="G30" i="395"/>
  <c r="B30" i="395" s="1"/>
  <c r="A30" i="395"/>
  <c r="B29" i="395"/>
  <c r="G28" i="395"/>
  <c r="B28" i="395" s="1"/>
  <c r="B27" i="395"/>
  <c r="G26" i="395"/>
  <c r="B26" i="395" s="1"/>
  <c r="B25" i="395"/>
  <c r="G23" i="395"/>
  <c r="A11" i="395"/>
  <c r="H8" i="395"/>
  <c r="H32" i="395" s="1"/>
  <c r="B32" i="394"/>
  <c r="A32" i="394"/>
  <c r="A26" i="394"/>
  <c r="A10" i="394"/>
  <c r="B8" i="394"/>
  <c r="H8" i="394" s="1"/>
  <c r="K65" i="232"/>
  <c r="K65" i="391" s="1"/>
  <c r="K107" i="58"/>
  <c r="J65" i="391" s="1"/>
  <c r="J107" i="58"/>
  <c r="I65" i="232" s="1"/>
  <c r="I65" i="391" s="1"/>
  <c r="I107" i="58"/>
  <c r="G107" i="58"/>
  <c r="G65" i="232" s="1"/>
  <c r="G65" i="391" s="1"/>
  <c r="F107" i="58"/>
  <c r="F65" i="232" s="1"/>
  <c r="E107" i="58"/>
  <c r="D107" i="58"/>
  <c r="C107" i="58"/>
  <c r="C110" i="58" s="1"/>
  <c r="K63" i="232"/>
  <c r="J63" i="391"/>
  <c r="I63" i="232"/>
  <c r="G63" i="232"/>
  <c r="F63" i="232"/>
  <c r="F63" i="391" s="1"/>
  <c r="E63" i="232"/>
  <c r="D63" i="232"/>
  <c r="C63" i="232"/>
  <c r="K93" i="58"/>
  <c r="K65" i="233" s="1"/>
  <c r="K64" i="388" s="1"/>
  <c r="J93" i="58"/>
  <c r="J65" i="233" s="1"/>
  <c r="J64" i="388" s="1"/>
  <c r="I93" i="58"/>
  <c r="I65" i="233" s="1"/>
  <c r="I64" i="388" s="1"/>
  <c r="G93" i="58"/>
  <c r="G65" i="233" s="1"/>
  <c r="G64" i="388" s="1"/>
  <c r="F93" i="58"/>
  <c r="F65" i="233" s="1"/>
  <c r="E93" i="58"/>
  <c r="D93" i="58"/>
  <c r="D65" i="233" s="1"/>
  <c r="D65" i="388" s="1"/>
  <c r="C93" i="58"/>
  <c r="C95" i="58" s="1"/>
  <c r="K86" i="58"/>
  <c r="J63" i="233"/>
  <c r="J47" i="233" s="1"/>
  <c r="J46" i="233" s="1"/>
  <c r="I86" i="58"/>
  <c r="G86" i="58"/>
  <c r="G63" i="233" s="1"/>
  <c r="F86" i="58"/>
  <c r="F63" i="233" s="1"/>
  <c r="F62" i="388" s="1"/>
  <c r="D63" i="233"/>
  <c r="C63" i="233"/>
  <c r="K65" i="234"/>
  <c r="K65" i="385" s="1"/>
  <c r="K82" i="58"/>
  <c r="J65" i="385" s="1"/>
  <c r="J82" i="58"/>
  <c r="I65" i="234" s="1"/>
  <c r="I65" i="385" s="1"/>
  <c r="I82" i="58"/>
  <c r="G82" i="58"/>
  <c r="G65" i="234" s="1"/>
  <c r="G65" i="385" s="1"/>
  <c r="F82" i="58"/>
  <c r="F65" i="234" s="1"/>
  <c r="F65" i="385" s="1"/>
  <c r="E82" i="58"/>
  <c r="D82" i="58"/>
  <c r="D65" i="234" s="1"/>
  <c r="C82" i="58"/>
  <c r="C65" i="234" s="1"/>
  <c r="C65" i="385" s="1"/>
  <c r="K63" i="234"/>
  <c r="K63" i="385" s="1"/>
  <c r="K77" i="58"/>
  <c r="I63" i="234"/>
  <c r="I77" i="58"/>
  <c r="G77" i="58"/>
  <c r="G63" i="234" s="1"/>
  <c r="G63" i="385" s="1"/>
  <c r="F77" i="58"/>
  <c r="F63" i="234" s="1"/>
  <c r="E77" i="58"/>
  <c r="D77" i="58"/>
  <c r="D63" i="234" s="1"/>
  <c r="C77" i="58"/>
  <c r="C63" i="234" s="1"/>
  <c r="C63" i="385" s="1"/>
  <c r="K65" i="235"/>
  <c r="K65" i="382" s="1"/>
  <c r="K73" i="58"/>
  <c r="J73" i="58"/>
  <c r="I65" i="235" s="1"/>
  <c r="I65" i="382" s="1"/>
  <c r="I73" i="58"/>
  <c r="G73" i="58"/>
  <c r="G65" i="235" s="1"/>
  <c r="F73" i="58"/>
  <c r="F65" i="235" s="1"/>
  <c r="E73" i="58"/>
  <c r="D73" i="58"/>
  <c r="D65" i="235" s="1"/>
  <c r="C73" i="58"/>
  <c r="C65" i="235" s="1"/>
  <c r="K63" i="235"/>
  <c r="K63" i="382" s="1"/>
  <c r="K67" i="58"/>
  <c r="J63" i="382" s="1"/>
  <c r="I63" i="235"/>
  <c r="I63" i="382" s="1"/>
  <c r="I67" i="58"/>
  <c r="G67" i="58"/>
  <c r="G63" i="235" s="1"/>
  <c r="G63" i="382" s="1"/>
  <c r="F67" i="58"/>
  <c r="F63" i="235" s="1"/>
  <c r="F63" i="382" s="1"/>
  <c r="E67" i="58"/>
  <c r="D67" i="58"/>
  <c r="D63" i="235" s="1"/>
  <c r="C63" i="235"/>
  <c r="C63" i="382" s="1"/>
  <c r="K65" i="236"/>
  <c r="K61" i="58"/>
  <c r="J65" i="379" s="1"/>
  <c r="J61" i="58"/>
  <c r="I65" i="236" s="1"/>
  <c r="I65" i="379" s="1"/>
  <c r="I61" i="58"/>
  <c r="G61" i="58"/>
  <c r="G65" i="236" s="1"/>
  <c r="F61" i="58"/>
  <c r="F65" i="236" s="1"/>
  <c r="F65" i="379" s="1"/>
  <c r="E61" i="58"/>
  <c r="D61" i="58"/>
  <c r="D65" i="236" s="1"/>
  <c r="C65" i="236"/>
  <c r="K52" i="58"/>
  <c r="J63" i="379" s="1"/>
  <c r="I63" i="236"/>
  <c r="I63" i="379" s="1"/>
  <c r="I52" i="58"/>
  <c r="G52" i="58"/>
  <c r="G63" i="236" s="1"/>
  <c r="G63" i="379" s="1"/>
  <c r="F52" i="58"/>
  <c r="E52" i="58"/>
  <c r="D63" i="236"/>
  <c r="C52" i="58"/>
  <c r="C112" i="58" s="1"/>
  <c r="E70" i="394" s="1"/>
  <c r="E72" i="394" s="1"/>
  <c r="K47" i="58"/>
  <c r="K65" i="237" s="1"/>
  <c r="J47" i="58"/>
  <c r="J65" i="237" s="1"/>
  <c r="I47" i="58"/>
  <c r="I65" i="237" s="1"/>
  <c r="G47" i="58"/>
  <c r="G65" i="237" s="1"/>
  <c r="F47" i="58"/>
  <c r="F65" i="237" s="1"/>
  <c r="E47" i="58"/>
  <c r="D47" i="58"/>
  <c r="C47" i="58"/>
  <c r="C63" i="378"/>
  <c r="C62" i="375" s="1"/>
  <c r="K40" i="58"/>
  <c r="K63" i="237" s="1"/>
  <c r="J63" i="237"/>
  <c r="L63" i="237" s="1"/>
  <c r="I40" i="58"/>
  <c r="I63" i="237" s="1"/>
  <c r="G40" i="58"/>
  <c r="F40" i="58"/>
  <c r="F63" i="237" s="1"/>
  <c r="E63" i="237"/>
  <c r="D63" i="237"/>
  <c r="K24" i="58"/>
  <c r="K111" i="239" s="1"/>
  <c r="K108" i="370" s="1"/>
  <c r="J111" i="239"/>
  <c r="I24" i="58"/>
  <c r="G24" i="58"/>
  <c r="G111" i="239" s="1"/>
  <c r="G108" i="370" s="1"/>
  <c r="E111" i="239"/>
  <c r="E108" i="370" s="1"/>
  <c r="D111" i="239"/>
  <c r="K7" i="58"/>
  <c r="K109" i="239" s="1"/>
  <c r="K106" i="370" s="1"/>
  <c r="L7" i="58"/>
  <c r="I7" i="58"/>
  <c r="G7" i="58"/>
  <c r="G109" i="239" s="1"/>
  <c r="G106" i="370" s="1"/>
  <c r="F109" i="239"/>
  <c r="F106" i="370" s="1"/>
  <c r="E109" i="239"/>
  <c r="E106" i="370" s="1"/>
  <c r="K10" i="103"/>
  <c r="K22" i="103" s="1"/>
  <c r="K95" i="239" s="1"/>
  <c r="K92" i="370" s="1"/>
  <c r="J10" i="103"/>
  <c r="I10" i="103"/>
  <c r="I22" i="103" s="1"/>
  <c r="I95" i="239" s="1"/>
  <c r="I92" i="370" s="1"/>
  <c r="G10" i="103"/>
  <c r="G22" i="103" s="1"/>
  <c r="G95" i="239" s="1"/>
  <c r="G92" i="370" s="1"/>
  <c r="F10" i="103"/>
  <c r="F22" i="103" s="1"/>
  <c r="F95" i="239" s="1"/>
  <c r="F92" i="370" s="1"/>
  <c r="E10" i="103"/>
  <c r="D22" i="103"/>
  <c r="L8" i="103"/>
  <c r="L6" i="58" s="1"/>
  <c r="K8" i="103"/>
  <c r="K6" i="58" s="1"/>
  <c r="J8" i="103"/>
  <c r="J6" i="58" s="1"/>
  <c r="I8" i="103"/>
  <c r="I6" i="58" s="1"/>
  <c r="H8" i="103"/>
  <c r="H6" i="58" s="1"/>
  <c r="G8" i="103"/>
  <c r="G6" i="58" s="1"/>
  <c r="F8" i="103"/>
  <c r="E8" i="103"/>
  <c r="E6" i="58" s="1"/>
  <c r="G6" i="394" s="1"/>
  <c r="G6" i="395" s="1"/>
  <c r="D8" i="103"/>
  <c r="D6" i="58" s="1"/>
  <c r="F6" i="394" s="1"/>
  <c r="F6" i="395" s="1"/>
  <c r="C8" i="103"/>
  <c r="C6" i="58" s="1"/>
  <c r="E6" i="394" s="1"/>
  <c r="E6" i="395" s="1"/>
  <c r="K95" i="37"/>
  <c r="C95" i="37"/>
  <c r="K93" i="37"/>
  <c r="C93" i="37"/>
  <c r="K88" i="37"/>
  <c r="K85" i="37"/>
  <c r="C85" i="37"/>
  <c r="K83" i="37"/>
  <c r="K80" i="37"/>
  <c r="K61" i="237"/>
  <c r="K61" i="238" s="1"/>
  <c r="J61" i="238"/>
  <c r="I61" i="237"/>
  <c r="I61" i="238" s="1"/>
  <c r="C61" i="378"/>
  <c r="K72" i="37"/>
  <c r="J72" i="37"/>
  <c r="I72" i="37"/>
  <c r="G72" i="37"/>
  <c r="F72" i="37"/>
  <c r="E72" i="37"/>
  <c r="D72" i="37"/>
  <c r="K58" i="37"/>
  <c r="K117" i="239" s="1"/>
  <c r="K114" i="370" s="1"/>
  <c r="I58" i="37"/>
  <c r="I117" i="239" s="1"/>
  <c r="I114" i="370" s="1"/>
  <c r="G58" i="37"/>
  <c r="G117" i="239" s="1"/>
  <c r="G114" i="370" s="1"/>
  <c r="F117" i="239"/>
  <c r="E117" i="239"/>
  <c r="E114" i="370" s="1"/>
  <c r="D117" i="239"/>
  <c r="K51" i="37"/>
  <c r="G115" i="239"/>
  <c r="F115" i="239"/>
  <c r="F112" i="370" s="1"/>
  <c r="E115" i="239"/>
  <c r="E112" i="370" s="1"/>
  <c r="C51" i="37"/>
  <c r="K20" i="37"/>
  <c r="K19" i="37" s="1"/>
  <c r="K102" i="239" s="1"/>
  <c r="K99" i="370" s="1"/>
  <c r="J20" i="37"/>
  <c r="I20" i="37"/>
  <c r="I19" i="37" s="1"/>
  <c r="I102" i="239" s="1"/>
  <c r="I99" i="370" s="1"/>
  <c r="G20" i="37"/>
  <c r="G19" i="37" s="1"/>
  <c r="F20" i="37"/>
  <c r="D20" i="37"/>
  <c r="D19" i="37" s="1"/>
  <c r="K9" i="37"/>
  <c r="K8" i="37" s="1"/>
  <c r="I9" i="37"/>
  <c r="I8" i="37" s="1"/>
  <c r="G9" i="37"/>
  <c r="G100" i="239" s="1"/>
  <c r="F9" i="37"/>
  <c r="F100" i="239" s="1"/>
  <c r="E100" i="239"/>
  <c r="E97" i="370" s="1"/>
  <c r="D100" i="239"/>
  <c r="C100" i="239"/>
  <c r="L7" i="37"/>
  <c r="K7" i="37"/>
  <c r="J7" i="37"/>
  <c r="I7" i="37"/>
  <c r="G7" i="37"/>
  <c r="F7" i="37"/>
  <c r="E7" i="37"/>
  <c r="D7" i="37"/>
  <c r="C7" i="37"/>
  <c r="K20" i="36"/>
  <c r="K22" i="36" s="1"/>
  <c r="K94" i="239" s="1"/>
  <c r="K91" i="370" s="1"/>
  <c r="I22" i="36"/>
  <c r="G22" i="36"/>
  <c r="G94" i="239" s="1"/>
  <c r="F22" i="36"/>
  <c r="F94" i="239" s="1"/>
  <c r="F91" i="370" s="1"/>
  <c r="E22" i="36"/>
  <c r="D22" i="36"/>
  <c r="D94" i="239" s="1"/>
  <c r="C22" i="36"/>
  <c r="C94" i="239" s="1"/>
  <c r="L10" i="36"/>
  <c r="K10" i="36"/>
  <c r="J10" i="36"/>
  <c r="I10" i="36"/>
  <c r="H10" i="36"/>
  <c r="G10" i="36"/>
  <c r="F10" i="36"/>
  <c r="E10" i="36"/>
  <c r="D10" i="36"/>
  <c r="C10" i="36"/>
  <c r="L73" i="232"/>
  <c r="L73" i="391" s="1"/>
  <c r="L72" i="391"/>
  <c r="L69" i="391"/>
  <c r="L68" i="391"/>
  <c r="L67" i="391"/>
  <c r="L66" i="391"/>
  <c r="L64" i="391"/>
  <c r="L61" i="391"/>
  <c r="L60" i="391"/>
  <c r="K59" i="232"/>
  <c r="J59" i="232"/>
  <c r="I59" i="232"/>
  <c r="G59" i="232"/>
  <c r="G59" i="391" s="1"/>
  <c r="F59" i="232"/>
  <c r="E59" i="232"/>
  <c r="D59" i="232"/>
  <c r="C59" i="232"/>
  <c r="L58" i="391"/>
  <c r="L57" i="391"/>
  <c r="L56" i="391"/>
  <c r="L55" i="391"/>
  <c r="L54" i="391"/>
  <c r="L52" i="232"/>
  <c r="K52" i="232"/>
  <c r="J52" i="232"/>
  <c r="I52" i="232"/>
  <c r="H52" i="232"/>
  <c r="G52" i="232"/>
  <c r="F52" i="232"/>
  <c r="E52" i="232"/>
  <c r="D52" i="232"/>
  <c r="C52" i="232"/>
  <c r="L45" i="391"/>
  <c r="L44" i="391"/>
  <c r="L41" i="391"/>
  <c r="L40" i="391"/>
  <c r="L39" i="391"/>
  <c r="K38" i="232"/>
  <c r="J38" i="232"/>
  <c r="L38" i="232" s="1"/>
  <c r="I38" i="232"/>
  <c r="I38" i="391" s="1"/>
  <c r="G38" i="232"/>
  <c r="G38" i="391" s="1"/>
  <c r="F38" i="232"/>
  <c r="E38" i="232"/>
  <c r="D38" i="232"/>
  <c r="D38" i="391" s="1"/>
  <c r="L37" i="391"/>
  <c r="L36" i="391"/>
  <c r="L35" i="391"/>
  <c r="L34" i="391"/>
  <c r="L33" i="391"/>
  <c r="K32" i="232"/>
  <c r="J32" i="232"/>
  <c r="I32" i="232"/>
  <c r="G32" i="232"/>
  <c r="F32" i="232"/>
  <c r="E32" i="232"/>
  <c r="H32" i="232" s="1"/>
  <c r="D32" i="232"/>
  <c r="C32" i="232"/>
  <c r="L31" i="391"/>
  <c r="L30" i="391"/>
  <c r="L29" i="391"/>
  <c r="K28" i="232"/>
  <c r="J28" i="232"/>
  <c r="I28" i="232"/>
  <c r="G28" i="232"/>
  <c r="F28" i="232"/>
  <c r="E28" i="232"/>
  <c r="D28" i="232"/>
  <c r="C28" i="232"/>
  <c r="L27" i="391"/>
  <c r="L26" i="391"/>
  <c r="L25" i="391"/>
  <c r="L24" i="391"/>
  <c r="L23" i="391"/>
  <c r="L22" i="391" s="1"/>
  <c r="K22" i="232"/>
  <c r="J22" i="232"/>
  <c r="L22" i="232" s="1"/>
  <c r="I22" i="232"/>
  <c r="G22" i="232"/>
  <c r="F22" i="232"/>
  <c r="E22" i="232"/>
  <c r="H22" i="232" s="1"/>
  <c r="D22" i="232"/>
  <c r="C22" i="232"/>
  <c r="L21" i="391"/>
  <c r="L20" i="391"/>
  <c r="L19" i="391"/>
  <c r="L18" i="391"/>
  <c r="L17" i="391"/>
  <c r="L16" i="391"/>
  <c r="L15" i="391"/>
  <c r="L14" i="391"/>
  <c r="L13" i="391"/>
  <c r="L12" i="391"/>
  <c r="L11" i="391"/>
  <c r="L10" i="391" s="1"/>
  <c r="K10" i="232"/>
  <c r="I10" i="232"/>
  <c r="G10" i="232"/>
  <c r="F10" i="232"/>
  <c r="L10" i="232" s="1"/>
  <c r="E10" i="232"/>
  <c r="D10" i="232"/>
  <c r="C10" i="232"/>
  <c r="C42" i="232" s="1"/>
  <c r="L7" i="232"/>
  <c r="K7" i="232"/>
  <c r="J7" i="232"/>
  <c r="I7" i="232"/>
  <c r="H7" i="232"/>
  <c r="G7" i="232"/>
  <c r="F7" i="232"/>
  <c r="E7" i="232"/>
  <c r="D7" i="232"/>
  <c r="C7" i="232"/>
  <c r="L73" i="233"/>
  <c r="L72" i="388" s="1"/>
  <c r="L68" i="388"/>
  <c r="L67" i="388"/>
  <c r="L65" i="388"/>
  <c r="L63" i="388"/>
  <c r="L60" i="388"/>
  <c r="L59" i="388"/>
  <c r="K59" i="233"/>
  <c r="K58" i="388" s="1"/>
  <c r="I58" i="388"/>
  <c r="F58" i="388"/>
  <c r="L57" i="388"/>
  <c r="L56" i="388"/>
  <c r="L55" i="388"/>
  <c r="L54" i="388"/>
  <c r="L53" i="388"/>
  <c r="E53" i="233"/>
  <c r="L52" i="233"/>
  <c r="K52" i="233"/>
  <c r="J52" i="233"/>
  <c r="I52" i="233"/>
  <c r="H52" i="233"/>
  <c r="G52" i="233"/>
  <c r="F52" i="233"/>
  <c r="E52" i="233"/>
  <c r="D52" i="233"/>
  <c r="C52" i="233"/>
  <c r="L45" i="388"/>
  <c r="L44" i="388"/>
  <c r="L41" i="388"/>
  <c r="L40" i="388"/>
  <c r="L39" i="388"/>
  <c r="K38" i="233"/>
  <c r="K38" i="388" s="1"/>
  <c r="J38" i="233"/>
  <c r="J38" i="388" s="1"/>
  <c r="I38" i="233"/>
  <c r="G38" i="233"/>
  <c r="G38" i="388" s="1"/>
  <c r="F38" i="233"/>
  <c r="F38" i="388" s="1"/>
  <c r="E38" i="233"/>
  <c r="D38" i="233"/>
  <c r="D38" i="388" s="1"/>
  <c r="C38" i="233"/>
  <c r="C38" i="388" s="1"/>
  <c r="L37" i="388"/>
  <c r="L36" i="388"/>
  <c r="L35" i="388"/>
  <c r="L34" i="388"/>
  <c r="L33" i="388"/>
  <c r="K32" i="233"/>
  <c r="J32" i="233"/>
  <c r="I32" i="233"/>
  <c r="G32" i="233"/>
  <c r="F32" i="233"/>
  <c r="E32" i="233"/>
  <c r="H32" i="233" s="1"/>
  <c r="D32" i="233"/>
  <c r="C32" i="233"/>
  <c r="L31" i="388"/>
  <c r="L30" i="388"/>
  <c r="L29" i="388"/>
  <c r="K28" i="233"/>
  <c r="J28" i="233"/>
  <c r="I28" i="233"/>
  <c r="G28" i="233"/>
  <c r="F28" i="233"/>
  <c r="E28" i="233"/>
  <c r="D28" i="233"/>
  <c r="C28" i="233"/>
  <c r="L27" i="388"/>
  <c r="L26" i="388"/>
  <c r="L25" i="388"/>
  <c r="L24" i="388"/>
  <c r="L23" i="388"/>
  <c r="L22" i="388" s="1"/>
  <c r="K22" i="233"/>
  <c r="J22" i="233"/>
  <c r="L22" i="233" s="1"/>
  <c r="I22" i="233"/>
  <c r="G22" i="233"/>
  <c r="F22" i="233"/>
  <c r="E22" i="233"/>
  <c r="H22" i="233" s="1"/>
  <c r="D22" i="233"/>
  <c r="C22" i="233"/>
  <c r="L21" i="388"/>
  <c r="L20" i="388"/>
  <c r="L19" i="388"/>
  <c r="L18" i="388"/>
  <c r="L17" i="388"/>
  <c r="L16" i="388"/>
  <c r="L15" i="388"/>
  <c r="L14" i="388"/>
  <c r="L13" i="388"/>
  <c r="L12" i="388"/>
  <c r="L11" i="388"/>
  <c r="L10" i="388" s="1"/>
  <c r="K10" i="233"/>
  <c r="J10" i="233"/>
  <c r="L10" i="233" s="1"/>
  <c r="I10" i="233"/>
  <c r="G10" i="233"/>
  <c r="F10" i="233"/>
  <c r="E10" i="233"/>
  <c r="D10" i="233"/>
  <c r="C10" i="233"/>
  <c r="L7" i="233"/>
  <c r="K7" i="233"/>
  <c r="J7" i="233"/>
  <c r="I7" i="233"/>
  <c r="H7" i="233"/>
  <c r="G7" i="233"/>
  <c r="F7" i="233"/>
  <c r="E7" i="233"/>
  <c r="D7" i="233"/>
  <c r="C7" i="233"/>
  <c r="L73" i="234"/>
  <c r="L73" i="385" s="1"/>
  <c r="L72" i="385"/>
  <c r="L69" i="385"/>
  <c r="L68" i="385"/>
  <c r="L66" i="385"/>
  <c r="L64" i="385"/>
  <c r="L61" i="385"/>
  <c r="L60" i="385"/>
  <c r="K59" i="234"/>
  <c r="L59" i="234"/>
  <c r="D59" i="234"/>
  <c r="C59" i="234"/>
  <c r="L58" i="385"/>
  <c r="L57" i="385"/>
  <c r="L56" i="385"/>
  <c r="L55" i="385"/>
  <c r="L54" i="385"/>
  <c r="L52" i="234"/>
  <c r="K52" i="234"/>
  <c r="J52" i="234"/>
  <c r="I52" i="234"/>
  <c r="H52" i="234"/>
  <c r="G52" i="234"/>
  <c r="F52" i="234"/>
  <c r="E52" i="234"/>
  <c r="D52" i="234"/>
  <c r="C52" i="234"/>
  <c r="L45" i="385"/>
  <c r="L44" i="385"/>
  <c r="L41" i="385"/>
  <c r="L40" i="385"/>
  <c r="L39" i="385"/>
  <c r="L38" i="385"/>
  <c r="L37" i="385"/>
  <c r="L36" i="385"/>
  <c r="L35" i="385"/>
  <c r="L34" i="385"/>
  <c r="L33" i="385"/>
  <c r="K32" i="234"/>
  <c r="J32" i="234"/>
  <c r="I32" i="234"/>
  <c r="G32" i="234"/>
  <c r="F32" i="234"/>
  <c r="E32" i="234"/>
  <c r="H32" i="234" s="1"/>
  <c r="D32" i="234"/>
  <c r="C32" i="234"/>
  <c r="L31" i="385"/>
  <c r="L30" i="385"/>
  <c r="L29" i="385"/>
  <c r="K28" i="234"/>
  <c r="J28" i="234"/>
  <c r="I28" i="234"/>
  <c r="I28" i="385" s="1"/>
  <c r="G28" i="234"/>
  <c r="F28" i="234"/>
  <c r="E28" i="234"/>
  <c r="D28" i="234"/>
  <c r="C28" i="234"/>
  <c r="L27" i="385"/>
  <c r="L26" i="385"/>
  <c r="L25" i="385"/>
  <c r="L24" i="385"/>
  <c r="L23" i="385"/>
  <c r="L22" i="385" s="1"/>
  <c r="K22" i="234"/>
  <c r="J22" i="234"/>
  <c r="L22" i="234" s="1"/>
  <c r="I22" i="234"/>
  <c r="G22" i="234"/>
  <c r="F22" i="234"/>
  <c r="E22" i="234"/>
  <c r="H22" i="234" s="1"/>
  <c r="D22" i="234"/>
  <c r="C22" i="234"/>
  <c r="L21" i="385"/>
  <c r="L20" i="385"/>
  <c r="L19" i="385"/>
  <c r="L18" i="385"/>
  <c r="L17" i="385"/>
  <c r="L16" i="385"/>
  <c r="L15" i="385"/>
  <c r="L14" i="385"/>
  <c r="L13" i="385"/>
  <c r="L12" i="385"/>
  <c r="L11" i="385"/>
  <c r="L10" i="385" s="1"/>
  <c r="K10" i="234"/>
  <c r="J10" i="234"/>
  <c r="I10" i="234"/>
  <c r="G10" i="234"/>
  <c r="F10" i="234"/>
  <c r="E10" i="234"/>
  <c r="H10" i="234" s="1"/>
  <c r="D10" i="234"/>
  <c r="C10" i="234"/>
  <c r="L7" i="234"/>
  <c r="K7" i="234"/>
  <c r="J7" i="234"/>
  <c r="I7" i="234"/>
  <c r="H7" i="234"/>
  <c r="G7" i="234"/>
  <c r="F7" i="234"/>
  <c r="E7" i="234"/>
  <c r="D7" i="234"/>
  <c r="C7" i="234"/>
  <c r="L73" i="235"/>
  <c r="L73" i="382" s="1"/>
  <c r="L72" i="382"/>
  <c r="L69" i="382"/>
  <c r="L68" i="382"/>
  <c r="L66" i="382"/>
  <c r="L64" i="382"/>
  <c r="L61" i="382"/>
  <c r="L60" i="382"/>
  <c r="L58" i="382"/>
  <c r="L57" i="382"/>
  <c r="L56" i="382"/>
  <c r="L55" i="382"/>
  <c r="L54" i="382"/>
  <c r="K53" i="235"/>
  <c r="J53" i="235"/>
  <c r="L53" i="235" s="1"/>
  <c r="I53" i="235"/>
  <c r="G53" i="235"/>
  <c r="F53" i="235"/>
  <c r="E53" i="235"/>
  <c r="D53" i="235"/>
  <c r="C53" i="235"/>
  <c r="L52" i="235"/>
  <c r="K52" i="235"/>
  <c r="J52" i="235"/>
  <c r="I52" i="235"/>
  <c r="H52" i="235"/>
  <c r="G52" i="235"/>
  <c r="F52" i="235"/>
  <c r="E52" i="235"/>
  <c r="D52" i="235"/>
  <c r="C52" i="235"/>
  <c r="L45" i="382"/>
  <c r="L44" i="382"/>
  <c r="L41" i="382"/>
  <c r="L40" i="382"/>
  <c r="L39" i="382"/>
  <c r="L38" i="382"/>
  <c r="L37" i="382"/>
  <c r="L36" i="382"/>
  <c r="L35" i="382"/>
  <c r="L34" i="382"/>
  <c r="L33" i="382"/>
  <c r="K32" i="235"/>
  <c r="J32" i="235"/>
  <c r="I32" i="235"/>
  <c r="G32" i="235"/>
  <c r="F32" i="235"/>
  <c r="E32" i="235"/>
  <c r="D32" i="235"/>
  <c r="C32" i="235"/>
  <c r="L31" i="382"/>
  <c r="L30" i="382"/>
  <c r="L29" i="382"/>
  <c r="K28" i="235"/>
  <c r="J28" i="235"/>
  <c r="I28" i="235"/>
  <c r="G28" i="235"/>
  <c r="F28" i="235"/>
  <c r="E28" i="235"/>
  <c r="D28" i="235"/>
  <c r="C28" i="235"/>
  <c r="L27" i="382"/>
  <c r="L26" i="382"/>
  <c r="L25" i="382"/>
  <c r="L24" i="382"/>
  <c r="L23" i="382"/>
  <c r="L22" i="382" s="1"/>
  <c r="K22" i="235"/>
  <c r="J22" i="235"/>
  <c r="L22" i="235" s="1"/>
  <c r="I22" i="235"/>
  <c r="G22" i="235"/>
  <c r="F22" i="235"/>
  <c r="E22" i="235"/>
  <c r="D22" i="235"/>
  <c r="C22" i="235"/>
  <c r="L21" i="382"/>
  <c r="L20" i="382"/>
  <c r="L19" i="382"/>
  <c r="L18" i="382"/>
  <c r="L17" i="382"/>
  <c r="L16" i="382"/>
  <c r="L15" i="382"/>
  <c r="L14" i="382"/>
  <c r="L13" i="382"/>
  <c r="L12" i="382"/>
  <c r="L11" i="382"/>
  <c r="L10" i="382" s="1"/>
  <c r="K10" i="235"/>
  <c r="J10" i="235"/>
  <c r="L10" i="235" s="1"/>
  <c r="I10" i="235"/>
  <c r="G10" i="235"/>
  <c r="F10" i="235"/>
  <c r="E10" i="235"/>
  <c r="D10" i="235"/>
  <c r="C10" i="235"/>
  <c r="L7" i="235"/>
  <c r="K7" i="235"/>
  <c r="J7" i="235"/>
  <c r="I7" i="235"/>
  <c r="H7" i="235"/>
  <c r="G7" i="235"/>
  <c r="F7" i="235"/>
  <c r="E7" i="235"/>
  <c r="D7" i="235"/>
  <c r="C7" i="235"/>
  <c r="L73" i="236"/>
  <c r="L73" i="379" s="1"/>
  <c r="L72" i="379"/>
  <c r="L69" i="379"/>
  <c r="L68" i="379"/>
  <c r="L67" i="379"/>
  <c r="L66" i="379"/>
  <c r="L64" i="379"/>
  <c r="L61" i="379"/>
  <c r="L60" i="379"/>
  <c r="K59" i="236"/>
  <c r="K59" i="379" s="1"/>
  <c r="J59" i="236"/>
  <c r="J59" i="379" s="1"/>
  <c r="I59" i="236"/>
  <c r="G59" i="236"/>
  <c r="G59" i="379" s="1"/>
  <c r="F59" i="236"/>
  <c r="F59" i="379" s="1"/>
  <c r="E59" i="236"/>
  <c r="H59" i="236" s="1"/>
  <c r="D59" i="236"/>
  <c r="D59" i="379" s="1"/>
  <c r="C59" i="379"/>
  <c r="L58" i="379"/>
  <c r="L57" i="379"/>
  <c r="L56" i="379"/>
  <c r="L55" i="379"/>
  <c r="L54" i="379"/>
  <c r="L52" i="236"/>
  <c r="K52" i="236"/>
  <c r="J52" i="236"/>
  <c r="I52" i="236"/>
  <c r="H52" i="236"/>
  <c r="G52" i="236"/>
  <c r="F52" i="236"/>
  <c r="E52" i="236"/>
  <c r="D52" i="236"/>
  <c r="C52" i="236"/>
  <c r="L45" i="379"/>
  <c r="L44" i="379"/>
  <c r="L41" i="379"/>
  <c r="L40" i="379"/>
  <c r="L39" i="379"/>
  <c r="L38" i="379"/>
  <c r="L37" i="379"/>
  <c r="L36" i="379"/>
  <c r="L35" i="379"/>
  <c r="L34" i="379"/>
  <c r="L33" i="379"/>
  <c r="K32" i="236"/>
  <c r="J32" i="236"/>
  <c r="I32" i="236"/>
  <c r="G32" i="236"/>
  <c r="F32" i="236"/>
  <c r="E32" i="236"/>
  <c r="D32" i="236"/>
  <c r="C32" i="236"/>
  <c r="L31" i="379"/>
  <c r="L30" i="379"/>
  <c r="L29" i="379"/>
  <c r="K28" i="236"/>
  <c r="K27" i="379" s="1"/>
  <c r="J28" i="236"/>
  <c r="J27" i="379" s="1"/>
  <c r="I28" i="236"/>
  <c r="I27" i="379" s="1"/>
  <c r="G28" i="236"/>
  <c r="G27" i="379" s="1"/>
  <c r="F28" i="236"/>
  <c r="F27" i="379" s="1"/>
  <c r="E28" i="236"/>
  <c r="D28" i="236"/>
  <c r="D27" i="379" s="1"/>
  <c r="C28" i="236"/>
  <c r="C27" i="379" s="1"/>
  <c r="L26" i="379"/>
  <c r="L25" i="379"/>
  <c r="L24" i="379"/>
  <c r="L23" i="379"/>
  <c r="K22" i="236"/>
  <c r="J22" i="236"/>
  <c r="L22" i="236" s="1"/>
  <c r="I22" i="236"/>
  <c r="G22" i="236"/>
  <c r="F22" i="236"/>
  <c r="E22" i="236"/>
  <c r="D22" i="236"/>
  <c r="C22" i="236"/>
  <c r="L21" i="379"/>
  <c r="L20" i="379"/>
  <c r="L19" i="379"/>
  <c r="L18" i="379"/>
  <c r="L17" i="379"/>
  <c r="L16" i="379"/>
  <c r="L15" i="379"/>
  <c r="L14" i="379"/>
  <c r="L13" i="379"/>
  <c r="L12" i="379"/>
  <c r="L11" i="379"/>
  <c r="K10" i="236"/>
  <c r="J10" i="236"/>
  <c r="L10" i="236" s="1"/>
  <c r="I10" i="236"/>
  <c r="G10" i="236"/>
  <c r="F10" i="236"/>
  <c r="E10" i="236"/>
  <c r="D10" i="236"/>
  <c r="C10" i="236"/>
  <c r="L7" i="236"/>
  <c r="K7" i="236"/>
  <c r="J7" i="236"/>
  <c r="I7" i="236"/>
  <c r="H7" i="236"/>
  <c r="G7" i="236"/>
  <c r="F7" i="236"/>
  <c r="E7" i="236"/>
  <c r="D7" i="236"/>
  <c r="C7" i="236"/>
  <c r="K67" i="237"/>
  <c r="K67" i="238" s="1"/>
  <c r="J67" i="237"/>
  <c r="J67" i="238" s="1"/>
  <c r="I67" i="237"/>
  <c r="E67" i="237"/>
  <c r="D67" i="237"/>
  <c r="D67" i="238" s="1"/>
  <c r="C67" i="237"/>
  <c r="C67" i="378" s="1"/>
  <c r="K53" i="237"/>
  <c r="J53" i="237"/>
  <c r="I53" i="237"/>
  <c r="G53" i="237"/>
  <c r="F53" i="237"/>
  <c r="L52" i="237"/>
  <c r="K52" i="237"/>
  <c r="J52" i="237"/>
  <c r="I52" i="237"/>
  <c r="H52" i="237"/>
  <c r="G52" i="237"/>
  <c r="F52" i="237"/>
  <c r="E52" i="237"/>
  <c r="D52" i="237"/>
  <c r="C52" i="237"/>
  <c r="L45" i="378"/>
  <c r="L45" i="375" s="1"/>
  <c r="L78" i="368" s="1"/>
  <c r="L44" i="378"/>
  <c r="L41" i="378"/>
  <c r="L41" i="375" s="1"/>
  <c r="L66" i="368" s="1"/>
  <c r="L40" i="378"/>
  <c r="L40" i="375" s="1"/>
  <c r="L65" i="368" s="1"/>
  <c r="L39" i="378"/>
  <c r="K38" i="237"/>
  <c r="J38" i="237"/>
  <c r="I38" i="237"/>
  <c r="G38" i="237"/>
  <c r="F38" i="237"/>
  <c r="E38" i="237"/>
  <c r="D38" i="237"/>
  <c r="C38" i="237"/>
  <c r="C38" i="238" s="1"/>
  <c r="L37" i="378"/>
  <c r="L37" i="375" s="1"/>
  <c r="L62" i="368" s="1"/>
  <c r="L36" i="378"/>
  <c r="L36" i="375" s="1"/>
  <c r="L61" i="368" s="1"/>
  <c r="L35" i="378"/>
  <c r="L35" i="375" s="1"/>
  <c r="L56" i="368" s="1"/>
  <c r="L34" i="378"/>
  <c r="L34" i="375" s="1"/>
  <c r="L55" i="368" s="1"/>
  <c r="L33" i="378"/>
  <c r="K32" i="237"/>
  <c r="J32" i="237"/>
  <c r="J47" i="237" s="1"/>
  <c r="I32" i="237"/>
  <c r="G32" i="237"/>
  <c r="F32" i="237"/>
  <c r="E32" i="237"/>
  <c r="D32" i="237"/>
  <c r="C32" i="237"/>
  <c r="L31" i="378"/>
  <c r="L31" i="375" s="1"/>
  <c r="L30" i="368" s="1"/>
  <c r="L30" i="378"/>
  <c r="L30" i="375" s="1"/>
  <c r="L29" i="368" s="1"/>
  <c r="L29" i="378"/>
  <c r="K28" i="237"/>
  <c r="J28" i="237"/>
  <c r="I28" i="237"/>
  <c r="G28" i="237"/>
  <c r="F28" i="237"/>
  <c r="E28" i="237"/>
  <c r="D28" i="237"/>
  <c r="C28" i="237"/>
  <c r="L26" i="378"/>
  <c r="L26" i="375" s="1"/>
  <c r="L23" i="368" s="1"/>
  <c r="L25" i="378"/>
  <c r="L25" i="375" s="1"/>
  <c r="L24" i="378"/>
  <c r="L24" i="375" s="1"/>
  <c r="L21" i="368" s="1"/>
  <c r="L23" i="378"/>
  <c r="K22" i="237"/>
  <c r="J22" i="237"/>
  <c r="L22" i="237" s="1"/>
  <c r="I22" i="237"/>
  <c r="G22" i="237"/>
  <c r="F22" i="237"/>
  <c r="E22" i="237"/>
  <c r="D22" i="237"/>
  <c r="C22" i="237"/>
  <c r="L21" i="378"/>
  <c r="L21" i="375" s="1"/>
  <c r="L52" i="368" s="1"/>
  <c r="L20" i="378"/>
  <c r="L20" i="375" s="1"/>
  <c r="L51" i="368" s="1"/>
  <c r="L19" i="378"/>
  <c r="L19" i="375" s="1"/>
  <c r="L50" i="368" s="1"/>
  <c r="L18" i="378"/>
  <c r="L18" i="375" s="1"/>
  <c r="L49" i="368" s="1"/>
  <c r="L17" i="378"/>
  <c r="L17" i="375" s="1"/>
  <c r="L48" i="368" s="1"/>
  <c r="L16" i="378"/>
  <c r="L16" i="375" s="1"/>
  <c r="L47" i="368" s="1"/>
  <c r="L15" i="378"/>
  <c r="L15" i="375" s="1"/>
  <c r="L46" i="368" s="1"/>
  <c r="L14" i="378"/>
  <c r="L14" i="375" s="1"/>
  <c r="L45" i="368" s="1"/>
  <c r="L13" i="378"/>
  <c r="L13" i="375" s="1"/>
  <c r="L44" i="368" s="1"/>
  <c r="L12" i="378"/>
  <c r="L12" i="375" s="1"/>
  <c r="L43" i="368" s="1"/>
  <c r="L11" i="378"/>
  <c r="K10" i="237"/>
  <c r="J10" i="237"/>
  <c r="L10" i="237" s="1"/>
  <c r="I10" i="237"/>
  <c r="G10" i="237"/>
  <c r="F10" i="237"/>
  <c r="E10" i="237"/>
  <c r="D10" i="237"/>
  <c r="C10" i="237"/>
  <c r="L7" i="237"/>
  <c r="K7" i="237"/>
  <c r="J7" i="237"/>
  <c r="I7" i="237"/>
  <c r="H7" i="237"/>
  <c r="G7" i="237"/>
  <c r="F7" i="237"/>
  <c r="E7" i="237"/>
  <c r="D7" i="237"/>
  <c r="C7" i="237"/>
  <c r="K73" i="238"/>
  <c r="K57" i="241" s="1"/>
  <c r="J73" i="238"/>
  <c r="J57" i="241" s="1"/>
  <c r="I73" i="238"/>
  <c r="I57" i="241" s="1"/>
  <c r="H73" i="238"/>
  <c r="H57" i="241" s="1"/>
  <c r="G73" i="238"/>
  <c r="G57" i="241" s="1"/>
  <c r="F73" i="238"/>
  <c r="F57" i="241" s="1"/>
  <c r="E73" i="238"/>
  <c r="E57" i="241" s="1"/>
  <c r="D73" i="238"/>
  <c r="D57" i="241" s="1"/>
  <c r="C73" i="238"/>
  <c r="C57" i="241" s="1"/>
  <c r="K72" i="238"/>
  <c r="K56" i="241" s="1"/>
  <c r="J72" i="238"/>
  <c r="I72" i="238"/>
  <c r="I56" i="241" s="1"/>
  <c r="H72" i="238"/>
  <c r="G72" i="238"/>
  <c r="G56" i="241" s="1"/>
  <c r="F72" i="238"/>
  <c r="F56" i="241" s="1"/>
  <c r="E72" i="238"/>
  <c r="E56" i="241" s="1"/>
  <c r="D72" i="238"/>
  <c r="D56" i="241" s="1"/>
  <c r="C72" i="238"/>
  <c r="C56" i="241" s="1"/>
  <c r="K69" i="238"/>
  <c r="J69" i="238"/>
  <c r="I69" i="238"/>
  <c r="H69" i="238"/>
  <c r="G69" i="238"/>
  <c r="F69" i="238"/>
  <c r="E69" i="238"/>
  <c r="D69" i="238"/>
  <c r="C69" i="238"/>
  <c r="K68" i="238"/>
  <c r="J68" i="238"/>
  <c r="I68" i="238"/>
  <c r="H68" i="238"/>
  <c r="G68" i="238"/>
  <c r="F68" i="238"/>
  <c r="E68" i="238"/>
  <c r="D68" i="238"/>
  <c r="C68" i="238"/>
  <c r="G67" i="238"/>
  <c r="F67" i="238"/>
  <c r="K66" i="238"/>
  <c r="K32" i="241" s="1"/>
  <c r="J66" i="238"/>
  <c r="I66" i="238"/>
  <c r="I32" i="241" s="1"/>
  <c r="H66" i="238"/>
  <c r="G66" i="238"/>
  <c r="G32" i="241" s="1"/>
  <c r="F66" i="238"/>
  <c r="F32" i="241" s="1"/>
  <c r="E66" i="238"/>
  <c r="E32" i="241" s="1"/>
  <c r="D66" i="238"/>
  <c r="C66" i="238"/>
  <c r="C32" i="241" s="1"/>
  <c r="K64" i="238"/>
  <c r="K30" i="241" s="1"/>
  <c r="J64" i="238"/>
  <c r="I64" i="238"/>
  <c r="I30" i="241" s="1"/>
  <c r="H64" i="238"/>
  <c r="G64" i="238"/>
  <c r="G30" i="241" s="1"/>
  <c r="F64" i="238"/>
  <c r="F30" i="241" s="1"/>
  <c r="E64" i="238"/>
  <c r="E30" i="241" s="1"/>
  <c r="D64" i="238"/>
  <c r="C64" i="238"/>
  <c r="C30" i="241" s="1"/>
  <c r="H61" i="238"/>
  <c r="G61" i="238"/>
  <c r="F61" i="238"/>
  <c r="K60" i="238"/>
  <c r="J60" i="238"/>
  <c r="I60" i="238"/>
  <c r="H60" i="238"/>
  <c r="G60" i="238"/>
  <c r="F60" i="238"/>
  <c r="E60" i="238"/>
  <c r="D60" i="238"/>
  <c r="K58" i="238"/>
  <c r="J58" i="238"/>
  <c r="I58" i="238"/>
  <c r="H58" i="238"/>
  <c r="G58" i="238"/>
  <c r="F58" i="238"/>
  <c r="E58" i="238"/>
  <c r="D58" i="238"/>
  <c r="C58" i="238"/>
  <c r="K57" i="238"/>
  <c r="J57" i="238"/>
  <c r="L57" i="238" s="1"/>
  <c r="I57" i="238"/>
  <c r="H57" i="238"/>
  <c r="G57" i="238"/>
  <c r="F57" i="238"/>
  <c r="E57" i="238"/>
  <c r="D57" i="238"/>
  <c r="C57" i="238"/>
  <c r="K56" i="238"/>
  <c r="K13" i="241" s="1"/>
  <c r="J56" i="238"/>
  <c r="I56" i="238"/>
  <c r="I13" i="241" s="1"/>
  <c r="H56" i="238"/>
  <c r="G56" i="238"/>
  <c r="G13" i="241" s="1"/>
  <c r="F56" i="238"/>
  <c r="F13" i="241" s="1"/>
  <c r="E56" i="238"/>
  <c r="E13" i="241" s="1"/>
  <c r="D56" i="238"/>
  <c r="C56" i="238"/>
  <c r="C13" i="241" s="1"/>
  <c r="K55" i="238"/>
  <c r="K12" i="241" s="1"/>
  <c r="J55" i="238"/>
  <c r="I55" i="238"/>
  <c r="H55" i="238"/>
  <c r="G55" i="238"/>
  <c r="G12" i="241" s="1"/>
  <c r="F55" i="238"/>
  <c r="F12" i="241" s="1"/>
  <c r="E55" i="238"/>
  <c r="E12" i="241" s="1"/>
  <c r="D55" i="238"/>
  <c r="D12" i="241" s="1"/>
  <c r="C55" i="238"/>
  <c r="K54" i="238"/>
  <c r="J54" i="238"/>
  <c r="I54" i="238"/>
  <c r="I11" i="241" s="1"/>
  <c r="G54" i="238"/>
  <c r="F54" i="238"/>
  <c r="F11" i="241" s="1"/>
  <c r="E54" i="238"/>
  <c r="D54" i="238"/>
  <c r="D11" i="241" s="1"/>
  <c r="C54" i="238"/>
  <c r="L52" i="238"/>
  <c r="K52" i="238"/>
  <c r="J52" i="238"/>
  <c r="I52" i="238"/>
  <c r="H52" i="238"/>
  <c r="G52" i="238"/>
  <c r="F52" i="238"/>
  <c r="E52" i="238"/>
  <c r="D52" i="238"/>
  <c r="C52" i="238"/>
  <c r="K45" i="238"/>
  <c r="K77" i="240" s="1"/>
  <c r="K78" i="364" s="1"/>
  <c r="J45" i="238"/>
  <c r="I45" i="238"/>
  <c r="I77" i="240" s="1"/>
  <c r="I78" i="364" s="1"/>
  <c r="H45" i="238"/>
  <c r="G45" i="238"/>
  <c r="G77" i="240" s="1"/>
  <c r="G78" i="364" s="1"/>
  <c r="F45" i="238"/>
  <c r="F77" i="240" s="1"/>
  <c r="F78" i="364" s="1"/>
  <c r="E45" i="238"/>
  <c r="E77" i="240" s="1"/>
  <c r="D45" i="238"/>
  <c r="D77" i="240" s="1"/>
  <c r="D78" i="364" s="1"/>
  <c r="C45" i="238"/>
  <c r="C77" i="240" s="1"/>
  <c r="K44" i="238"/>
  <c r="K76" i="240" s="1"/>
  <c r="J44" i="238"/>
  <c r="I44" i="238"/>
  <c r="I76" i="240" s="1"/>
  <c r="H44" i="238"/>
  <c r="G44" i="238"/>
  <c r="G76" i="240" s="1"/>
  <c r="F44" i="238"/>
  <c r="F76" i="240" s="1"/>
  <c r="E44" i="238"/>
  <c r="E76" i="240" s="1"/>
  <c r="D44" i="238"/>
  <c r="C44" i="238"/>
  <c r="C76" i="240" s="1"/>
  <c r="K41" i="238"/>
  <c r="K65" i="240" s="1"/>
  <c r="K66" i="364" s="1"/>
  <c r="J41" i="238"/>
  <c r="I41" i="238"/>
  <c r="I65" i="240" s="1"/>
  <c r="I66" i="364" s="1"/>
  <c r="H41" i="238"/>
  <c r="G41" i="238"/>
  <c r="G65" i="240" s="1"/>
  <c r="G66" i="364" s="1"/>
  <c r="F41" i="238"/>
  <c r="F65" i="240" s="1"/>
  <c r="F66" i="364" s="1"/>
  <c r="E41" i="238"/>
  <c r="E65" i="240" s="1"/>
  <c r="D41" i="238"/>
  <c r="D65" i="240" s="1"/>
  <c r="D66" i="364" s="1"/>
  <c r="C41" i="238"/>
  <c r="C65" i="240" s="1"/>
  <c r="K39" i="238"/>
  <c r="K63" i="240" s="1"/>
  <c r="K64" i="364" s="1"/>
  <c r="J39" i="238"/>
  <c r="J64" i="364" s="1"/>
  <c r="I39" i="238"/>
  <c r="I63" i="240" s="1"/>
  <c r="I64" i="364" s="1"/>
  <c r="H39" i="238"/>
  <c r="G39" i="238"/>
  <c r="G63" i="240" s="1"/>
  <c r="G64" i="364" s="1"/>
  <c r="F39" i="238"/>
  <c r="F63" i="240" s="1"/>
  <c r="F64" i="364" s="1"/>
  <c r="E39" i="238"/>
  <c r="E63" i="240" s="1"/>
  <c r="D39" i="238"/>
  <c r="C39" i="238"/>
  <c r="C63" i="240" s="1"/>
  <c r="K36" i="238"/>
  <c r="K60" i="240" s="1"/>
  <c r="J36" i="238"/>
  <c r="L60" i="240" s="1"/>
  <c r="I36" i="238"/>
  <c r="I60" i="240" s="1"/>
  <c r="H36" i="238"/>
  <c r="G36" i="238"/>
  <c r="G60" i="240" s="1"/>
  <c r="F36" i="238"/>
  <c r="E36" i="238"/>
  <c r="E60" i="240" s="1"/>
  <c r="D36" i="238"/>
  <c r="D60" i="240" s="1"/>
  <c r="C36" i="238"/>
  <c r="C60" i="240" s="1"/>
  <c r="K35" i="238"/>
  <c r="K55" i="240" s="1"/>
  <c r="J35" i="238"/>
  <c r="J55" i="240" s="1"/>
  <c r="J52" i="240" s="1"/>
  <c r="J66" i="240" s="1"/>
  <c r="J83" i="240" s="1"/>
  <c r="I35" i="238"/>
  <c r="I55" i="240" s="1"/>
  <c r="H35" i="238"/>
  <c r="G35" i="238"/>
  <c r="G55" i="240" s="1"/>
  <c r="F35" i="238"/>
  <c r="F55" i="240" s="1"/>
  <c r="E35" i="238"/>
  <c r="E55" i="240" s="1"/>
  <c r="D35" i="238"/>
  <c r="D55" i="240" s="1"/>
  <c r="C35" i="238"/>
  <c r="C55" i="240" s="1"/>
  <c r="K34" i="238"/>
  <c r="K54" i="240" s="1"/>
  <c r="J34" i="238"/>
  <c r="I34" i="238"/>
  <c r="I54" i="240" s="1"/>
  <c r="H34" i="238"/>
  <c r="G34" i="238"/>
  <c r="G54" i="240" s="1"/>
  <c r="F34" i="238"/>
  <c r="F54" i="240" s="1"/>
  <c r="E34" i="238"/>
  <c r="E54" i="240" s="1"/>
  <c r="D34" i="238"/>
  <c r="C34" i="238"/>
  <c r="K33" i="238"/>
  <c r="K53" i="240" s="1"/>
  <c r="J33" i="238"/>
  <c r="I33" i="238"/>
  <c r="I53" i="240" s="1"/>
  <c r="H33" i="238"/>
  <c r="G33" i="238"/>
  <c r="G53" i="240" s="1"/>
  <c r="F33" i="238"/>
  <c r="F53" i="240" s="1"/>
  <c r="E33" i="238"/>
  <c r="D33" i="238"/>
  <c r="D53" i="240" s="1"/>
  <c r="C33" i="238"/>
  <c r="C53" i="240" s="1"/>
  <c r="K31" i="238"/>
  <c r="J31" i="238"/>
  <c r="I31" i="238"/>
  <c r="H31" i="238"/>
  <c r="G31" i="238"/>
  <c r="F31" i="238"/>
  <c r="E31" i="238"/>
  <c r="D31" i="238"/>
  <c r="C31" i="238"/>
  <c r="K30" i="238"/>
  <c r="J30" i="238"/>
  <c r="I30" i="238"/>
  <c r="H30" i="238"/>
  <c r="G30" i="238"/>
  <c r="F30" i="238"/>
  <c r="E30" i="238"/>
  <c r="E28" i="240" s="1"/>
  <c r="D30" i="238"/>
  <c r="C30" i="238"/>
  <c r="K29" i="238"/>
  <c r="J29" i="238"/>
  <c r="I29" i="238"/>
  <c r="H29" i="238"/>
  <c r="G29" i="238"/>
  <c r="F29" i="238"/>
  <c r="E29" i="238"/>
  <c r="D29" i="238"/>
  <c r="C29" i="238"/>
  <c r="K27" i="238"/>
  <c r="J27" i="238"/>
  <c r="I27" i="238"/>
  <c r="H27" i="238"/>
  <c r="G27" i="238"/>
  <c r="F27" i="238"/>
  <c r="E27" i="238"/>
  <c r="D27" i="238"/>
  <c r="C27" i="238"/>
  <c r="K26" i="238"/>
  <c r="K23" i="240" s="1"/>
  <c r="K24" i="364" s="1"/>
  <c r="J26" i="238"/>
  <c r="J24" i="364" s="1"/>
  <c r="I26" i="238"/>
  <c r="I23" i="240" s="1"/>
  <c r="I24" i="364" s="1"/>
  <c r="H26" i="238"/>
  <c r="G26" i="238"/>
  <c r="G23" i="240" s="1"/>
  <c r="G24" i="364" s="1"/>
  <c r="F26" i="238"/>
  <c r="F23" i="240" s="1"/>
  <c r="F24" i="364" s="1"/>
  <c r="E26" i="238"/>
  <c r="E23" i="240" s="1"/>
  <c r="D26" i="238"/>
  <c r="D23" i="240" s="1"/>
  <c r="C26" i="238"/>
  <c r="C23" i="240" s="1"/>
  <c r="K25" i="238"/>
  <c r="K22" i="240" s="1"/>
  <c r="J25" i="238"/>
  <c r="I25" i="238"/>
  <c r="I22" i="240" s="1"/>
  <c r="H25" i="238"/>
  <c r="G25" i="238"/>
  <c r="G22" i="240" s="1"/>
  <c r="F25" i="238"/>
  <c r="F22" i="240" s="1"/>
  <c r="E25" i="238"/>
  <c r="E22" i="240" s="1"/>
  <c r="D25" i="238"/>
  <c r="D22" i="240" s="1"/>
  <c r="C25" i="238"/>
  <c r="K24" i="238"/>
  <c r="J24" i="238"/>
  <c r="I24" i="238"/>
  <c r="H24" i="238"/>
  <c r="G24" i="238"/>
  <c r="F24" i="238"/>
  <c r="E24" i="238"/>
  <c r="D24" i="238"/>
  <c r="C24" i="238"/>
  <c r="K23" i="238"/>
  <c r="J23" i="238"/>
  <c r="I23" i="238"/>
  <c r="H23" i="238"/>
  <c r="G23" i="238"/>
  <c r="F23" i="238"/>
  <c r="E23" i="238"/>
  <c r="D23" i="238"/>
  <c r="C23" i="238"/>
  <c r="K21" i="238"/>
  <c r="K51" i="240" s="1"/>
  <c r="J21" i="238"/>
  <c r="I21" i="238"/>
  <c r="H21" i="238"/>
  <c r="G21" i="238"/>
  <c r="G51" i="240" s="1"/>
  <c r="F21" i="238"/>
  <c r="F51" i="240" s="1"/>
  <c r="E21" i="238"/>
  <c r="E51" i="240" s="1"/>
  <c r="D21" i="238"/>
  <c r="D51" i="240" s="1"/>
  <c r="C21" i="238"/>
  <c r="C51" i="240" s="1"/>
  <c r="K20" i="238"/>
  <c r="K50" i="240" s="1"/>
  <c r="J20" i="238"/>
  <c r="I20" i="238"/>
  <c r="I50" i="240" s="1"/>
  <c r="H20" i="238"/>
  <c r="G20" i="238"/>
  <c r="G50" i="240" s="1"/>
  <c r="F20" i="238"/>
  <c r="F50" i="240" s="1"/>
  <c r="E20" i="238"/>
  <c r="E50" i="240" s="1"/>
  <c r="D20" i="238"/>
  <c r="C20" i="238"/>
  <c r="C50" i="240" s="1"/>
  <c r="K19" i="238"/>
  <c r="K49" i="240" s="1"/>
  <c r="J19" i="238"/>
  <c r="I19" i="238"/>
  <c r="I49" i="240" s="1"/>
  <c r="H19" i="238"/>
  <c r="G19" i="238"/>
  <c r="G49" i="240" s="1"/>
  <c r="F19" i="238"/>
  <c r="F49" i="240" s="1"/>
  <c r="E19" i="238"/>
  <c r="E49" i="240" s="1"/>
  <c r="D19" i="238"/>
  <c r="D49" i="240" s="1"/>
  <c r="C19" i="238"/>
  <c r="C49" i="240" s="1"/>
  <c r="K18" i="238"/>
  <c r="K48" i="240" s="1"/>
  <c r="J18" i="238"/>
  <c r="L48" i="240" s="1"/>
  <c r="I18" i="238"/>
  <c r="I48" i="240" s="1"/>
  <c r="H18" i="238"/>
  <c r="G18" i="238"/>
  <c r="G48" i="240" s="1"/>
  <c r="F18" i="238"/>
  <c r="F48" i="240" s="1"/>
  <c r="E18" i="238"/>
  <c r="E48" i="240" s="1"/>
  <c r="D18" i="238"/>
  <c r="C18" i="238"/>
  <c r="C48" i="240" s="1"/>
  <c r="K17" i="238"/>
  <c r="K47" i="240" s="1"/>
  <c r="J17" i="238"/>
  <c r="I17" i="238"/>
  <c r="H17" i="238"/>
  <c r="G17" i="238"/>
  <c r="G47" i="240" s="1"/>
  <c r="F17" i="238"/>
  <c r="F47" i="240" s="1"/>
  <c r="E17" i="238"/>
  <c r="E47" i="240" s="1"/>
  <c r="D17" i="238"/>
  <c r="D47" i="240" s="1"/>
  <c r="C17" i="238"/>
  <c r="C47" i="240" s="1"/>
  <c r="K16" i="238"/>
  <c r="K46" i="240" s="1"/>
  <c r="J16" i="238"/>
  <c r="I16" i="238"/>
  <c r="I46" i="240" s="1"/>
  <c r="H16" i="238"/>
  <c r="G16" i="238"/>
  <c r="G46" i="240" s="1"/>
  <c r="F16" i="238"/>
  <c r="F46" i="240" s="1"/>
  <c r="E16" i="238"/>
  <c r="E46" i="240" s="1"/>
  <c r="D16" i="238"/>
  <c r="C16" i="238"/>
  <c r="C46" i="240" s="1"/>
  <c r="K15" i="238"/>
  <c r="K45" i="240" s="1"/>
  <c r="J15" i="238"/>
  <c r="I15" i="238"/>
  <c r="I45" i="240" s="1"/>
  <c r="H15" i="238"/>
  <c r="G15" i="238"/>
  <c r="G45" i="240" s="1"/>
  <c r="F15" i="238"/>
  <c r="F45" i="240" s="1"/>
  <c r="E15" i="238"/>
  <c r="E45" i="240" s="1"/>
  <c r="D15" i="238"/>
  <c r="D45" i="240" s="1"/>
  <c r="C15" i="238"/>
  <c r="C45" i="240" s="1"/>
  <c r="K14" i="238"/>
  <c r="K44" i="240" s="1"/>
  <c r="J14" i="238"/>
  <c r="I14" i="238"/>
  <c r="I44" i="240" s="1"/>
  <c r="H14" i="238"/>
  <c r="G14" i="238"/>
  <c r="G44" i="240" s="1"/>
  <c r="F14" i="238"/>
  <c r="F44" i="240" s="1"/>
  <c r="E14" i="238"/>
  <c r="E44" i="240" s="1"/>
  <c r="D14" i="238"/>
  <c r="C14" i="238"/>
  <c r="C44" i="240" s="1"/>
  <c r="K13" i="238"/>
  <c r="K43" i="240" s="1"/>
  <c r="J13" i="238"/>
  <c r="I13" i="238"/>
  <c r="I43" i="240" s="1"/>
  <c r="H13" i="238"/>
  <c r="G13" i="238"/>
  <c r="G43" i="240" s="1"/>
  <c r="F13" i="238"/>
  <c r="F43" i="240" s="1"/>
  <c r="E13" i="238"/>
  <c r="E43" i="240" s="1"/>
  <c r="D13" i="238"/>
  <c r="D43" i="240" s="1"/>
  <c r="C13" i="238"/>
  <c r="C43" i="240" s="1"/>
  <c r="K12" i="238"/>
  <c r="K42" i="240" s="1"/>
  <c r="J12" i="238"/>
  <c r="I12" i="238"/>
  <c r="I42" i="240" s="1"/>
  <c r="H12" i="238"/>
  <c r="G12" i="238"/>
  <c r="G42" i="240" s="1"/>
  <c r="F12" i="238"/>
  <c r="F42" i="240" s="1"/>
  <c r="E12" i="238"/>
  <c r="E42" i="240" s="1"/>
  <c r="D12" i="238"/>
  <c r="C12" i="238"/>
  <c r="C42" i="240" s="1"/>
  <c r="K11" i="238"/>
  <c r="J11" i="238"/>
  <c r="I11" i="238"/>
  <c r="I41" i="240" s="1"/>
  <c r="H11" i="238"/>
  <c r="G11" i="238"/>
  <c r="F11" i="238"/>
  <c r="F41" i="240" s="1"/>
  <c r="E11" i="238"/>
  <c r="E41" i="240" s="1"/>
  <c r="D11" i="238"/>
  <c r="D41" i="240" s="1"/>
  <c r="C11" i="238"/>
  <c r="L7" i="238"/>
  <c r="K7" i="238"/>
  <c r="J7" i="238"/>
  <c r="I7" i="238"/>
  <c r="H7" i="238"/>
  <c r="G7" i="238"/>
  <c r="F7" i="238"/>
  <c r="E7" i="238"/>
  <c r="D7" i="238"/>
  <c r="C7" i="238"/>
  <c r="L137" i="239"/>
  <c r="L134" i="370" s="1"/>
  <c r="L133" i="370"/>
  <c r="L129" i="370"/>
  <c r="L128" i="370"/>
  <c r="L127" i="370"/>
  <c r="L123" i="370"/>
  <c r="L121" i="370"/>
  <c r="K123" i="239"/>
  <c r="J123" i="239"/>
  <c r="L123" i="239" s="1"/>
  <c r="I123" i="239"/>
  <c r="G123" i="239"/>
  <c r="F123" i="239"/>
  <c r="E123" i="239"/>
  <c r="H123" i="239" s="1"/>
  <c r="D123" i="239"/>
  <c r="L119" i="370"/>
  <c r="L118" i="370"/>
  <c r="L117" i="370"/>
  <c r="K119" i="239"/>
  <c r="J119" i="239"/>
  <c r="I119" i="239"/>
  <c r="G119" i="239"/>
  <c r="F119" i="239"/>
  <c r="E119" i="239"/>
  <c r="D119" i="239"/>
  <c r="C119" i="239"/>
  <c r="L113" i="370"/>
  <c r="L111" i="370"/>
  <c r="L109" i="370"/>
  <c r="L107" i="370"/>
  <c r="L104" i="370"/>
  <c r="K106" i="239"/>
  <c r="J106" i="239"/>
  <c r="I106" i="239"/>
  <c r="E105" i="239"/>
  <c r="E102" i="370" s="1"/>
  <c r="H102" i="370" s="1"/>
  <c r="D105" i="239"/>
  <c r="G103" i="239"/>
  <c r="L98" i="370"/>
  <c r="L96" i="370"/>
  <c r="L95" i="370"/>
  <c r="L94" i="370"/>
  <c r="L90" i="370"/>
  <c r="L89" i="370"/>
  <c r="L88" i="370"/>
  <c r="L89" i="239"/>
  <c r="K89" i="239"/>
  <c r="J89" i="239"/>
  <c r="I89" i="239"/>
  <c r="H89" i="239"/>
  <c r="G89" i="239"/>
  <c r="F89" i="239"/>
  <c r="E89" i="239"/>
  <c r="D89" i="239"/>
  <c r="C89" i="239"/>
  <c r="L81" i="370"/>
  <c r="L80" i="370"/>
  <c r="L79" i="370"/>
  <c r="L78" i="370" s="1"/>
  <c r="K80" i="239"/>
  <c r="J80" i="239"/>
  <c r="I80" i="239"/>
  <c r="G80" i="239"/>
  <c r="F80" i="239"/>
  <c r="E80" i="239"/>
  <c r="D80" i="239"/>
  <c r="C80" i="239"/>
  <c r="L77" i="370"/>
  <c r="L76" i="370"/>
  <c r="K77" i="239"/>
  <c r="J77" i="239"/>
  <c r="L77" i="239" s="1"/>
  <c r="I77" i="239"/>
  <c r="G77" i="239"/>
  <c r="F77" i="239"/>
  <c r="E77" i="239"/>
  <c r="H77" i="239" s="1"/>
  <c r="D77" i="239"/>
  <c r="C77" i="239"/>
  <c r="L74" i="370"/>
  <c r="L72" i="370"/>
  <c r="L71" i="370" s="1"/>
  <c r="K73" i="239"/>
  <c r="J73" i="239"/>
  <c r="L73" i="239" s="1"/>
  <c r="I73" i="239"/>
  <c r="G73" i="239"/>
  <c r="F73" i="239"/>
  <c r="E73" i="239"/>
  <c r="H73" i="239" s="1"/>
  <c r="L70" i="370"/>
  <c r="L69" i="370"/>
  <c r="L68" i="370"/>
  <c r="L67" i="370" s="1"/>
  <c r="K69" i="239"/>
  <c r="J69" i="239"/>
  <c r="I69" i="239"/>
  <c r="G69" i="239"/>
  <c r="F69" i="239"/>
  <c r="E69" i="239"/>
  <c r="D69" i="239"/>
  <c r="C69" i="239"/>
  <c r="L65" i="370"/>
  <c r="L64" i="370"/>
  <c r="L63" i="370"/>
  <c r="K64" i="239"/>
  <c r="J64" i="239"/>
  <c r="L64" i="239" s="1"/>
  <c r="I64" i="239"/>
  <c r="G64" i="239"/>
  <c r="F64" i="239"/>
  <c r="E64" i="239"/>
  <c r="D64" i="239"/>
  <c r="C64" i="239"/>
  <c r="L61" i="370"/>
  <c r="L60" i="370"/>
  <c r="L59" i="370"/>
  <c r="L58" i="370" s="1"/>
  <c r="K60" i="239"/>
  <c r="J60" i="239"/>
  <c r="L60" i="239" s="1"/>
  <c r="I60" i="239"/>
  <c r="G60" i="239"/>
  <c r="F60" i="239"/>
  <c r="E60" i="239"/>
  <c r="H60" i="239" s="1"/>
  <c r="D60" i="239"/>
  <c r="C60" i="239"/>
  <c r="L57" i="370"/>
  <c r="L56" i="370"/>
  <c r="L55" i="370"/>
  <c r="L54" i="370"/>
  <c r="L53" i="370"/>
  <c r="L52" i="370" s="1"/>
  <c r="K54" i="239"/>
  <c r="J54" i="239"/>
  <c r="L54" i="239" s="1"/>
  <c r="I54" i="239"/>
  <c r="G54" i="239"/>
  <c r="F54" i="239"/>
  <c r="E54" i="239"/>
  <c r="D54" i="239"/>
  <c r="L51" i="370"/>
  <c r="L50" i="370"/>
  <c r="L49" i="370"/>
  <c r="L48" i="370"/>
  <c r="L47" i="370"/>
  <c r="L46" i="370"/>
  <c r="L45" i="370"/>
  <c r="L44" i="370"/>
  <c r="L43" i="370"/>
  <c r="L42" i="370"/>
  <c r="L41" i="370"/>
  <c r="L40" i="370" s="1"/>
  <c r="K42" i="239"/>
  <c r="J42" i="239"/>
  <c r="L42" i="239" s="1"/>
  <c r="I42" i="239"/>
  <c r="G42" i="239"/>
  <c r="F42" i="239"/>
  <c r="E42" i="239"/>
  <c r="H42" i="239" s="1"/>
  <c r="D42" i="239"/>
  <c r="C42" i="239"/>
  <c r="L39" i="370"/>
  <c r="L38" i="370"/>
  <c r="L37" i="370"/>
  <c r="K38" i="239"/>
  <c r="K36" i="370" s="1"/>
  <c r="J38" i="239"/>
  <c r="I38" i="239"/>
  <c r="I36" i="370" s="1"/>
  <c r="G38" i="239"/>
  <c r="G36" i="370" s="1"/>
  <c r="F36" i="370"/>
  <c r="D38" i="239"/>
  <c r="C38" i="239"/>
  <c r="L35" i="370"/>
  <c r="L34" i="370"/>
  <c r="K35" i="239"/>
  <c r="K33" i="370" s="1"/>
  <c r="J35" i="239"/>
  <c r="I35" i="239"/>
  <c r="I33" i="370" s="1"/>
  <c r="G35" i="239"/>
  <c r="G33" i="370" s="1"/>
  <c r="F33" i="370"/>
  <c r="D35" i="239"/>
  <c r="C35" i="239"/>
  <c r="L32" i="370"/>
  <c r="K33" i="239"/>
  <c r="K31" i="370" s="1"/>
  <c r="J33" i="239"/>
  <c r="I33" i="239"/>
  <c r="I31" i="370" s="1"/>
  <c r="G33" i="239"/>
  <c r="G31" i="370" s="1"/>
  <c r="F31" i="370"/>
  <c r="D33" i="239"/>
  <c r="C33" i="239"/>
  <c r="L29" i="370"/>
  <c r="L28" i="370"/>
  <c r="L27" i="370"/>
  <c r="L26" i="370"/>
  <c r="L25" i="370"/>
  <c r="K26" i="239"/>
  <c r="J26" i="239"/>
  <c r="L26" i="239" s="1"/>
  <c r="I26" i="239"/>
  <c r="G26" i="239"/>
  <c r="F26" i="239"/>
  <c r="E26" i="239"/>
  <c r="H26" i="239" s="1"/>
  <c r="D26" i="239"/>
  <c r="C26" i="239"/>
  <c r="L23" i="370"/>
  <c r="L22" i="370"/>
  <c r="L21" i="370"/>
  <c r="L20" i="370"/>
  <c r="L19" i="370"/>
  <c r="K20" i="239"/>
  <c r="L17" i="370"/>
  <c r="L16" i="370"/>
  <c r="L15" i="370"/>
  <c r="L13" i="370"/>
  <c r="C13" i="370"/>
  <c r="L12" i="370"/>
  <c r="L11" i="370"/>
  <c r="L9" i="239"/>
  <c r="K9" i="239"/>
  <c r="J9" i="239"/>
  <c r="I9" i="239"/>
  <c r="H9" i="239"/>
  <c r="G9" i="239"/>
  <c r="F9" i="239"/>
  <c r="E9" i="239"/>
  <c r="D9" i="239"/>
  <c r="C9" i="239"/>
  <c r="W5" i="243"/>
  <c r="V5" i="243"/>
  <c r="U5" i="243"/>
  <c r="T5" i="243"/>
  <c r="S5" i="243"/>
  <c r="R5" i="243"/>
  <c r="Q5" i="243"/>
  <c r="P5" i="243"/>
  <c r="O5" i="243"/>
  <c r="N5" i="243"/>
  <c r="L5" i="243"/>
  <c r="K5" i="243"/>
  <c r="J5" i="243"/>
  <c r="I5" i="243"/>
  <c r="H5" i="243"/>
  <c r="G5" i="243"/>
  <c r="F5" i="243"/>
  <c r="E5" i="243"/>
  <c r="D5" i="243"/>
  <c r="C5" i="243"/>
  <c r="K24" i="242"/>
  <c r="J24" i="242"/>
  <c r="I24" i="242"/>
  <c r="G24" i="242"/>
  <c r="F24" i="242"/>
  <c r="L24" i="242" s="1"/>
  <c r="E24" i="242"/>
  <c r="D24" i="242"/>
  <c r="W5" i="242"/>
  <c r="V5" i="242"/>
  <c r="U5" i="242"/>
  <c r="T5" i="242"/>
  <c r="S5" i="242"/>
  <c r="R5" i="242"/>
  <c r="Q5" i="242"/>
  <c r="P5" i="242"/>
  <c r="O5" i="242"/>
  <c r="N5" i="242"/>
  <c r="L5" i="242"/>
  <c r="K5" i="242"/>
  <c r="J5" i="242"/>
  <c r="I5" i="242"/>
  <c r="H5" i="242"/>
  <c r="G5" i="242"/>
  <c r="F5" i="242"/>
  <c r="E5" i="242"/>
  <c r="D5" i="242"/>
  <c r="C5" i="242"/>
  <c r="K52" i="241"/>
  <c r="K53" i="365" s="1"/>
  <c r="J53" i="365"/>
  <c r="I52" i="241"/>
  <c r="I53" i="365" s="1"/>
  <c r="G52" i="241"/>
  <c r="G53" i="365" s="1"/>
  <c r="F52" i="241"/>
  <c r="E52" i="241"/>
  <c r="D52" i="241"/>
  <c r="K51" i="241"/>
  <c r="K52" i="365" s="1"/>
  <c r="J52" i="365"/>
  <c r="I51" i="241"/>
  <c r="I52" i="365" s="1"/>
  <c r="G51" i="241"/>
  <c r="G52" i="365" s="1"/>
  <c r="F51" i="241"/>
  <c r="F52" i="365" s="1"/>
  <c r="E51" i="241"/>
  <c r="D51" i="241"/>
  <c r="D52" i="365" s="1"/>
  <c r="C51" i="241"/>
  <c r="K50" i="241"/>
  <c r="K51" i="365" s="1"/>
  <c r="J51" i="365"/>
  <c r="I50" i="241"/>
  <c r="I51" i="365" s="1"/>
  <c r="G50" i="241"/>
  <c r="G51" i="365" s="1"/>
  <c r="F50" i="241"/>
  <c r="F51" i="365" s="1"/>
  <c r="E50" i="241"/>
  <c r="D50" i="241"/>
  <c r="D51" i="365" s="1"/>
  <c r="C50" i="241"/>
  <c r="K46" i="241"/>
  <c r="K47" i="365" s="1"/>
  <c r="J47" i="365"/>
  <c r="I46" i="241"/>
  <c r="I47" i="365" s="1"/>
  <c r="G46" i="241"/>
  <c r="G47" i="365" s="1"/>
  <c r="F46" i="241"/>
  <c r="F47" i="365" s="1"/>
  <c r="E46" i="241"/>
  <c r="D46" i="241"/>
  <c r="D47" i="365" s="1"/>
  <c r="C46" i="241"/>
  <c r="K45" i="241"/>
  <c r="K46" i="365" s="1"/>
  <c r="J46" i="365"/>
  <c r="I45" i="241"/>
  <c r="I46" i="365" s="1"/>
  <c r="G45" i="241"/>
  <c r="G46" i="365" s="1"/>
  <c r="F45" i="241"/>
  <c r="F46" i="365" s="1"/>
  <c r="E45" i="241"/>
  <c r="D45" i="241"/>
  <c r="D46" i="365" s="1"/>
  <c r="C45" i="241"/>
  <c r="K44" i="241"/>
  <c r="K45" i="365" s="1"/>
  <c r="J45" i="365"/>
  <c r="I44" i="241"/>
  <c r="I45" i="365" s="1"/>
  <c r="G44" i="241"/>
  <c r="G45" i="365" s="1"/>
  <c r="F44" i="241"/>
  <c r="F45" i="365" s="1"/>
  <c r="E44" i="241"/>
  <c r="D44" i="241"/>
  <c r="D45" i="365" s="1"/>
  <c r="C44" i="241"/>
  <c r="K42" i="241"/>
  <c r="K43" i="365" s="1"/>
  <c r="J43" i="365"/>
  <c r="I42" i="241"/>
  <c r="I43" i="365" s="1"/>
  <c r="G42" i="241"/>
  <c r="G43" i="365" s="1"/>
  <c r="F42" i="241"/>
  <c r="F43" i="365" s="1"/>
  <c r="E42" i="241"/>
  <c r="D42" i="241"/>
  <c r="D43" i="365" s="1"/>
  <c r="C42" i="241"/>
  <c r="K41" i="241"/>
  <c r="K42" i="365" s="1"/>
  <c r="J42" i="365"/>
  <c r="I41" i="241"/>
  <c r="I42" i="365" s="1"/>
  <c r="G41" i="241"/>
  <c r="G42" i="365" s="1"/>
  <c r="F41" i="241"/>
  <c r="F42" i="365" s="1"/>
  <c r="E41" i="241"/>
  <c r="D41" i="241"/>
  <c r="D42" i="365" s="1"/>
  <c r="C41" i="241"/>
  <c r="K40" i="241"/>
  <c r="K41" i="365" s="1"/>
  <c r="J41" i="365"/>
  <c r="I40" i="241"/>
  <c r="I41" i="365" s="1"/>
  <c r="G40" i="241"/>
  <c r="G41" i="365" s="1"/>
  <c r="F40" i="241"/>
  <c r="F41" i="365" s="1"/>
  <c r="E40" i="241"/>
  <c r="D40" i="241"/>
  <c r="D41" i="365" s="1"/>
  <c r="C40" i="241"/>
  <c r="K36" i="241"/>
  <c r="K37" i="365" s="1"/>
  <c r="J37" i="365"/>
  <c r="I36" i="241"/>
  <c r="I37" i="365" s="1"/>
  <c r="G36" i="241"/>
  <c r="G37" i="365" s="1"/>
  <c r="F36" i="241"/>
  <c r="F37" i="365" s="1"/>
  <c r="E36" i="241"/>
  <c r="D36" i="241"/>
  <c r="D37" i="365" s="1"/>
  <c r="C36" i="241"/>
  <c r="K34" i="241"/>
  <c r="K35" i="365" s="1"/>
  <c r="J35" i="365"/>
  <c r="I34" i="241"/>
  <c r="I35" i="365" s="1"/>
  <c r="G34" i="241"/>
  <c r="G35" i="365" s="1"/>
  <c r="F34" i="241"/>
  <c r="F35" i="365" s="1"/>
  <c r="E34" i="241"/>
  <c r="D34" i="241"/>
  <c r="D35" i="365" s="1"/>
  <c r="C34" i="241"/>
  <c r="C27" i="241"/>
  <c r="C26" i="241"/>
  <c r="C24" i="241"/>
  <c r="K21" i="241"/>
  <c r="K22" i="365" s="1"/>
  <c r="J22" i="365"/>
  <c r="I21" i="241"/>
  <c r="I22" i="365" s="1"/>
  <c r="G21" i="241"/>
  <c r="G22" i="365" s="1"/>
  <c r="F21" i="241"/>
  <c r="F22" i="365" s="1"/>
  <c r="E21" i="241"/>
  <c r="D21" i="241"/>
  <c r="D22" i="365" s="1"/>
  <c r="C21" i="241"/>
  <c r="K19" i="241"/>
  <c r="K20" i="365" s="1"/>
  <c r="J20" i="365"/>
  <c r="I19" i="241"/>
  <c r="I20" i="365" s="1"/>
  <c r="G19" i="241"/>
  <c r="G20" i="365" s="1"/>
  <c r="F19" i="241"/>
  <c r="F20" i="365" s="1"/>
  <c r="E19" i="241"/>
  <c r="D19" i="241"/>
  <c r="D20" i="365" s="1"/>
  <c r="C19" i="241"/>
  <c r="C20" i="365" s="1"/>
  <c r="K18" i="241"/>
  <c r="K19" i="365" s="1"/>
  <c r="J19" i="365"/>
  <c r="I18" i="241"/>
  <c r="I19" i="365" s="1"/>
  <c r="G18" i="241"/>
  <c r="G19" i="365" s="1"/>
  <c r="F18" i="241"/>
  <c r="F19" i="365" s="1"/>
  <c r="E18" i="241"/>
  <c r="D18" i="241"/>
  <c r="D19" i="365" s="1"/>
  <c r="C18" i="241"/>
  <c r="K17" i="241"/>
  <c r="K18" i="365" s="1"/>
  <c r="J18" i="365"/>
  <c r="I17" i="241"/>
  <c r="I18" i="365" s="1"/>
  <c r="G17" i="241"/>
  <c r="G18" i="365" s="1"/>
  <c r="F17" i="241"/>
  <c r="F18" i="365" s="1"/>
  <c r="E17" i="241"/>
  <c r="D17" i="241"/>
  <c r="D18" i="365" s="1"/>
  <c r="L8" i="241"/>
  <c r="K8" i="241"/>
  <c r="J8" i="241"/>
  <c r="I8" i="241"/>
  <c r="H8" i="241"/>
  <c r="G8" i="241"/>
  <c r="F8" i="241"/>
  <c r="E8" i="241"/>
  <c r="D8" i="241"/>
  <c r="C8" i="241"/>
  <c r="C81" i="240"/>
  <c r="C82" i="364" s="1"/>
  <c r="C80" i="240"/>
  <c r="C79" i="240"/>
  <c r="C74" i="240"/>
  <c r="C73" i="240"/>
  <c r="C74" i="364" s="1"/>
  <c r="D23" i="242"/>
  <c r="C72" i="240"/>
  <c r="C70" i="240"/>
  <c r="C69" i="240"/>
  <c r="C68" i="240"/>
  <c r="K61" i="240"/>
  <c r="J12" i="242"/>
  <c r="I61" i="240"/>
  <c r="G61" i="240"/>
  <c r="F61" i="240"/>
  <c r="K59" i="240"/>
  <c r="K60" i="364" s="1"/>
  <c r="J60" i="364"/>
  <c r="I59" i="240"/>
  <c r="I60" i="364" s="1"/>
  <c r="G59" i="240"/>
  <c r="G60" i="364" s="1"/>
  <c r="F59" i="240"/>
  <c r="F60" i="364" s="1"/>
  <c r="E59" i="240"/>
  <c r="D59" i="240"/>
  <c r="D60" i="364" s="1"/>
  <c r="C59" i="240"/>
  <c r="K57" i="240"/>
  <c r="K58" i="364" s="1"/>
  <c r="J58" i="364"/>
  <c r="I57" i="240"/>
  <c r="I58" i="364" s="1"/>
  <c r="G57" i="240"/>
  <c r="G58" i="364" s="1"/>
  <c r="F57" i="240"/>
  <c r="F58" i="364" s="1"/>
  <c r="E57" i="240"/>
  <c r="D57" i="240"/>
  <c r="D58" i="364" s="1"/>
  <c r="C57" i="240"/>
  <c r="K56" i="240"/>
  <c r="K57" i="364" s="1"/>
  <c r="J57" i="364"/>
  <c r="I56" i="240"/>
  <c r="I57" i="364" s="1"/>
  <c r="G56" i="240"/>
  <c r="G57" i="364" s="1"/>
  <c r="F56" i="240"/>
  <c r="F57" i="364" s="1"/>
  <c r="E56" i="240"/>
  <c r="D56" i="240"/>
  <c r="D57" i="364" s="1"/>
  <c r="C56" i="240"/>
  <c r="K39" i="240"/>
  <c r="K40" i="364" s="1"/>
  <c r="J40" i="364"/>
  <c r="I39" i="240"/>
  <c r="I40" i="364" s="1"/>
  <c r="G39" i="240"/>
  <c r="G40" i="364" s="1"/>
  <c r="F39" i="240"/>
  <c r="F40" i="364" s="1"/>
  <c r="E39" i="240"/>
  <c r="D39" i="240"/>
  <c r="D40" i="364" s="1"/>
  <c r="C39" i="240"/>
  <c r="K38" i="240"/>
  <c r="K39" i="364" s="1"/>
  <c r="J39" i="364"/>
  <c r="I38" i="240"/>
  <c r="I39" i="364" s="1"/>
  <c r="G38" i="240"/>
  <c r="G39" i="364" s="1"/>
  <c r="F38" i="240"/>
  <c r="F39" i="364" s="1"/>
  <c r="E38" i="240"/>
  <c r="D38" i="240"/>
  <c r="D39" i="364" s="1"/>
  <c r="C38" i="240"/>
  <c r="K37" i="240"/>
  <c r="K38" i="364" s="1"/>
  <c r="J38" i="364"/>
  <c r="I37" i="240"/>
  <c r="I38" i="364" s="1"/>
  <c r="G37" i="240"/>
  <c r="G38" i="364" s="1"/>
  <c r="F37" i="240"/>
  <c r="F38" i="364" s="1"/>
  <c r="E37" i="240"/>
  <c r="D37" i="240"/>
  <c r="D38" i="364" s="1"/>
  <c r="C37" i="240"/>
  <c r="K35" i="240"/>
  <c r="K36" i="364" s="1"/>
  <c r="J36" i="364"/>
  <c r="I35" i="240"/>
  <c r="I36" i="364" s="1"/>
  <c r="G35" i="240"/>
  <c r="G36" i="364" s="1"/>
  <c r="F35" i="240"/>
  <c r="F36" i="364" s="1"/>
  <c r="E35" i="240"/>
  <c r="D35" i="240"/>
  <c r="D36" i="364" s="1"/>
  <c r="C35" i="240"/>
  <c r="K34" i="240"/>
  <c r="K35" i="364" s="1"/>
  <c r="J35" i="364"/>
  <c r="I34" i="240"/>
  <c r="I35" i="364" s="1"/>
  <c r="G34" i="240"/>
  <c r="G35" i="364" s="1"/>
  <c r="F34" i="240"/>
  <c r="F35" i="364" s="1"/>
  <c r="E34" i="240"/>
  <c r="D34" i="240"/>
  <c r="D35" i="364" s="1"/>
  <c r="C34" i="240"/>
  <c r="K32" i="240"/>
  <c r="K33" i="364" s="1"/>
  <c r="J33" i="364"/>
  <c r="I32" i="240"/>
  <c r="I33" i="364" s="1"/>
  <c r="G32" i="240"/>
  <c r="G33" i="364" s="1"/>
  <c r="F32" i="240"/>
  <c r="E32" i="240"/>
  <c r="H32" i="240" s="1"/>
  <c r="D32" i="240"/>
  <c r="D33" i="364" s="1"/>
  <c r="C32" i="240"/>
  <c r="K29" i="240"/>
  <c r="I29" i="240"/>
  <c r="G29" i="240"/>
  <c r="F29" i="240"/>
  <c r="E29" i="240"/>
  <c r="H29" i="240" s="1"/>
  <c r="D29" i="240"/>
  <c r="C29" i="240"/>
  <c r="K28" i="240"/>
  <c r="I28" i="240"/>
  <c r="G28" i="240"/>
  <c r="F28" i="240"/>
  <c r="D28" i="240"/>
  <c r="C28" i="240"/>
  <c r="K27" i="240"/>
  <c r="K28" i="364" s="1"/>
  <c r="J28" i="364"/>
  <c r="I27" i="240"/>
  <c r="I28" i="364" s="1"/>
  <c r="G27" i="240"/>
  <c r="G28" i="364" s="1"/>
  <c r="F27" i="240"/>
  <c r="F28" i="364" s="1"/>
  <c r="E27" i="240"/>
  <c r="D27" i="240"/>
  <c r="D28" i="364" s="1"/>
  <c r="C27" i="240"/>
  <c r="K26" i="240"/>
  <c r="I26" i="240"/>
  <c r="G26" i="240"/>
  <c r="F26" i="240"/>
  <c r="E26" i="240"/>
  <c r="H26" i="240" s="1"/>
  <c r="D26" i="240"/>
  <c r="C26" i="240"/>
  <c r="K25" i="240"/>
  <c r="K26" i="364" s="1"/>
  <c r="J26" i="364"/>
  <c r="I25" i="240"/>
  <c r="I26" i="364" s="1"/>
  <c r="G25" i="240"/>
  <c r="G26" i="364" s="1"/>
  <c r="F25" i="240"/>
  <c r="F26" i="364" s="1"/>
  <c r="E25" i="240"/>
  <c r="D25" i="240"/>
  <c r="D26" i="364" s="1"/>
  <c r="C25" i="240"/>
  <c r="K21" i="240"/>
  <c r="K22" i="364" s="1"/>
  <c r="J22" i="364"/>
  <c r="I21" i="240"/>
  <c r="I22" i="364" s="1"/>
  <c r="G21" i="240"/>
  <c r="G22" i="364" s="1"/>
  <c r="F21" i="240"/>
  <c r="F22" i="364" s="1"/>
  <c r="E21" i="240"/>
  <c r="D21" i="240"/>
  <c r="D22" i="364" s="1"/>
  <c r="C21" i="240"/>
  <c r="K20" i="240"/>
  <c r="I20" i="240"/>
  <c r="G20" i="240"/>
  <c r="F20" i="240"/>
  <c r="E20" i="240"/>
  <c r="H20" i="240" s="1"/>
  <c r="D20" i="240"/>
  <c r="C20" i="240"/>
  <c r="K19" i="240"/>
  <c r="I19" i="240"/>
  <c r="G19" i="240"/>
  <c r="F19" i="240"/>
  <c r="E19" i="240"/>
  <c r="H19" i="240" s="1"/>
  <c r="D19" i="240"/>
  <c r="C19" i="240"/>
  <c r="K17" i="240"/>
  <c r="K18" i="364" s="1"/>
  <c r="J18" i="364"/>
  <c r="I17" i="240"/>
  <c r="I18" i="364" s="1"/>
  <c r="F17" i="240"/>
  <c r="F18" i="364" s="1"/>
  <c r="E17" i="240"/>
  <c r="D17" i="240"/>
  <c r="D18" i="364" s="1"/>
  <c r="C17" i="240"/>
  <c r="K16" i="240"/>
  <c r="K17" i="364" s="1"/>
  <c r="J17" i="364"/>
  <c r="I16" i="240"/>
  <c r="I17" i="364" s="1"/>
  <c r="G16" i="240"/>
  <c r="G17" i="364" s="1"/>
  <c r="F16" i="240"/>
  <c r="F17" i="364" s="1"/>
  <c r="E16" i="240"/>
  <c r="D16" i="240"/>
  <c r="D17" i="364" s="1"/>
  <c r="C16" i="240"/>
  <c r="K15" i="240"/>
  <c r="K16" i="364" s="1"/>
  <c r="J16" i="364"/>
  <c r="I15" i="240"/>
  <c r="I16" i="364" s="1"/>
  <c r="G15" i="240"/>
  <c r="G16" i="364" s="1"/>
  <c r="F15" i="240"/>
  <c r="F16" i="364" s="1"/>
  <c r="E15" i="240"/>
  <c r="D15" i="240"/>
  <c r="D16" i="364" s="1"/>
  <c r="C15" i="240"/>
  <c r="G14" i="240"/>
  <c r="G15" i="364" s="1"/>
  <c r="F14" i="240"/>
  <c r="F15" i="364" s="1"/>
  <c r="E14" i="240"/>
  <c r="D14" i="240"/>
  <c r="D15" i="364" s="1"/>
  <c r="C14" i="240"/>
  <c r="K13" i="240"/>
  <c r="K14" i="364" s="1"/>
  <c r="J14" i="364"/>
  <c r="I13" i="240"/>
  <c r="I14" i="364" s="1"/>
  <c r="G13" i="240"/>
  <c r="G14" i="364" s="1"/>
  <c r="F13" i="240"/>
  <c r="E13" i="240"/>
  <c r="D13" i="240"/>
  <c r="K12" i="240"/>
  <c r="K13" i="364" s="1"/>
  <c r="J13" i="364"/>
  <c r="I12" i="240"/>
  <c r="I13" i="364" s="1"/>
  <c r="G12" i="240"/>
  <c r="G13" i="364" s="1"/>
  <c r="F12" i="240"/>
  <c r="F13" i="364" s="1"/>
  <c r="E12" i="240"/>
  <c r="D12" i="240"/>
  <c r="D13" i="364" s="1"/>
  <c r="C12" i="240"/>
  <c r="K11" i="240"/>
  <c r="I11" i="240"/>
  <c r="G11" i="240"/>
  <c r="F11" i="240"/>
  <c r="E11" i="240"/>
  <c r="H11" i="240" s="1"/>
  <c r="C11" i="240"/>
  <c r="J30" i="241" l="1"/>
  <c r="L30" i="241" s="1"/>
  <c r="L64" i="238"/>
  <c r="J46" i="237"/>
  <c r="L47" i="237"/>
  <c r="J56" i="241"/>
  <c r="L56" i="241" s="1"/>
  <c r="L72" i="238"/>
  <c r="F63" i="236"/>
  <c r="L52" i="58"/>
  <c r="K63" i="236" s="1"/>
  <c r="K63" i="379" s="1"/>
  <c r="L62" i="370"/>
  <c r="L41" i="238"/>
  <c r="I63" i="391"/>
  <c r="I62" i="232"/>
  <c r="J62" i="388"/>
  <c r="L63" i="233"/>
  <c r="L77" i="240"/>
  <c r="L45" i="238"/>
  <c r="L47" i="240"/>
  <c r="L17" i="238"/>
  <c r="L45" i="240"/>
  <c r="L15" i="238"/>
  <c r="L42" i="240"/>
  <c r="L12" i="238"/>
  <c r="L13" i="241"/>
  <c r="L56" i="238"/>
  <c r="L12" i="241"/>
  <c r="L13" i="365" s="1"/>
  <c r="L55" i="238"/>
  <c r="L54" i="238"/>
  <c r="L11" i="241"/>
  <c r="J77" i="364"/>
  <c r="L44" i="238"/>
  <c r="L22" i="240"/>
  <c r="L25" i="238"/>
  <c r="L51" i="240"/>
  <c r="L21" i="238"/>
  <c r="L46" i="240"/>
  <c r="L16" i="238"/>
  <c r="L43" i="240"/>
  <c r="L44" i="364" s="1"/>
  <c r="L13" i="238"/>
  <c r="L80" i="239"/>
  <c r="J36" i="370"/>
  <c r="L38" i="239"/>
  <c r="J33" i="370"/>
  <c r="L35" i="239"/>
  <c r="J31" i="370"/>
  <c r="L33" i="239"/>
  <c r="G91" i="370"/>
  <c r="G90" i="239"/>
  <c r="L60" i="238"/>
  <c r="L53" i="237"/>
  <c r="J117" i="239"/>
  <c r="L117" i="239" s="1"/>
  <c r="L114" i="370" s="1"/>
  <c r="L58" i="37"/>
  <c r="L20" i="37"/>
  <c r="J8" i="37"/>
  <c r="L8" i="37" s="1"/>
  <c r="L9" i="37"/>
  <c r="J22" i="103"/>
  <c r="J95" i="239" s="1"/>
  <c r="L10" i="103"/>
  <c r="J108" i="370"/>
  <c r="L111" i="239"/>
  <c r="L31" i="241"/>
  <c r="F53" i="365"/>
  <c r="L52" i="241"/>
  <c r="L53" i="365" s="1"/>
  <c r="F14" i="364"/>
  <c r="L13" i="240"/>
  <c r="L61" i="240"/>
  <c r="F12" i="242"/>
  <c r="F114" i="370"/>
  <c r="J58" i="388"/>
  <c r="L59" i="233"/>
  <c r="L58" i="388" s="1"/>
  <c r="F60" i="240"/>
  <c r="L36" i="238"/>
  <c r="J22" i="36"/>
  <c r="H10" i="233"/>
  <c r="H28" i="233"/>
  <c r="H38" i="233"/>
  <c r="D63" i="373"/>
  <c r="D65" i="373"/>
  <c r="D67" i="373"/>
  <c r="D68" i="373"/>
  <c r="L43" i="382"/>
  <c r="H72" i="382"/>
  <c r="H10" i="235"/>
  <c r="H28" i="235"/>
  <c r="H53" i="235"/>
  <c r="H51" i="240"/>
  <c r="H60" i="240"/>
  <c r="H10" i="236"/>
  <c r="H43" i="240"/>
  <c r="H47" i="240"/>
  <c r="H12" i="241"/>
  <c r="H22" i="237"/>
  <c r="H32" i="237"/>
  <c r="E26" i="364"/>
  <c r="H26" i="364" s="1"/>
  <c r="H25" i="240"/>
  <c r="E28" i="364"/>
  <c r="H28" i="364" s="1"/>
  <c r="H27" i="240"/>
  <c r="D31" i="370"/>
  <c r="H31" i="370" s="1"/>
  <c r="H33" i="239"/>
  <c r="E28" i="385"/>
  <c r="H28" i="234"/>
  <c r="E59" i="391"/>
  <c r="H59" i="232"/>
  <c r="H59" i="391" s="1"/>
  <c r="E17" i="364"/>
  <c r="H17" i="364" s="1"/>
  <c r="H16" i="240"/>
  <c r="E67" i="370"/>
  <c r="H69" i="239"/>
  <c r="H45" i="240"/>
  <c r="E64" i="364"/>
  <c r="H56" i="241"/>
  <c r="H10" i="237"/>
  <c r="H10" i="232"/>
  <c r="E35" i="365"/>
  <c r="H35" i="365" s="1"/>
  <c r="H34" i="241"/>
  <c r="E41" i="365"/>
  <c r="H40" i="241"/>
  <c r="E42" i="365"/>
  <c r="H41" i="241"/>
  <c r="E43" i="365"/>
  <c r="H42" i="241"/>
  <c r="E45" i="365"/>
  <c r="H45" i="365" s="1"/>
  <c r="H44" i="241"/>
  <c r="E46" i="365"/>
  <c r="H45" i="241"/>
  <c r="E47" i="365"/>
  <c r="H46" i="241"/>
  <c r="E51" i="365"/>
  <c r="H50" i="241"/>
  <c r="E52" i="365"/>
  <c r="H52" i="365" s="1"/>
  <c r="H51" i="241"/>
  <c r="H24" i="242"/>
  <c r="H54" i="239"/>
  <c r="H64" i="239"/>
  <c r="L75" i="370"/>
  <c r="L82" i="370" s="1"/>
  <c r="H80" i="239"/>
  <c r="E116" i="370"/>
  <c r="H116" i="370" s="1"/>
  <c r="H119" i="239"/>
  <c r="H10" i="238"/>
  <c r="H22" i="240"/>
  <c r="H28" i="240"/>
  <c r="H55" i="240"/>
  <c r="H22" i="236"/>
  <c r="H32" i="236"/>
  <c r="H22" i="235"/>
  <c r="H32" i="235"/>
  <c r="E11" i="375"/>
  <c r="H11" i="375" s="1"/>
  <c r="H11" i="378"/>
  <c r="E12" i="375"/>
  <c r="H12" i="378"/>
  <c r="E14" i="375"/>
  <c r="H14" i="378"/>
  <c r="E15" i="375"/>
  <c r="H15" i="378"/>
  <c r="E16" i="375"/>
  <c r="H16" i="378"/>
  <c r="E17" i="375"/>
  <c r="H17" i="378"/>
  <c r="E18" i="375"/>
  <c r="H18" i="378"/>
  <c r="E19" i="375"/>
  <c r="H19" i="378"/>
  <c r="E20" i="375"/>
  <c r="H20" i="378"/>
  <c r="E21" i="375"/>
  <c r="H21" i="378"/>
  <c r="E23" i="375"/>
  <c r="H23" i="375" s="1"/>
  <c r="H23" i="378"/>
  <c r="E24" i="375"/>
  <c r="H24" i="378"/>
  <c r="H25" i="378"/>
  <c r="E25" i="375"/>
  <c r="E26" i="375"/>
  <c r="H26" i="375" s="1"/>
  <c r="H26" i="378"/>
  <c r="E29" i="375"/>
  <c r="H29" i="375" s="1"/>
  <c r="H29" i="378"/>
  <c r="E31" i="375"/>
  <c r="H31" i="375" s="1"/>
  <c r="H31" i="378"/>
  <c r="E33" i="375"/>
  <c r="H33" i="375" s="1"/>
  <c r="H33" i="378"/>
  <c r="E34" i="375"/>
  <c r="H34" i="378"/>
  <c r="E35" i="375"/>
  <c r="H35" i="378"/>
  <c r="E36" i="375"/>
  <c r="H36" i="378"/>
  <c r="E37" i="375"/>
  <c r="H37" i="378"/>
  <c r="E39" i="375"/>
  <c r="H39" i="375" s="1"/>
  <c r="H39" i="378"/>
  <c r="E41" i="375"/>
  <c r="H41" i="375" s="1"/>
  <c r="H41" i="378"/>
  <c r="E44" i="375"/>
  <c r="H44" i="378"/>
  <c r="E45" i="375"/>
  <c r="H45" i="378"/>
  <c r="H54" i="378"/>
  <c r="E12" i="369"/>
  <c r="H55" i="378"/>
  <c r="E13" i="369"/>
  <c r="E16" i="369"/>
  <c r="H58" i="378"/>
  <c r="E67" i="375"/>
  <c r="H67" i="375" s="1"/>
  <c r="H68" i="378"/>
  <c r="E26" i="369"/>
  <c r="E68" i="375"/>
  <c r="H68" i="375" s="1"/>
  <c r="E27" i="369"/>
  <c r="H69" i="378"/>
  <c r="E71" i="375"/>
  <c r="H72" i="378"/>
  <c r="E72" i="375"/>
  <c r="E58" i="369" s="1"/>
  <c r="E58" i="365" s="1"/>
  <c r="E31" i="369"/>
  <c r="E31" i="365" s="1"/>
  <c r="E62" i="383"/>
  <c r="H67" i="383"/>
  <c r="C46" i="392"/>
  <c r="C43" i="392" s="1"/>
  <c r="E22" i="364"/>
  <c r="H22" i="364" s="1"/>
  <c r="H21" i="240"/>
  <c r="H35" i="239"/>
  <c r="D33" i="370"/>
  <c r="H33" i="370" s="1"/>
  <c r="E78" i="364"/>
  <c r="H78" i="364" s="1"/>
  <c r="H77" i="240"/>
  <c r="E67" i="238"/>
  <c r="H67" i="237"/>
  <c r="H67" i="238" s="1"/>
  <c r="E16" i="364"/>
  <c r="H16" i="364" s="1"/>
  <c r="H15" i="240"/>
  <c r="D36" i="370"/>
  <c r="H36" i="370" s="1"/>
  <c r="H38" i="239"/>
  <c r="H41" i="240"/>
  <c r="H49" i="240"/>
  <c r="H22" i="238"/>
  <c r="H28" i="237"/>
  <c r="H38" i="237"/>
  <c r="H28" i="232"/>
  <c r="E36" i="364"/>
  <c r="H36" i="364" s="1"/>
  <c r="H35" i="240"/>
  <c r="E38" i="364"/>
  <c r="H38" i="364" s="1"/>
  <c r="H37" i="240"/>
  <c r="E39" i="364"/>
  <c r="H39" i="364" s="1"/>
  <c r="H38" i="240"/>
  <c r="E40" i="364"/>
  <c r="H40" i="364" s="1"/>
  <c r="H39" i="240"/>
  <c r="E57" i="364"/>
  <c r="H57" i="364" s="1"/>
  <c r="H56" i="240"/>
  <c r="E58" i="364"/>
  <c r="H58" i="364" s="1"/>
  <c r="H57" i="240"/>
  <c r="E60" i="364"/>
  <c r="H60" i="364" s="1"/>
  <c r="H59" i="240"/>
  <c r="E18" i="365"/>
  <c r="H18" i="365" s="1"/>
  <c r="H17" i="241"/>
  <c r="H18" i="241"/>
  <c r="E20" i="365"/>
  <c r="H20" i="365" s="1"/>
  <c r="H19" i="241"/>
  <c r="H21" i="241"/>
  <c r="E24" i="364"/>
  <c r="H23" i="240"/>
  <c r="E27" i="379"/>
  <c r="H27" i="379" s="1"/>
  <c r="H28" i="236"/>
  <c r="F59" i="375"/>
  <c r="F58" i="375" s="1"/>
  <c r="F21" i="369"/>
  <c r="F17" i="369" s="1"/>
  <c r="H28" i="380"/>
  <c r="H53" i="380"/>
  <c r="H10" i="383"/>
  <c r="H11" i="385"/>
  <c r="H12" i="385"/>
  <c r="H13" i="385"/>
  <c r="H14" i="385"/>
  <c r="H15" i="385"/>
  <c r="H16" i="385"/>
  <c r="H17" i="385"/>
  <c r="H18" i="385"/>
  <c r="H19" i="385"/>
  <c r="H20" i="385"/>
  <c r="H21" i="385"/>
  <c r="H23" i="385"/>
  <c r="H24" i="385"/>
  <c r="H25" i="385"/>
  <c r="H26" i="385"/>
  <c r="H27" i="385"/>
  <c r="H29" i="385"/>
  <c r="H30" i="385"/>
  <c r="H31" i="385"/>
  <c r="H33" i="385"/>
  <c r="H34" i="385"/>
  <c r="H35" i="385"/>
  <c r="H36" i="385"/>
  <c r="H37" i="385"/>
  <c r="H38" i="385"/>
  <c r="H39" i="385"/>
  <c r="H40" i="385"/>
  <c r="H41" i="385"/>
  <c r="H44" i="385"/>
  <c r="H45" i="385"/>
  <c r="H54" i="385"/>
  <c r="H55" i="385"/>
  <c r="H56" i="385"/>
  <c r="H57" i="385"/>
  <c r="H58" i="385"/>
  <c r="H61" i="385"/>
  <c r="H64" i="385"/>
  <c r="H66" i="385"/>
  <c r="H68" i="385"/>
  <c r="H69" i="385"/>
  <c r="H72" i="385"/>
  <c r="H32" i="386"/>
  <c r="H67" i="388"/>
  <c r="H10" i="391"/>
  <c r="F111" i="239"/>
  <c r="F108" i="370" s="1"/>
  <c r="H35" i="395"/>
  <c r="H37" i="395" s="1"/>
  <c r="H67" i="58"/>
  <c r="G59" i="375"/>
  <c r="G58" i="375" s="1"/>
  <c r="G21" i="369"/>
  <c r="G17" i="369" s="1"/>
  <c r="E63" i="375"/>
  <c r="H63" i="375" s="1"/>
  <c r="E22" i="369"/>
  <c r="H22" i="369" s="1"/>
  <c r="H64" i="378"/>
  <c r="E65" i="375"/>
  <c r="H65" i="375" s="1"/>
  <c r="H66" i="378"/>
  <c r="E24" i="369"/>
  <c r="H11" i="379"/>
  <c r="H12" i="379"/>
  <c r="H13" i="379"/>
  <c r="H14" i="379"/>
  <c r="H15" i="379"/>
  <c r="H16" i="379"/>
  <c r="H17" i="379"/>
  <c r="H18" i="379"/>
  <c r="H19" i="379"/>
  <c r="H20" i="379"/>
  <c r="H21" i="379"/>
  <c r="H23" i="379"/>
  <c r="H24" i="379"/>
  <c r="H25" i="379"/>
  <c r="H26" i="379"/>
  <c r="H29" i="379"/>
  <c r="H30" i="379"/>
  <c r="H31" i="379"/>
  <c r="H33" i="379"/>
  <c r="H34" i="379"/>
  <c r="H35" i="379"/>
  <c r="H36" i="379"/>
  <c r="H37" i="379"/>
  <c r="H38" i="379"/>
  <c r="H39" i="379"/>
  <c r="H40" i="379"/>
  <c r="H41" i="379"/>
  <c r="H44" i="379"/>
  <c r="H45" i="379"/>
  <c r="H54" i="379"/>
  <c r="H55" i="379"/>
  <c r="H56" i="379"/>
  <c r="H57" i="379"/>
  <c r="H58" i="379"/>
  <c r="H60" i="379"/>
  <c r="H61" i="379"/>
  <c r="E63" i="373"/>
  <c r="H64" i="379"/>
  <c r="E65" i="373"/>
  <c r="H65" i="373" s="1"/>
  <c r="H66" i="379"/>
  <c r="H67" i="379"/>
  <c r="E67" i="373"/>
  <c r="H67" i="373" s="1"/>
  <c r="H68" i="379"/>
  <c r="E68" i="373"/>
  <c r="H68" i="373" s="1"/>
  <c r="H69" i="379"/>
  <c r="H72" i="379"/>
  <c r="H32" i="380"/>
  <c r="E47" i="380"/>
  <c r="H47" i="380" s="1"/>
  <c r="H62" i="380"/>
  <c r="H22" i="383"/>
  <c r="H10" i="386"/>
  <c r="E53" i="386"/>
  <c r="H53" i="386" s="1"/>
  <c r="H59" i="386"/>
  <c r="H72" i="375"/>
  <c r="E53" i="383"/>
  <c r="H59" i="383"/>
  <c r="E62" i="386"/>
  <c r="H67" i="386"/>
  <c r="C62" i="389"/>
  <c r="C67" i="388"/>
  <c r="H19" i="37"/>
  <c r="E15" i="369"/>
  <c r="H57" i="378"/>
  <c r="H56" i="378"/>
  <c r="E14" i="369"/>
  <c r="H41" i="365"/>
  <c r="H42" i="365"/>
  <c r="H43" i="365"/>
  <c r="H46" i="365"/>
  <c r="H47" i="365"/>
  <c r="H51" i="365"/>
  <c r="E66" i="364"/>
  <c r="H66" i="364" s="1"/>
  <c r="H65" i="240"/>
  <c r="E38" i="391"/>
  <c r="H38" i="232"/>
  <c r="H38" i="391" s="1"/>
  <c r="H22" i="36"/>
  <c r="E94" i="239"/>
  <c r="E37" i="365"/>
  <c r="H37" i="365" s="1"/>
  <c r="H36" i="241"/>
  <c r="H63" i="237"/>
  <c r="G32" i="395"/>
  <c r="G37" i="395" s="1"/>
  <c r="H47" i="58"/>
  <c r="H77" i="58"/>
  <c r="E65" i="232"/>
  <c r="E110" i="58"/>
  <c r="H107" i="58"/>
  <c r="E65" i="235"/>
  <c r="E65" i="382" s="1"/>
  <c r="H73" i="58"/>
  <c r="E65" i="233"/>
  <c r="E65" i="388" s="1"/>
  <c r="H65" i="388" s="1"/>
  <c r="H93" i="58"/>
  <c r="D65" i="232"/>
  <c r="D65" i="391" s="1"/>
  <c r="D110" i="58"/>
  <c r="E65" i="236"/>
  <c r="E65" i="379" s="1"/>
  <c r="H61" i="58"/>
  <c r="E65" i="234"/>
  <c r="H65" i="234" s="1"/>
  <c r="H82" i="58"/>
  <c r="H60" i="385"/>
  <c r="H100" i="239"/>
  <c r="F102" i="239"/>
  <c r="F99" i="370" s="1"/>
  <c r="E35" i="364"/>
  <c r="H35" i="364" s="1"/>
  <c r="H34" i="240"/>
  <c r="H60" i="378"/>
  <c r="H117" i="239"/>
  <c r="E13" i="375"/>
  <c r="H13" i="378"/>
  <c r="E53" i="365"/>
  <c r="H52" i="241"/>
  <c r="E63" i="233"/>
  <c r="E62" i="233" s="1"/>
  <c r="H86" i="58"/>
  <c r="H20" i="37"/>
  <c r="H64" i="388"/>
  <c r="H65" i="233"/>
  <c r="E63" i="391"/>
  <c r="H63" i="232"/>
  <c r="H63" i="391" s="1"/>
  <c r="E65" i="391"/>
  <c r="E15" i="364"/>
  <c r="H15" i="364" s="1"/>
  <c r="H14" i="240"/>
  <c r="E13" i="364"/>
  <c r="H13" i="364" s="1"/>
  <c r="H12" i="240"/>
  <c r="E22" i="103"/>
  <c r="H22" i="103" s="1"/>
  <c r="H10" i="103"/>
  <c r="E63" i="236"/>
  <c r="H63" i="236" s="1"/>
  <c r="H52" i="58"/>
  <c r="H111" i="239"/>
  <c r="H109" i="239"/>
  <c r="E18" i="364"/>
  <c r="H18" i="364" s="1"/>
  <c r="H17" i="240"/>
  <c r="E103" i="239"/>
  <c r="H105" i="239"/>
  <c r="E14" i="364"/>
  <c r="H13" i="240"/>
  <c r="D62" i="389"/>
  <c r="D47" i="389" s="1"/>
  <c r="L43" i="388"/>
  <c r="H22" i="389"/>
  <c r="H67" i="389"/>
  <c r="H28" i="389"/>
  <c r="E59" i="375"/>
  <c r="D24" i="364"/>
  <c r="D9" i="242"/>
  <c r="B23" i="395"/>
  <c r="B32" i="395" s="1"/>
  <c r="D14" i="364"/>
  <c r="D18" i="240"/>
  <c r="D8" i="242" s="1"/>
  <c r="D53" i="365"/>
  <c r="D10" i="240"/>
  <c r="D7" i="242" s="1"/>
  <c r="D63" i="238"/>
  <c r="D29" i="241" s="1"/>
  <c r="C84" i="37"/>
  <c r="D115" i="239"/>
  <c r="D113" i="239" s="1"/>
  <c r="D65" i="385"/>
  <c r="D106" i="370"/>
  <c r="H106" i="370" s="1"/>
  <c r="D108" i="370"/>
  <c r="H108" i="370" s="1"/>
  <c r="D65" i="379"/>
  <c r="D65" i="382"/>
  <c r="D63" i="388"/>
  <c r="D63" i="379"/>
  <c r="D114" i="370"/>
  <c r="H114" i="370" s="1"/>
  <c r="D59" i="375"/>
  <c r="D21" i="369"/>
  <c r="D14" i="241"/>
  <c r="D63" i="385"/>
  <c r="D103" i="239"/>
  <c r="L18" i="370"/>
  <c r="L10" i="370" s="1"/>
  <c r="D95" i="239"/>
  <c r="C12" i="241"/>
  <c r="L66" i="388"/>
  <c r="E72" i="373"/>
  <c r="F57" i="365"/>
  <c r="J57" i="365"/>
  <c r="I58" i="365"/>
  <c r="I62" i="383"/>
  <c r="I47" i="383" s="1"/>
  <c r="C9" i="408"/>
  <c r="J32" i="364"/>
  <c r="K31" i="240"/>
  <c r="K32" i="364" s="1"/>
  <c r="D28" i="385"/>
  <c r="E59" i="373"/>
  <c r="I11" i="373"/>
  <c r="K13" i="373"/>
  <c r="J14" i="373"/>
  <c r="I15" i="373"/>
  <c r="K17" i="373"/>
  <c r="J18" i="373"/>
  <c r="I19" i="373"/>
  <c r="K21" i="373"/>
  <c r="J23" i="373"/>
  <c r="I24" i="373"/>
  <c r="K26" i="373"/>
  <c r="C37" i="365"/>
  <c r="C45" i="365"/>
  <c r="C52" i="365"/>
  <c r="G62" i="364"/>
  <c r="I72" i="373"/>
  <c r="K29" i="373"/>
  <c r="J30" i="373"/>
  <c r="I31" i="373"/>
  <c r="K34" i="373"/>
  <c r="J35" i="373"/>
  <c r="I36" i="373"/>
  <c r="F110" i="370"/>
  <c r="F105" i="370" s="1"/>
  <c r="I62" i="364"/>
  <c r="F21" i="364"/>
  <c r="I43" i="364"/>
  <c r="G45" i="364"/>
  <c r="K45" i="364"/>
  <c r="F46" i="364"/>
  <c r="J46" i="364"/>
  <c r="I47" i="364"/>
  <c r="G49" i="364"/>
  <c r="K49" i="364"/>
  <c r="F50" i="364"/>
  <c r="J50" i="364"/>
  <c r="I51" i="364"/>
  <c r="G55" i="364"/>
  <c r="K55" i="364"/>
  <c r="F56" i="364"/>
  <c r="J56" i="364"/>
  <c r="I61" i="364"/>
  <c r="I59" i="364" s="1"/>
  <c r="G57" i="365"/>
  <c r="K57" i="365"/>
  <c r="F58" i="365"/>
  <c r="J58" i="365"/>
  <c r="C71" i="364"/>
  <c r="L59" i="382"/>
  <c r="J59" i="385"/>
  <c r="J53" i="385" s="1"/>
  <c r="C12" i="375"/>
  <c r="C43" i="368" s="1"/>
  <c r="C16" i="375"/>
  <c r="C47" i="368" s="1"/>
  <c r="C20" i="375"/>
  <c r="C51" i="368" s="1"/>
  <c r="C21" i="364"/>
  <c r="G21" i="364"/>
  <c r="F62" i="364"/>
  <c r="C80" i="364"/>
  <c r="K67" i="373"/>
  <c r="I71" i="373"/>
  <c r="C13" i="375"/>
  <c r="C44" i="368" s="1"/>
  <c r="C17" i="375"/>
  <c r="C48" i="368" s="1"/>
  <c r="C21" i="375"/>
  <c r="C52" i="368" s="1"/>
  <c r="C15" i="375"/>
  <c r="C46" i="368" s="1"/>
  <c r="C19" i="375"/>
  <c r="C57" i="375"/>
  <c r="C16" i="369"/>
  <c r="K21" i="364"/>
  <c r="C33" i="370"/>
  <c r="F59" i="385"/>
  <c r="F53" i="385" s="1"/>
  <c r="C57" i="364"/>
  <c r="C60" i="364"/>
  <c r="C69" i="364"/>
  <c r="C60" i="375"/>
  <c r="C19" i="369"/>
  <c r="C65" i="237"/>
  <c r="C65" i="378" s="1"/>
  <c r="C23" i="369" s="1"/>
  <c r="C50" i="58"/>
  <c r="C14" i="375"/>
  <c r="C45" i="368" s="1"/>
  <c r="C18" i="375"/>
  <c r="C49" i="368" s="1"/>
  <c r="C63" i="375"/>
  <c r="C31" i="369" s="1"/>
  <c r="C22" i="369"/>
  <c r="C54" i="375"/>
  <c r="F43" i="364"/>
  <c r="J43" i="364"/>
  <c r="I44" i="364"/>
  <c r="G46" i="364"/>
  <c r="K46" i="364"/>
  <c r="F47" i="364"/>
  <c r="J47" i="364"/>
  <c r="G50" i="364"/>
  <c r="K50" i="364"/>
  <c r="F51" i="364"/>
  <c r="J51" i="364"/>
  <c r="C81" i="364"/>
  <c r="G56" i="364"/>
  <c r="K56" i="364"/>
  <c r="F61" i="364"/>
  <c r="F59" i="364" s="1"/>
  <c r="J61" i="364"/>
  <c r="J59" i="364" s="1"/>
  <c r="G13" i="373"/>
  <c r="G17" i="373"/>
  <c r="G21" i="373"/>
  <c r="G26" i="373"/>
  <c r="G31" i="373"/>
  <c r="G36" i="373"/>
  <c r="J67" i="373"/>
  <c r="C47" i="392"/>
  <c r="C79" i="366"/>
  <c r="I54" i="373"/>
  <c r="K56" i="373"/>
  <c r="G42" i="386"/>
  <c r="L59" i="368"/>
  <c r="I59" i="373"/>
  <c r="C25" i="241"/>
  <c r="C23" i="241" s="1"/>
  <c r="L67" i="382"/>
  <c r="F28" i="385"/>
  <c r="J28" i="385"/>
  <c r="C63" i="236"/>
  <c r="C63" i="379" s="1"/>
  <c r="C45" i="366"/>
  <c r="L58" i="374"/>
  <c r="G53" i="373"/>
  <c r="E55" i="373"/>
  <c r="J55" i="373"/>
  <c r="F56" i="373"/>
  <c r="G59" i="373"/>
  <c r="F67" i="373"/>
  <c r="J72" i="373"/>
  <c r="J11" i="373"/>
  <c r="I12" i="373"/>
  <c r="K14" i="373"/>
  <c r="J15" i="373"/>
  <c r="I16" i="373"/>
  <c r="K18" i="373"/>
  <c r="J19" i="373"/>
  <c r="I20" i="373"/>
  <c r="K23" i="373"/>
  <c r="J24" i="373"/>
  <c r="I25" i="373"/>
  <c r="J39" i="373"/>
  <c r="I40" i="373"/>
  <c r="K44" i="373"/>
  <c r="J45" i="373"/>
  <c r="C10" i="388"/>
  <c r="E28" i="391"/>
  <c r="K61" i="364"/>
  <c r="K59" i="364" s="1"/>
  <c r="G58" i="365"/>
  <c r="J27" i="373"/>
  <c r="L67" i="385"/>
  <c r="C65" i="232"/>
  <c r="C65" i="391" s="1"/>
  <c r="E29" i="373"/>
  <c r="E34" i="373"/>
  <c r="C70" i="364"/>
  <c r="C42" i="365"/>
  <c r="C47" i="365"/>
  <c r="I55" i="364"/>
  <c r="G61" i="364"/>
  <c r="G59" i="364" s="1"/>
  <c r="K58" i="365"/>
  <c r="J62" i="364"/>
  <c r="C75" i="364"/>
  <c r="K27" i="373"/>
  <c r="G63" i="373"/>
  <c r="G62" i="373" s="1"/>
  <c r="F33" i="373"/>
  <c r="F37" i="373"/>
  <c r="G72" i="373"/>
  <c r="K72" i="373"/>
  <c r="K63" i="373"/>
  <c r="K62" i="373" s="1"/>
  <c r="C22" i="364"/>
  <c r="G44" i="364"/>
  <c r="K44" i="364"/>
  <c r="F45" i="364"/>
  <c r="J45" i="364"/>
  <c r="I46" i="364"/>
  <c r="G48" i="364"/>
  <c r="K48" i="364"/>
  <c r="F49" i="364"/>
  <c r="J49" i="364"/>
  <c r="I50" i="364"/>
  <c r="G52" i="364"/>
  <c r="K52" i="364"/>
  <c r="C16" i="364"/>
  <c r="I21" i="364"/>
  <c r="K62" i="364"/>
  <c r="F55" i="364"/>
  <c r="J55" i="364"/>
  <c r="I56" i="364"/>
  <c r="I27" i="373"/>
  <c r="I57" i="365"/>
  <c r="J63" i="373"/>
  <c r="J62" i="373" s="1"/>
  <c r="C84" i="239"/>
  <c r="G33" i="240"/>
  <c r="G34" i="364" s="1"/>
  <c r="C23" i="368"/>
  <c r="E12" i="373"/>
  <c r="E13" i="373"/>
  <c r="E14" i="373"/>
  <c r="E16" i="373"/>
  <c r="E17" i="373"/>
  <c r="E18" i="373"/>
  <c r="E20" i="373"/>
  <c r="E21" i="373"/>
  <c r="E23" i="373"/>
  <c r="E25" i="373"/>
  <c r="E26" i="373"/>
  <c r="E31" i="373"/>
  <c r="E33" i="373"/>
  <c r="E36" i="373"/>
  <c r="E37" i="373"/>
  <c r="E40" i="373"/>
  <c r="E41" i="373"/>
  <c r="E44" i="373"/>
  <c r="E45" i="373"/>
  <c r="I53" i="373"/>
  <c r="E54" i="373"/>
  <c r="J54" i="373"/>
  <c r="F55" i="373"/>
  <c r="K55" i="373"/>
  <c r="G56" i="373"/>
  <c r="G67" i="373"/>
  <c r="E71" i="373"/>
  <c r="J71" i="373"/>
  <c r="F72" i="373"/>
  <c r="K11" i="373"/>
  <c r="J12" i="373"/>
  <c r="I13" i="373"/>
  <c r="K15" i="373"/>
  <c r="J16" i="373"/>
  <c r="I17" i="373"/>
  <c r="K19" i="373"/>
  <c r="J20" i="373"/>
  <c r="I21" i="373"/>
  <c r="K24" i="373"/>
  <c r="J25" i="373"/>
  <c r="I26" i="373"/>
  <c r="K30" i="373"/>
  <c r="J31" i="373"/>
  <c r="I33" i="373"/>
  <c r="K35" i="373"/>
  <c r="J36" i="373"/>
  <c r="I37" i="373"/>
  <c r="K39" i="373"/>
  <c r="J40" i="373"/>
  <c r="I41" i="373"/>
  <c r="K45" i="373"/>
  <c r="F11" i="373"/>
  <c r="F12" i="373"/>
  <c r="F13" i="373"/>
  <c r="F15" i="373"/>
  <c r="F16" i="373"/>
  <c r="F17" i="373"/>
  <c r="F19" i="373"/>
  <c r="F20" i="373"/>
  <c r="F21" i="373"/>
  <c r="F24" i="373"/>
  <c r="F25" i="373"/>
  <c r="F26" i="373"/>
  <c r="F30" i="373"/>
  <c r="F31" i="373"/>
  <c r="F35" i="373"/>
  <c r="F36" i="373"/>
  <c r="F39" i="373"/>
  <c r="F40" i="373"/>
  <c r="F41" i="373"/>
  <c r="F44" i="373"/>
  <c r="F45" i="373"/>
  <c r="E53" i="373"/>
  <c r="J53" i="373"/>
  <c r="F54" i="373"/>
  <c r="K54" i="373"/>
  <c r="G55" i="373"/>
  <c r="I56" i="373"/>
  <c r="E57" i="373"/>
  <c r="J59" i="373"/>
  <c r="I67" i="373"/>
  <c r="F71" i="373"/>
  <c r="K71" i="373"/>
  <c r="K12" i="373"/>
  <c r="J13" i="373"/>
  <c r="I14" i="373"/>
  <c r="K16" i="373"/>
  <c r="J17" i="373"/>
  <c r="I18" i="373"/>
  <c r="K20" i="373"/>
  <c r="J21" i="373"/>
  <c r="I23" i="373"/>
  <c r="K25" i="373"/>
  <c r="J26" i="373"/>
  <c r="I63" i="373"/>
  <c r="I62" i="373" s="1"/>
  <c r="G11" i="373"/>
  <c r="G12" i="373"/>
  <c r="G14" i="373"/>
  <c r="G15" i="373"/>
  <c r="G16" i="373"/>
  <c r="G18" i="373"/>
  <c r="G19" i="373"/>
  <c r="G20" i="373"/>
  <c r="G23" i="373"/>
  <c r="G24" i="373"/>
  <c r="G25" i="373"/>
  <c r="G29" i="373"/>
  <c r="G30" i="373"/>
  <c r="G33" i="373"/>
  <c r="G34" i="373"/>
  <c r="G35" i="373"/>
  <c r="G37" i="373"/>
  <c r="G39" i="373"/>
  <c r="G40" i="373"/>
  <c r="G41" i="373"/>
  <c r="G44" i="373"/>
  <c r="G45" i="373"/>
  <c r="F53" i="373"/>
  <c r="K53" i="373"/>
  <c r="G54" i="373"/>
  <c r="I55" i="373"/>
  <c r="E56" i="373"/>
  <c r="J56" i="373"/>
  <c r="F59" i="373"/>
  <c r="K59" i="373"/>
  <c r="G71" i="373"/>
  <c r="F76" i="368"/>
  <c r="F83" i="368" s="1"/>
  <c r="J76" i="368"/>
  <c r="J83" i="368" s="1"/>
  <c r="J29" i="373"/>
  <c r="I30" i="373"/>
  <c r="K33" i="373"/>
  <c r="J34" i="373"/>
  <c r="I35" i="373"/>
  <c r="K37" i="373"/>
  <c r="I39" i="373"/>
  <c r="K41" i="373"/>
  <c r="J44" i="373"/>
  <c r="I45" i="373"/>
  <c r="I44" i="365"/>
  <c r="G30" i="370"/>
  <c r="G66" i="370" s="1"/>
  <c r="G83" i="370" s="1"/>
  <c r="K30" i="370"/>
  <c r="K66" i="370" s="1"/>
  <c r="K83" i="370" s="1"/>
  <c r="C65" i="233"/>
  <c r="C65" i="388" s="1"/>
  <c r="C115" i="239"/>
  <c r="C113" i="239" s="1"/>
  <c r="C50" i="37"/>
  <c r="G27" i="373"/>
  <c r="F57" i="373"/>
  <c r="K57" i="373"/>
  <c r="C12" i="367"/>
  <c r="C66" i="368"/>
  <c r="C40" i="375"/>
  <c r="C38" i="375" s="1"/>
  <c r="F12" i="364"/>
  <c r="F18" i="240"/>
  <c r="C58" i="370"/>
  <c r="C75" i="370"/>
  <c r="D55" i="373"/>
  <c r="H73" i="376"/>
  <c r="D72" i="373"/>
  <c r="C33" i="367"/>
  <c r="D42" i="368"/>
  <c r="D42" i="364" s="1"/>
  <c r="D10" i="375"/>
  <c r="C12" i="364"/>
  <c r="G18" i="240"/>
  <c r="G8" i="242" s="1"/>
  <c r="G12" i="364"/>
  <c r="C13" i="364"/>
  <c r="C17" i="364"/>
  <c r="C26" i="364"/>
  <c r="C24" i="240"/>
  <c r="C7" i="243" s="1"/>
  <c r="F31" i="240"/>
  <c r="F32" i="364" s="1"/>
  <c r="F33" i="364"/>
  <c r="C27" i="365"/>
  <c r="C35" i="365"/>
  <c r="E40" i="365"/>
  <c r="I40" i="365"/>
  <c r="C43" i="365"/>
  <c r="F44" i="365"/>
  <c r="J44" i="365"/>
  <c r="C51" i="365"/>
  <c r="G43" i="364"/>
  <c r="K43" i="364"/>
  <c r="F44" i="364"/>
  <c r="J44" i="364"/>
  <c r="I45" i="364"/>
  <c r="G47" i="364"/>
  <c r="K47" i="364"/>
  <c r="F48" i="364"/>
  <c r="J48" i="364"/>
  <c r="I49" i="364"/>
  <c r="G51" i="364"/>
  <c r="K51" i="364"/>
  <c r="F52" i="364"/>
  <c r="J52" i="364"/>
  <c r="F75" i="240"/>
  <c r="F82" i="240" s="1"/>
  <c r="F77" i="364"/>
  <c r="F76" i="364" s="1"/>
  <c r="F83" i="364" s="1"/>
  <c r="C73" i="366"/>
  <c r="C34" i="368"/>
  <c r="C59" i="368"/>
  <c r="C71" i="370"/>
  <c r="C31" i="371"/>
  <c r="C43" i="366"/>
  <c r="C10" i="374"/>
  <c r="C47" i="366"/>
  <c r="C49" i="366"/>
  <c r="C51" i="366"/>
  <c r="C53" i="366"/>
  <c r="C25" i="366"/>
  <c r="C55" i="366"/>
  <c r="C32" i="374"/>
  <c r="C57" i="366"/>
  <c r="C78" i="366"/>
  <c r="D12" i="373"/>
  <c r="D13" i="373"/>
  <c r="D14" i="373"/>
  <c r="D15" i="373"/>
  <c r="D16" i="373"/>
  <c r="D17" i="373"/>
  <c r="D18" i="373"/>
  <c r="D19" i="373"/>
  <c r="D20" i="373"/>
  <c r="D21" i="373"/>
  <c r="D23" i="373"/>
  <c r="D24" i="373"/>
  <c r="D25" i="373"/>
  <c r="D26" i="373"/>
  <c r="D27" i="373"/>
  <c r="D29" i="373"/>
  <c r="D30" i="373"/>
  <c r="D31" i="373"/>
  <c r="D33" i="373"/>
  <c r="D34" i="373"/>
  <c r="D35" i="373"/>
  <c r="D36" i="373"/>
  <c r="D37" i="373"/>
  <c r="D39" i="373"/>
  <c r="D40" i="373"/>
  <c r="D41" i="373"/>
  <c r="D44" i="373"/>
  <c r="D45" i="373"/>
  <c r="D54" i="373"/>
  <c r="D71" i="373"/>
  <c r="E10" i="375"/>
  <c r="H10" i="375" s="1"/>
  <c r="I42" i="368"/>
  <c r="I41" i="368" s="1"/>
  <c r="I10" i="375"/>
  <c r="D43" i="368"/>
  <c r="D47" i="368"/>
  <c r="D51" i="368"/>
  <c r="F20" i="368"/>
  <c r="J20" i="368"/>
  <c r="G23" i="368"/>
  <c r="G23" i="364" s="1"/>
  <c r="G25" i="375"/>
  <c r="G22" i="375" s="1"/>
  <c r="K23" i="368"/>
  <c r="K23" i="364" s="1"/>
  <c r="K25" i="375"/>
  <c r="K22" i="375" s="1"/>
  <c r="F27" i="368"/>
  <c r="F27" i="364" s="1"/>
  <c r="J27" i="368"/>
  <c r="D30" i="368"/>
  <c r="D30" i="364" s="1"/>
  <c r="D30" i="375"/>
  <c r="D28" i="375" s="1"/>
  <c r="C54" i="368"/>
  <c r="G54" i="368"/>
  <c r="G53" i="368" s="1"/>
  <c r="G32" i="375"/>
  <c r="K54" i="368"/>
  <c r="K53" i="368" s="1"/>
  <c r="K32" i="375"/>
  <c r="D61" i="368"/>
  <c r="D61" i="364" s="1"/>
  <c r="F64" i="368"/>
  <c r="J64" i="368"/>
  <c r="D66" i="368"/>
  <c r="D40" i="375"/>
  <c r="D38" i="375" s="1"/>
  <c r="G76" i="368"/>
  <c r="G83" i="368" s="1"/>
  <c r="K76" i="368"/>
  <c r="K83" i="368" s="1"/>
  <c r="E53" i="375"/>
  <c r="I12" i="369"/>
  <c r="I53" i="375"/>
  <c r="D13" i="369"/>
  <c r="D13" i="365" s="1"/>
  <c r="D54" i="375"/>
  <c r="G14" i="369"/>
  <c r="G14" i="365" s="1"/>
  <c r="G55" i="375"/>
  <c r="K14" i="369"/>
  <c r="K14" i="365" s="1"/>
  <c r="K55" i="375"/>
  <c r="F15" i="369"/>
  <c r="F56" i="375"/>
  <c r="J15" i="369"/>
  <c r="J56" i="375"/>
  <c r="E57" i="375"/>
  <c r="I16" i="369"/>
  <c r="I57" i="375"/>
  <c r="I31" i="369"/>
  <c r="I31" i="365" s="1"/>
  <c r="I62" i="375"/>
  <c r="C64" i="375"/>
  <c r="C32" i="369" s="1"/>
  <c r="G33" i="369"/>
  <c r="G33" i="365" s="1"/>
  <c r="G64" i="375"/>
  <c r="G32" i="369" s="1"/>
  <c r="K33" i="369"/>
  <c r="K33" i="365" s="1"/>
  <c r="K64" i="375"/>
  <c r="K32" i="369" s="1"/>
  <c r="C66" i="375"/>
  <c r="C34" i="369" s="1"/>
  <c r="G36" i="369"/>
  <c r="G34" i="369" s="1"/>
  <c r="G66" i="375"/>
  <c r="K36" i="369"/>
  <c r="K34" i="369" s="1"/>
  <c r="K66" i="375"/>
  <c r="D58" i="369"/>
  <c r="H58" i="369" s="1"/>
  <c r="E31" i="240"/>
  <c r="E33" i="364"/>
  <c r="H33" i="364" s="1"/>
  <c r="V8" i="242"/>
  <c r="C33" i="366"/>
  <c r="D12" i="364"/>
  <c r="I12" i="364"/>
  <c r="I18" i="240"/>
  <c r="C33" i="364"/>
  <c r="C73" i="364"/>
  <c r="C71" i="240"/>
  <c r="F40" i="365"/>
  <c r="K44" i="365"/>
  <c r="I30" i="370"/>
  <c r="I66" i="370" s="1"/>
  <c r="I83" i="370" s="1"/>
  <c r="I103" i="370"/>
  <c r="I102" i="370" s="1"/>
  <c r="I26" i="241"/>
  <c r="G75" i="240"/>
  <c r="G82" i="240" s="1"/>
  <c r="G77" i="364"/>
  <c r="G76" i="364" s="1"/>
  <c r="G83" i="364" s="1"/>
  <c r="K77" i="364"/>
  <c r="K76" i="364" s="1"/>
  <c r="K83" i="364" s="1"/>
  <c r="K75" i="240"/>
  <c r="K82" i="240" s="1"/>
  <c r="J78" i="364"/>
  <c r="C18" i="365"/>
  <c r="C44" i="367"/>
  <c r="C13" i="369"/>
  <c r="C44" i="369"/>
  <c r="C78" i="370"/>
  <c r="C120" i="370"/>
  <c r="D11" i="373"/>
  <c r="E15" i="373"/>
  <c r="E19" i="373"/>
  <c r="E24" i="373"/>
  <c r="E30" i="373"/>
  <c r="E35" i="373"/>
  <c r="E39" i="373"/>
  <c r="D53" i="373"/>
  <c r="D57" i="373"/>
  <c r="I57" i="373"/>
  <c r="D59" i="373"/>
  <c r="F42" i="368"/>
  <c r="F41" i="368" s="1"/>
  <c r="F10" i="375"/>
  <c r="J42" i="368"/>
  <c r="J41" i="368" s="1"/>
  <c r="J10" i="375"/>
  <c r="D44" i="368"/>
  <c r="D48" i="368"/>
  <c r="D52" i="368"/>
  <c r="G20" i="368"/>
  <c r="K20" i="368"/>
  <c r="K20" i="364" s="1"/>
  <c r="J21" i="364"/>
  <c r="D23" i="368"/>
  <c r="D25" i="375"/>
  <c r="C27" i="368"/>
  <c r="C27" i="364" s="1"/>
  <c r="G27" i="368"/>
  <c r="G27" i="364" s="1"/>
  <c r="K27" i="368"/>
  <c r="E30" i="368"/>
  <c r="E30" i="375"/>
  <c r="I30" i="368"/>
  <c r="I30" i="364" s="1"/>
  <c r="I30" i="375"/>
  <c r="I29" i="368" s="1"/>
  <c r="I29" i="364" s="1"/>
  <c r="D54" i="368"/>
  <c r="D54" i="364" s="1"/>
  <c r="D32" i="375"/>
  <c r="D62" i="368"/>
  <c r="C64" i="368"/>
  <c r="G64" i="368"/>
  <c r="K64" i="368"/>
  <c r="E40" i="375"/>
  <c r="I66" i="368"/>
  <c r="I40" i="375"/>
  <c r="I65" i="368" s="1"/>
  <c r="D77" i="368"/>
  <c r="F12" i="369"/>
  <c r="F12" i="365" s="1"/>
  <c r="F53" i="375"/>
  <c r="J12" i="369"/>
  <c r="J53" i="375"/>
  <c r="E54" i="375"/>
  <c r="H54" i="375" s="1"/>
  <c r="I13" i="369"/>
  <c r="I54" i="375"/>
  <c r="D14" i="369"/>
  <c r="D55" i="375"/>
  <c r="G15" i="369"/>
  <c r="G56" i="375"/>
  <c r="K15" i="369"/>
  <c r="K56" i="375"/>
  <c r="F16" i="369"/>
  <c r="F57" i="375"/>
  <c r="J16" i="369"/>
  <c r="J57" i="375"/>
  <c r="F31" i="369"/>
  <c r="F31" i="365" s="1"/>
  <c r="F62" i="375"/>
  <c r="J31" i="369"/>
  <c r="J31" i="365" s="1"/>
  <c r="J62" i="375"/>
  <c r="D64" i="375"/>
  <c r="D33" i="369"/>
  <c r="H33" i="369" s="1"/>
  <c r="D36" i="369"/>
  <c r="H36" i="369" s="1"/>
  <c r="D66" i="375"/>
  <c r="K18" i="240"/>
  <c r="K8" i="242" s="1"/>
  <c r="K12" i="364"/>
  <c r="D40" i="365"/>
  <c r="K103" i="370"/>
  <c r="K102" i="370" s="1"/>
  <c r="K26" i="241"/>
  <c r="E75" i="240"/>
  <c r="I77" i="364"/>
  <c r="I76" i="364" s="1"/>
  <c r="I83" i="364" s="1"/>
  <c r="I75" i="240"/>
  <c r="I82" i="240" s="1"/>
  <c r="C40" i="367"/>
  <c r="J40" i="365"/>
  <c r="G44" i="365"/>
  <c r="E12" i="364"/>
  <c r="E18" i="240"/>
  <c r="J12" i="364"/>
  <c r="J8" i="242"/>
  <c r="C36" i="364"/>
  <c r="C39" i="364"/>
  <c r="C41" i="365"/>
  <c r="G40" i="365"/>
  <c r="K40" i="365"/>
  <c r="D44" i="365"/>
  <c r="C46" i="365"/>
  <c r="C53" i="365"/>
  <c r="L24" i="370"/>
  <c r="F30" i="370"/>
  <c r="F66" i="370" s="1"/>
  <c r="F83" i="370" s="1"/>
  <c r="J30" i="370"/>
  <c r="J66" i="370" s="1"/>
  <c r="J83" i="370" s="1"/>
  <c r="J103" i="370"/>
  <c r="J102" i="370" s="1"/>
  <c r="D76" i="240"/>
  <c r="H76" i="240" s="1"/>
  <c r="F53" i="234"/>
  <c r="C19" i="368"/>
  <c r="C32" i="368"/>
  <c r="C116" i="370"/>
  <c r="C31" i="372"/>
  <c r="C44" i="366"/>
  <c r="C46" i="366"/>
  <c r="C48" i="366"/>
  <c r="C50" i="366"/>
  <c r="C52" i="366"/>
  <c r="C31" i="366"/>
  <c r="C56" i="366"/>
  <c r="C62" i="366"/>
  <c r="C65" i="366"/>
  <c r="C67" i="366"/>
  <c r="C40" i="368"/>
  <c r="F14" i="373"/>
  <c r="F18" i="373"/>
  <c r="F23" i="373"/>
  <c r="F27" i="373"/>
  <c r="F29" i="373"/>
  <c r="F34" i="373"/>
  <c r="D56" i="373"/>
  <c r="J57" i="373"/>
  <c r="C38" i="367"/>
  <c r="C42" i="368"/>
  <c r="G42" i="368"/>
  <c r="G41" i="368" s="1"/>
  <c r="G10" i="375"/>
  <c r="K10" i="375"/>
  <c r="K42" i="368"/>
  <c r="K41" i="368" s="1"/>
  <c r="D45" i="368"/>
  <c r="D49" i="368"/>
  <c r="D20" i="368"/>
  <c r="I23" i="368"/>
  <c r="I23" i="364" s="1"/>
  <c r="I25" i="375"/>
  <c r="I22" i="375" s="1"/>
  <c r="D27" i="368"/>
  <c r="F30" i="368"/>
  <c r="F30" i="364" s="1"/>
  <c r="F30" i="375"/>
  <c r="F29" i="368" s="1"/>
  <c r="F29" i="364" s="1"/>
  <c r="J30" i="368"/>
  <c r="J30" i="364" s="1"/>
  <c r="J30" i="375"/>
  <c r="J29" i="368" s="1"/>
  <c r="J29" i="364" s="1"/>
  <c r="E32" i="375"/>
  <c r="H32" i="375" s="1"/>
  <c r="I54" i="368"/>
  <c r="I53" i="368" s="1"/>
  <c r="I32" i="375"/>
  <c r="D55" i="368"/>
  <c r="D64" i="368"/>
  <c r="F66" i="368"/>
  <c r="F40" i="375"/>
  <c r="F65" i="368" s="1"/>
  <c r="J66" i="368"/>
  <c r="J40" i="375"/>
  <c r="J65" i="368" s="1"/>
  <c r="I76" i="368"/>
  <c r="I83" i="368" s="1"/>
  <c r="D78" i="368"/>
  <c r="G12" i="369"/>
  <c r="G53" i="375"/>
  <c r="K12" i="369"/>
  <c r="K53" i="375"/>
  <c r="F13" i="369"/>
  <c r="F13" i="365" s="1"/>
  <c r="F54" i="375"/>
  <c r="J13" i="369"/>
  <c r="J54" i="375"/>
  <c r="E55" i="375"/>
  <c r="H55" i="375" s="1"/>
  <c r="I14" i="369"/>
  <c r="I14" i="365" s="1"/>
  <c r="I55" i="375"/>
  <c r="D15" i="369"/>
  <c r="D56" i="375"/>
  <c r="G16" i="369"/>
  <c r="G57" i="375"/>
  <c r="K16" i="369"/>
  <c r="K57" i="375"/>
  <c r="G31" i="369"/>
  <c r="G31" i="365" s="1"/>
  <c r="G62" i="375"/>
  <c r="K31" i="369"/>
  <c r="K31" i="365" s="1"/>
  <c r="K62" i="375"/>
  <c r="E33" i="365"/>
  <c r="E64" i="375"/>
  <c r="I33" i="369"/>
  <c r="I33" i="365" s="1"/>
  <c r="I64" i="375"/>
  <c r="I32" i="369" s="1"/>
  <c r="I36" i="369"/>
  <c r="I34" i="369" s="1"/>
  <c r="I66" i="375"/>
  <c r="D38" i="369"/>
  <c r="H38" i="369" s="1"/>
  <c r="I29" i="373"/>
  <c r="K31" i="373"/>
  <c r="J33" i="373"/>
  <c r="I34" i="373"/>
  <c r="C36" i="373"/>
  <c r="K36" i="373"/>
  <c r="J37" i="373"/>
  <c r="K40" i="373"/>
  <c r="J41" i="373"/>
  <c r="I44" i="373"/>
  <c r="C83" i="372"/>
  <c r="D46" i="368"/>
  <c r="D50" i="368"/>
  <c r="I20" i="368"/>
  <c r="I20" i="364" s="1"/>
  <c r="D21" i="368"/>
  <c r="F23" i="368"/>
  <c r="F23" i="364" s="1"/>
  <c r="F25" i="375"/>
  <c r="F22" i="375" s="1"/>
  <c r="J23" i="368"/>
  <c r="J23" i="364" s="1"/>
  <c r="J25" i="375"/>
  <c r="J22" i="375" s="1"/>
  <c r="I27" i="368"/>
  <c r="C30" i="368"/>
  <c r="C30" i="375"/>
  <c r="C29" i="368" s="1"/>
  <c r="G30" i="368"/>
  <c r="G30" i="364" s="1"/>
  <c r="G30" i="375"/>
  <c r="G29" i="368" s="1"/>
  <c r="G29" i="364" s="1"/>
  <c r="K30" i="368"/>
  <c r="K30" i="364" s="1"/>
  <c r="K30" i="375"/>
  <c r="K29" i="368" s="1"/>
  <c r="K29" i="364" s="1"/>
  <c r="F54" i="368"/>
  <c r="F53" i="368" s="1"/>
  <c r="F32" i="375"/>
  <c r="J54" i="368"/>
  <c r="J53" i="368" s="1"/>
  <c r="J32" i="375"/>
  <c r="D56" i="368"/>
  <c r="E64" i="368"/>
  <c r="I64" i="368"/>
  <c r="G66" i="368"/>
  <c r="G40" i="375"/>
  <c r="G65" i="368" s="1"/>
  <c r="K66" i="368"/>
  <c r="K40" i="375"/>
  <c r="K65" i="368" s="1"/>
  <c r="D12" i="369"/>
  <c r="D12" i="365" s="1"/>
  <c r="D53" i="375"/>
  <c r="G13" i="369"/>
  <c r="G13" i="365" s="1"/>
  <c r="G54" i="375"/>
  <c r="K13" i="369"/>
  <c r="K13" i="365" s="1"/>
  <c r="K54" i="375"/>
  <c r="F14" i="369"/>
  <c r="F14" i="365" s="1"/>
  <c r="F55" i="375"/>
  <c r="J14" i="369"/>
  <c r="J14" i="365" s="1"/>
  <c r="J55" i="375"/>
  <c r="E56" i="375"/>
  <c r="I15" i="369"/>
  <c r="I56" i="375"/>
  <c r="D16" i="369"/>
  <c r="H16" i="369" s="1"/>
  <c r="D57" i="375"/>
  <c r="D31" i="369"/>
  <c r="H31" i="369" s="1"/>
  <c r="F33" i="369"/>
  <c r="F33" i="365" s="1"/>
  <c r="F64" i="375"/>
  <c r="F32" i="369" s="1"/>
  <c r="J33" i="369"/>
  <c r="J33" i="365" s="1"/>
  <c r="J64" i="375"/>
  <c r="J32" i="369" s="1"/>
  <c r="F36" i="369"/>
  <c r="F34" i="369" s="1"/>
  <c r="F66" i="375"/>
  <c r="J36" i="369"/>
  <c r="J34" i="369" s="1"/>
  <c r="J66" i="375"/>
  <c r="D57" i="369"/>
  <c r="C10" i="391"/>
  <c r="C24" i="370"/>
  <c r="C40" i="370"/>
  <c r="C102" i="370"/>
  <c r="C28" i="365"/>
  <c r="C62" i="370"/>
  <c r="C25" i="365"/>
  <c r="G97" i="370"/>
  <c r="D97" i="370"/>
  <c r="H97" i="370" s="1"/>
  <c r="F97" i="370"/>
  <c r="F93" i="370" s="1"/>
  <c r="F87" i="370" s="1"/>
  <c r="G113" i="239"/>
  <c r="G112" i="370"/>
  <c r="G110" i="370" s="1"/>
  <c r="G105" i="370" s="1"/>
  <c r="C111" i="239"/>
  <c r="C108" i="370" s="1"/>
  <c r="C14" i="369"/>
  <c r="C15" i="364"/>
  <c r="C62" i="364"/>
  <c r="C57" i="374"/>
  <c r="F59" i="382"/>
  <c r="F53" i="382" s="1"/>
  <c r="C38" i="364"/>
  <c r="C13" i="408"/>
  <c r="C28" i="364"/>
  <c r="C58" i="364"/>
  <c r="C36" i="370"/>
  <c r="C35" i="366"/>
  <c r="C35" i="364"/>
  <c r="K58" i="240"/>
  <c r="K11" i="242" s="1"/>
  <c r="I109" i="239"/>
  <c r="I106" i="370" s="1"/>
  <c r="D44" i="240"/>
  <c r="L45" i="364" s="1"/>
  <c r="J100" i="239"/>
  <c r="G53" i="232"/>
  <c r="K100" i="239"/>
  <c r="K20" i="241" s="1"/>
  <c r="C42" i="235"/>
  <c r="C71" i="374"/>
  <c r="K38" i="391"/>
  <c r="K40" i="238"/>
  <c r="K64" i="240" s="1"/>
  <c r="K65" i="364" s="1"/>
  <c r="K63" i="364" s="1"/>
  <c r="I94" i="239"/>
  <c r="C12" i="369"/>
  <c r="C53" i="375"/>
  <c r="C10" i="408"/>
  <c r="L23" i="364"/>
  <c r="E42" i="236"/>
  <c r="C27" i="373"/>
  <c r="C28" i="385"/>
  <c r="G28" i="385"/>
  <c r="K28" i="385"/>
  <c r="K59" i="385"/>
  <c r="K53" i="385" s="1"/>
  <c r="I50" i="37"/>
  <c r="I68" i="37" s="1"/>
  <c r="I99" i="37" s="1"/>
  <c r="J71" i="37"/>
  <c r="K42" i="380"/>
  <c r="C18" i="373"/>
  <c r="C97" i="370"/>
  <c r="C91" i="370"/>
  <c r="H28" i="238"/>
  <c r="I53" i="233"/>
  <c r="K50" i="37"/>
  <c r="K68" i="37" s="1"/>
  <c r="L79" i="368"/>
  <c r="E67" i="382"/>
  <c r="L24" i="368"/>
  <c r="J53" i="233"/>
  <c r="L53" i="233" s="1"/>
  <c r="C24" i="368"/>
  <c r="G14" i="241"/>
  <c r="L12" i="364"/>
  <c r="L17" i="364"/>
  <c r="G59" i="385"/>
  <c r="G53" i="385" s="1"/>
  <c r="K53" i="233"/>
  <c r="F40" i="238"/>
  <c r="F64" i="240" s="1"/>
  <c r="F65" i="364" s="1"/>
  <c r="F63" i="364" s="1"/>
  <c r="I113" i="58"/>
  <c r="C42" i="386"/>
  <c r="K42" i="386"/>
  <c r="I28" i="391"/>
  <c r="L71" i="364"/>
  <c r="D13" i="241"/>
  <c r="H13" i="241" s="1"/>
  <c r="J40" i="238"/>
  <c r="C25" i="373"/>
  <c r="K59" i="391"/>
  <c r="K53" i="391" s="1"/>
  <c r="K53" i="232"/>
  <c r="J50" i="37"/>
  <c r="J115" i="239"/>
  <c r="I111" i="239"/>
  <c r="I108" i="370" s="1"/>
  <c r="E113" i="58"/>
  <c r="E65" i="237"/>
  <c r="I28" i="238"/>
  <c r="C40" i="373"/>
  <c r="C57" i="373"/>
  <c r="K22" i="241"/>
  <c r="K23" i="365" s="1"/>
  <c r="C11" i="373"/>
  <c r="G22" i="385"/>
  <c r="E59" i="382"/>
  <c r="E32" i="238"/>
  <c r="L73" i="366"/>
  <c r="C56" i="375"/>
  <c r="C56" i="373"/>
  <c r="K14" i="241"/>
  <c r="L36" i="373"/>
  <c r="L40" i="373"/>
  <c r="J67" i="382"/>
  <c r="C24" i="373"/>
  <c r="I100" i="239"/>
  <c r="I115" i="239"/>
  <c r="I112" i="370" s="1"/>
  <c r="I110" i="370" s="1"/>
  <c r="F59" i="238"/>
  <c r="G42" i="235"/>
  <c r="K42" i="235"/>
  <c r="L37" i="368"/>
  <c r="L31" i="368" s="1"/>
  <c r="C15" i="373"/>
  <c r="C19" i="373"/>
  <c r="C30" i="373"/>
  <c r="C68" i="373"/>
  <c r="F20" i="241"/>
  <c r="G59" i="238"/>
  <c r="G53" i="238" s="1"/>
  <c r="K59" i="238"/>
  <c r="K53" i="238" s="1"/>
  <c r="J38" i="58"/>
  <c r="L38" i="366"/>
  <c r="L32" i="366" s="1"/>
  <c r="L54" i="366"/>
  <c r="C10" i="385"/>
  <c r="C16" i="373"/>
  <c r="C20" i="373"/>
  <c r="L31" i="371"/>
  <c r="L67" i="371" s="1"/>
  <c r="E70" i="380"/>
  <c r="I70" i="380"/>
  <c r="C14" i="373"/>
  <c r="C54" i="373"/>
  <c r="E70" i="383"/>
  <c r="C17" i="373"/>
  <c r="C31" i="373"/>
  <c r="C72" i="373"/>
  <c r="G28" i="379"/>
  <c r="K28" i="379"/>
  <c r="C42" i="380"/>
  <c r="G42" i="380"/>
  <c r="I42" i="380"/>
  <c r="G28" i="391"/>
  <c r="I15" i="241"/>
  <c r="T10" i="242" s="1"/>
  <c r="G38" i="238"/>
  <c r="C17" i="370"/>
  <c r="C18" i="370" s="1"/>
  <c r="C19" i="366"/>
  <c r="E53" i="240"/>
  <c r="H53" i="240" s="1"/>
  <c r="J109" i="239"/>
  <c r="H40" i="238"/>
  <c r="H59" i="238"/>
  <c r="H53" i="238" s="1"/>
  <c r="E59" i="385"/>
  <c r="E53" i="385" s="1"/>
  <c r="E53" i="234"/>
  <c r="G40" i="238"/>
  <c r="G64" i="240" s="1"/>
  <c r="G65" i="364" s="1"/>
  <c r="G63" i="364" s="1"/>
  <c r="K38" i="238"/>
  <c r="F37" i="241"/>
  <c r="K115" i="239"/>
  <c r="K112" i="370" s="1"/>
  <c r="K110" i="370" s="1"/>
  <c r="K105" i="370" s="1"/>
  <c r="C40" i="238"/>
  <c r="C64" i="240" s="1"/>
  <c r="C62" i="240" s="1"/>
  <c r="L20" i="366"/>
  <c r="I62" i="379"/>
  <c r="L53" i="385"/>
  <c r="L64" i="366"/>
  <c r="L69" i="366"/>
  <c r="L80" i="366"/>
  <c r="L68" i="368"/>
  <c r="I65" i="238"/>
  <c r="F71" i="37"/>
  <c r="K71" i="37"/>
  <c r="C109" i="239"/>
  <c r="L26" i="366"/>
  <c r="C72" i="368"/>
  <c r="G32" i="378"/>
  <c r="C23" i="373"/>
  <c r="C28" i="379"/>
  <c r="C29" i="373"/>
  <c r="C34" i="373"/>
  <c r="L62" i="383"/>
  <c r="L47" i="383" s="1"/>
  <c r="L66" i="374"/>
  <c r="C62" i="386"/>
  <c r="C47" i="386" s="1"/>
  <c r="C67" i="385"/>
  <c r="C62" i="385" s="1"/>
  <c r="I22" i="378"/>
  <c r="F53" i="386"/>
  <c r="J53" i="386"/>
  <c r="C13" i="373"/>
  <c r="C63" i="374"/>
  <c r="D32" i="382"/>
  <c r="C35" i="373"/>
  <c r="C45" i="373"/>
  <c r="C71" i="373"/>
  <c r="E42" i="383"/>
  <c r="I42" i="383"/>
  <c r="C53" i="373"/>
  <c r="J32" i="388"/>
  <c r="L28" i="374"/>
  <c r="F32" i="378"/>
  <c r="C21" i="373"/>
  <c r="C26" i="373"/>
  <c r="C41" i="373"/>
  <c r="L22" i="374"/>
  <c r="E28" i="382"/>
  <c r="F42" i="383"/>
  <c r="J42" i="383"/>
  <c r="C32" i="385"/>
  <c r="G32" i="385"/>
  <c r="K32" i="385"/>
  <c r="I62" i="386"/>
  <c r="I47" i="386" s="1"/>
  <c r="C12" i="373"/>
  <c r="D28" i="388"/>
  <c r="H28" i="390"/>
  <c r="D8" i="37"/>
  <c r="D102" i="239"/>
  <c r="D61" i="238"/>
  <c r="L42" i="366"/>
  <c r="I33" i="240"/>
  <c r="I34" i="364" s="1"/>
  <c r="D10" i="238"/>
  <c r="J34" i="364"/>
  <c r="C58" i="240"/>
  <c r="C11" i="242" s="1"/>
  <c r="G39" i="241"/>
  <c r="C10" i="238"/>
  <c r="G10" i="238"/>
  <c r="K10" i="238"/>
  <c r="D28" i="238"/>
  <c r="I38" i="238"/>
  <c r="D40" i="238"/>
  <c r="D64" i="240" s="1"/>
  <c r="D65" i="364" s="1"/>
  <c r="F42" i="236"/>
  <c r="J42" i="236"/>
  <c r="L42" i="236" s="1"/>
  <c r="E42" i="234"/>
  <c r="I42" i="234"/>
  <c r="G53" i="234"/>
  <c r="F42" i="233"/>
  <c r="J42" i="233"/>
  <c r="L42" i="233" s="1"/>
  <c r="L32" i="388"/>
  <c r="L63" i="391"/>
  <c r="L17" i="367"/>
  <c r="L30" i="364"/>
  <c r="L16" i="364"/>
  <c r="D33" i="240"/>
  <c r="D34" i="364" s="1"/>
  <c r="G58" i="240"/>
  <c r="G11" i="242" s="1"/>
  <c r="C14" i="241"/>
  <c r="F15" i="241"/>
  <c r="G20" i="241"/>
  <c r="K39" i="241"/>
  <c r="C43" i="241"/>
  <c r="E22" i="238"/>
  <c r="F28" i="238"/>
  <c r="J28" i="238"/>
  <c r="E61" i="238"/>
  <c r="F63" i="238"/>
  <c r="F42" i="235"/>
  <c r="J42" i="235"/>
  <c r="L42" i="235" s="1"/>
  <c r="L28" i="382"/>
  <c r="J53" i="234"/>
  <c r="L53" i="234" s="1"/>
  <c r="I59" i="385"/>
  <c r="I53" i="385" s="1"/>
  <c r="I53" i="234"/>
  <c r="C59" i="391"/>
  <c r="C53" i="391" s="1"/>
  <c r="C53" i="232"/>
  <c r="D62" i="388"/>
  <c r="D62" i="233"/>
  <c r="C28" i="238"/>
  <c r="G28" i="238"/>
  <c r="K28" i="238"/>
  <c r="H32" i="238"/>
  <c r="F42" i="237"/>
  <c r="J42" i="237"/>
  <c r="L42" i="237" s="1"/>
  <c r="D50" i="37"/>
  <c r="I71" i="37"/>
  <c r="G71" i="37"/>
  <c r="D112" i="58"/>
  <c r="F70" i="394" s="1"/>
  <c r="F72" i="394" s="1"/>
  <c r="L34" i="367"/>
  <c r="L29" i="367" s="1"/>
  <c r="C59" i="382"/>
  <c r="C53" i="382" s="1"/>
  <c r="L47" i="392"/>
  <c r="L88" i="371"/>
  <c r="L116" i="371" s="1"/>
  <c r="L70" i="380"/>
  <c r="L52" i="374"/>
  <c r="I28" i="382"/>
  <c r="D28" i="382"/>
  <c r="C65" i="373"/>
  <c r="K62" i="383"/>
  <c r="K47" i="383" s="1"/>
  <c r="G42" i="232"/>
  <c r="G50" i="37"/>
  <c r="K75" i="37"/>
  <c r="C92" i="37"/>
  <c r="K92" i="37"/>
  <c r="J50" i="58"/>
  <c r="E65" i="58"/>
  <c r="I75" i="58"/>
  <c r="L60" i="366"/>
  <c r="C69" i="366"/>
  <c r="L11" i="368"/>
  <c r="L72" i="368"/>
  <c r="C56" i="374"/>
  <c r="C60" i="374"/>
  <c r="F38" i="378"/>
  <c r="G47" i="380"/>
  <c r="F66" i="388"/>
  <c r="F65" i="373" s="1"/>
  <c r="F64" i="373" s="1"/>
  <c r="F62" i="389"/>
  <c r="F47" i="389" s="1"/>
  <c r="C28" i="391"/>
  <c r="K28" i="391"/>
  <c r="C68" i="368"/>
  <c r="L26" i="369"/>
  <c r="L24" i="369" s="1"/>
  <c r="L31" i="372"/>
  <c r="L67" i="372" s="1"/>
  <c r="C28" i="382"/>
  <c r="L10" i="374"/>
  <c r="G62" i="386"/>
  <c r="G47" i="386" s="1"/>
  <c r="G67" i="385"/>
  <c r="G62" i="385" s="1"/>
  <c r="K62" i="386"/>
  <c r="K47" i="386" s="1"/>
  <c r="K67" i="385"/>
  <c r="K62" i="385" s="1"/>
  <c r="J10" i="388"/>
  <c r="G66" i="388"/>
  <c r="G65" i="373" s="1"/>
  <c r="G64" i="373" s="1"/>
  <c r="G62" i="389"/>
  <c r="G70" i="389" s="1"/>
  <c r="H22" i="390"/>
  <c r="D22" i="379"/>
  <c r="C22" i="379"/>
  <c r="G22" i="379"/>
  <c r="K22" i="379"/>
  <c r="J22" i="379"/>
  <c r="I32" i="379"/>
  <c r="E10" i="382"/>
  <c r="D22" i="382"/>
  <c r="C22" i="382"/>
  <c r="G22" i="382"/>
  <c r="K22" i="382"/>
  <c r="C22" i="388"/>
  <c r="G22" i="388"/>
  <c r="K22" i="388"/>
  <c r="F32" i="388"/>
  <c r="I32" i="388"/>
  <c r="G22" i="391"/>
  <c r="K22" i="391"/>
  <c r="K70" i="392"/>
  <c r="K46" i="392" s="1"/>
  <c r="K43" i="392" s="1"/>
  <c r="K48" i="392" s="1"/>
  <c r="C32" i="378"/>
  <c r="G53" i="378"/>
  <c r="K53" i="378"/>
  <c r="J53" i="378"/>
  <c r="E22" i="379"/>
  <c r="I22" i="379"/>
  <c r="I28" i="379"/>
  <c r="G28" i="382"/>
  <c r="K28" i="382"/>
  <c r="F28" i="388"/>
  <c r="J28" i="388"/>
  <c r="F42" i="389"/>
  <c r="J42" i="389"/>
  <c r="H59" i="390"/>
  <c r="I10" i="391"/>
  <c r="D10" i="391"/>
  <c r="D22" i="391"/>
  <c r="H22" i="391"/>
  <c r="F28" i="391"/>
  <c r="J28" i="391"/>
  <c r="C31" i="240"/>
  <c r="C33" i="240"/>
  <c r="G102" i="239"/>
  <c r="G99" i="370" s="1"/>
  <c r="G8" i="37"/>
  <c r="L70" i="364"/>
  <c r="L75" i="364"/>
  <c r="P22" i="243"/>
  <c r="S22" i="243" s="1"/>
  <c r="F84" i="239"/>
  <c r="J84" i="239"/>
  <c r="I105" i="239"/>
  <c r="I32" i="238"/>
  <c r="J59" i="238"/>
  <c r="J53" i="238" s="1"/>
  <c r="I62" i="235"/>
  <c r="D65" i="58"/>
  <c r="F113" i="58"/>
  <c r="D75" i="58"/>
  <c r="D84" i="58"/>
  <c r="D95" i="58"/>
  <c r="F95" i="58"/>
  <c r="F27" i="403"/>
  <c r="C38" i="366"/>
  <c r="G31" i="240"/>
  <c r="G32" i="364" s="1"/>
  <c r="E36" i="240"/>
  <c r="F58" i="240"/>
  <c r="F11" i="242" s="1"/>
  <c r="R21" i="242"/>
  <c r="Q23" i="242"/>
  <c r="W23" i="242" s="1"/>
  <c r="O26" i="242"/>
  <c r="T27" i="242"/>
  <c r="E20" i="243"/>
  <c r="J32" i="239"/>
  <c r="J105" i="239"/>
  <c r="E15" i="241"/>
  <c r="L53" i="236"/>
  <c r="G19" i="399"/>
  <c r="L88" i="372"/>
  <c r="L116" i="372" s="1"/>
  <c r="L23" i="369"/>
  <c r="L17" i="369" s="1"/>
  <c r="L26" i="364"/>
  <c r="L39" i="364"/>
  <c r="L42" i="364"/>
  <c r="L41" i="364" s="1"/>
  <c r="L54" i="364"/>
  <c r="L53" i="364" s="1"/>
  <c r="U21" i="242"/>
  <c r="J8" i="243"/>
  <c r="L8" i="243" s="1"/>
  <c r="I20" i="243"/>
  <c r="K24" i="243"/>
  <c r="K23" i="243" s="1"/>
  <c r="D32" i="238"/>
  <c r="E35" i="241"/>
  <c r="E71" i="37"/>
  <c r="K50" i="58"/>
  <c r="L20" i="364"/>
  <c r="L19" i="364" s="1"/>
  <c r="P25" i="242"/>
  <c r="N21" i="243"/>
  <c r="R24" i="243"/>
  <c r="G22" i="238"/>
  <c r="K22" i="238"/>
  <c r="J62" i="233"/>
  <c r="F38" i="58"/>
  <c r="G110" i="58"/>
  <c r="K110" i="58"/>
  <c r="H9" i="365"/>
  <c r="H10" i="366" s="1"/>
  <c r="H9" i="367" s="1"/>
  <c r="H9" i="368" s="1"/>
  <c r="H9" i="369" s="1"/>
  <c r="L77" i="366"/>
  <c r="C59" i="374"/>
  <c r="C67" i="374"/>
  <c r="C35" i="375"/>
  <c r="C56" i="368" s="1"/>
  <c r="L26" i="367"/>
  <c r="L24" i="367" s="1"/>
  <c r="C37" i="368"/>
  <c r="C76" i="368"/>
  <c r="C55" i="374"/>
  <c r="L70" i="389"/>
  <c r="K66" i="388"/>
  <c r="K65" i="373" s="1"/>
  <c r="K64" i="373" s="1"/>
  <c r="K62" i="389"/>
  <c r="K47" i="389" s="1"/>
  <c r="K32" i="378"/>
  <c r="D38" i="378"/>
  <c r="D62" i="386"/>
  <c r="D67" i="385"/>
  <c r="C72" i="374"/>
  <c r="G53" i="383"/>
  <c r="G70" i="383" s="1"/>
  <c r="G59" i="382"/>
  <c r="K53" i="383"/>
  <c r="K59" i="382"/>
  <c r="E10" i="379"/>
  <c r="I10" i="379"/>
  <c r="J10" i="379"/>
  <c r="C39" i="373"/>
  <c r="E32" i="385"/>
  <c r="H32" i="385" s="1"/>
  <c r="I32" i="385"/>
  <c r="H70" i="387"/>
  <c r="F10" i="388"/>
  <c r="E10" i="388"/>
  <c r="I10" i="388"/>
  <c r="F22" i="388"/>
  <c r="J22" i="388"/>
  <c r="E22" i="388"/>
  <c r="I22" i="388"/>
  <c r="C37" i="373"/>
  <c r="C44" i="373"/>
  <c r="C60" i="373"/>
  <c r="C67" i="373"/>
  <c r="H70" i="393"/>
  <c r="G53" i="376"/>
  <c r="C28" i="378"/>
  <c r="G28" i="378"/>
  <c r="K28" i="378"/>
  <c r="C32" i="382"/>
  <c r="G32" i="382"/>
  <c r="K32" i="382"/>
  <c r="G10" i="385"/>
  <c r="K10" i="385"/>
  <c r="D22" i="385"/>
  <c r="C22" i="385"/>
  <c r="K22" i="385"/>
  <c r="D42" i="387"/>
  <c r="D48" i="387" s="1"/>
  <c r="D22" i="388"/>
  <c r="L42" i="392"/>
  <c r="E28" i="378"/>
  <c r="I28" i="378"/>
  <c r="J38" i="378"/>
  <c r="C32" i="379"/>
  <c r="G32" i="379"/>
  <c r="K32" i="379"/>
  <c r="F32" i="379"/>
  <c r="J32" i="379"/>
  <c r="F42" i="380"/>
  <c r="J42" i="380"/>
  <c r="D42" i="380"/>
  <c r="L42" i="380"/>
  <c r="G70" i="380"/>
  <c r="E22" i="385"/>
  <c r="I22" i="385"/>
  <c r="E67" i="385"/>
  <c r="J42" i="386"/>
  <c r="L32" i="374"/>
  <c r="H42" i="387"/>
  <c r="H48" i="387" s="1"/>
  <c r="E32" i="388"/>
  <c r="H32" i="388" s="1"/>
  <c r="F22" i="391"/>
  <c r="J22" i="391"/>
  <c r="D28" i="391"/>
  <c r="H28" i="391"/>
  <c r="C22" i="238"/>
  <c r="I22" i="238"/>
  <c r="I59" i="238"/>
  <c r="E59" i="379"/>
  <c r="E53" i="236"/>
  <c r="I59" i="379"/>
  <c r="I53" i="379" s="1"/>
  <c r="I53" i="236"/>
  <c r="J65" i="382"/>
  <c r="J62" i="235"/>
  <c r="D53" i="233"/>
  <c r="H53" i="233" s="1"/>
  <c r="I65" i="58"/>
  <c r="E75" i="58"/>
  <c r="E63" i="235"/>
  <c r="H63" i="235" s="1"/>
  <c r="C65" i="382"/>
  <c r="G65" i="382"/>
  <c r="G62" i="235"/>
  <c r="G70" i="235" s="1"/>
  <c r="E84" i="58"/>
  <c r="H84" i="58" s="1"/>
  <c r="E63" i="234"/>
  <c r="H63" i="234" s="1"/>
  <c r="I95" i="58"/>
  <c r="I63" i="233"/>
  <c r="I62" i="388" s="1"/>
  <c r="E11" i="243"/>
  <c r="C24" i="243"/>
  <c r="O20" i="243"/>
  <c r="R8" i="242"/>
  <c r="D32" i="241"/>
  <c r="H32" i="241" s="1"/>
  <c r="C65" i="379"/>
  <c r="G65" i="379"/>
  <c r="G62" i="379" s="1"/>
  <c r="G62" i="236"/>
  <c r="G47" i="236" s="1"/>
  <c r="D63" i="382"/>
  <c r="D62" i="235"/>
  <c r="D42" i="234"/>
  <c r="C32" i="391"/>
  <c r="C33" i="373"/>
  <c r="K32" i="391"/>
  <c r="G70" i="392"/>
  <c r="G46" i="392" s="1"/>
  <c r="G43" i="392" s="1"/>
  <c r="G48" i="392" s="1"/>
  <c r="E33" i="240"/>
  <c r="I36" i="240"/>
  <c r="I37" i="364" s="1"/>
  <c r="L46" i="364"/>
  <c r="I47" i="240"/>
  <c r="I52" i="240"/>
  <c r="I9" i="243" s="1"/>
  <c r="E12" i="242"/>
  <c r="O27" i="242"/>
  <c r="N23" i="242"/>
  <c r="Q22" i="243"/>
  <c r="K105" i="239"/>
  <c r="E37" i="241"/>
  <c r="L13" i="364"/>
  <c r="L22" i="364"/>
  <c r="I9" i="242"/>
  <c r="L27" i="364"/>
  <c r="L35" i="364"/>
  <c r="J37" i="364"/>
  <c r="C41" i="240"/>
  <c r="L50" i="364"/>
  <c r="I51" i="240"/>
  <c r="I52" i="364" s="1"/>
  <c r="L58" i="364"/>
  <c r="D63" i="240"/>
  <c r="H63" i="240" s="1"/>
  <c r="D25" i="243"/>
  <c r="H25" i="243" s="1"/>
  <c r="F28" i="242"/>
  <c r="I37" i="241"/>
  <c r="I38" i="365" s="1"/>
  <c r="K43" i="241"/>
  <c r="Q21" i="242"/>
  <c r="F43" i="241"/>
  <c r="Q24" i="243"/>
  <c r="P27" i="242"/>
  <c r="S27" i="242" s="1"/>
  <c r="E22" i="242"/>
  <c r="J27" i="242"/>
  <c r="G28" i="242"/>
  <c r="E8" i="243"/>
  <c r="U10" i="243"/>
  <c r="W10" i="243" s="1"/>
  <c r="I21" i="243"/>
  <c r="F32" i="239"/>
  <c r="F68" i="239" s="1"/>
  <c r="I32" i="239"/>
  <c r="I68" i="239" s="1"/>
  <c r="G84" i="239"/>
  <c r="K84" i="239"/>
  <c r="C32" i="238"/>
  <c r="G32" i="238"/>
  <c r="K32" i="238"/>
  <c r="F65" i="382"/>
  <c r="F62" i="235"/>
  <c r="F47" i="235" s="1"/>
  <c r="E42" i="233"/>
  <c r="E38" i="388"/>
  <c r="H38" i="388" s="1"/>
  <c r="E40" i="238"/>
  <c r="E64" i="240" s="1"/>
  <c r="I38" i="388"/>
  <c r="I40" i="238"/>
  <c r="D59" i="391"/>
  <c r="D53" i="391" s="1"/>
  <c r="D53" i="232"/>
  <c r="F8" i="37"/>
  <c r="G50" i="58"/>
  <c r="G63" i="237"/>
  <c r="G63" i="238" s="1"/>
  <c r="D113" i="58"/>
  <c r="D65" i="237"/>
  <c r="D22" i="242"/>
  <c r="Q7" i="242"/>
  <c r="P8" i="243"/>
  <c r="U22" i="243"/>
  <c r="G24" i="243"/>
  <c r="G23" i="243" s="1"/>
  <c r="H38" i="390"/>
  <c r="I8" i="243"/>
  <c r="G41" i="240"/>
  <c r="D48" i="240"/>
  <c r="H48" i="240" s="1"/>
  <c r="R23" i="242"/>
  <c r="C13" i="240"/>
  <c r="C14" i="364" s="1"/>
  <c r="L28" i="364"/>
  <c r="D36" i="240"/>
  <c r="D37" i="364" s="1"/>
  <c r="L38" i="364"/>
  <c r="K41" i="240"/>
  <c r="L62" i="364"/>
  <c r="F24" i="243"/>
  <c r="F23" i="243" s="1"/>
  <c r="F27" i="242"/>
  <c r="L27" i="242" s="1"/>
  <c r="J25" i="242"/>
  <c r="J20" i="243"/>
  <c r="L20" i="243" s="1"/>
  <c r="C28" i="242"/>
  <c r="L82" i="364"/>
  <c r="E11" i="241"/>
  <c r="D30" i="241"/>
  <c r="H30" i="241" s="1"/>
  <c r="Q10" i="243"/>
  <c r="T22" i="243"/>
  <c r="V23" i="242"/>
  <c r="K27" i="242"/>
  <c r="F8" i="243"/>
  <c r="T8" i="243"/>
  <c r="D11" i="243"/>
  <c r="U24" i="243"/>
  <c r="U28" i="243" s="1"/>
  <c r="D84" i="239"/>
  <c r="E113" i="239"/>
  <c r="I10" i="238"/>
  <c r="J10" i="238"/>
  <c r="L10" i="238" s="1"/>
  <c r="E10" i="238"/>
  <c r="D22" i="238"/>
  <c r="E28" i="238"/>
  <c r="K65" i="379"/>
  <c r="K62" i="379" s="1"/>
  <c r="K62" i="236"/>
  <c r="K47" i="236" s="1"/>
  <c r="F42" i="232"/>
  <c r="F46" i="232" s="1"/>
  <c r="J42" i="232"/>
  <c r="L42" i="232" s="1"/>
  <c r="F38" i="391"/>
  <c r="F38" i="238"/>
  <c r="J38" i="391"/>
  <c r="J38" i="238"/>
  <c r="L38" i="238" s="1"/>
  <c r="F65" i="391"/>
  <c r="F62" i="391" s="1"/>
  <c r="L19" i="366"/>
  <c r="L12" i="366" s="1"/>
  <c r="L37" i="373"/>
  <c r="L41" i="373"/>
  <c r="J62" i="391"/>
  <c r="N21" i="242"/>
  <c r="V21" i="242"/>
  <c r="T25" i="242"/>
  <c r="R21" i="243"/>
  <c r="N24" i="243"/>
  <c r="N28" i="243" s="1"/>
  <c r="V24" i="243"/>
  <c r="V28" i="243" s="1"/>
  <c r="L31" i="370"/>
  <c r="L103" i="370"/>
  <c r="E38" i="238"/>
  <c r="J63" i="238"/>
  <c r="J29" i="241" s="1"/>
  <c r="J28" i="241" s="1"/>
  <c r="D42" i="237"/>
  <c r="C42" i="237"/>
  <c r="K42" i="237"/>
  <c r="C42" i="236"/>
  <c r="G42" i="236"/>
  <c r="K42" i="236"/>
  <c r="L26" i="373"/>
  <c r="L30" i="373"/>
  <c r="F53" i="236"/>
  <c r="L53" i="379"/>
  <c r="D62" i="236"/>
  <c r="L72" i="373"/>
  <c r="D42" i="235"/>
  <c r="K62" i="235"/>
  <c r="K70" i="235" s="1"/>
  <c r="F42" i="234"/>
  <c r="J42" i="234"/>
  <c r="L42" i="234" s="1"/>
  <c r="D62" i="234"/>
  <c r="F53" i="233"/>
  <c r="F50" i="37"/>
  <c r="K84" i="37"/>
  <c r="C39" i="241"/>
  <c r="G43" i="241"/>
  <c r="U23" i="242"/>
  <c r="O25" i="242"/>
  <c r="V21" i="243"/>
  <c r="F22" i="238"/>
  <c r="J22" i="238"/>
  <c r="L22" i="238" s="1"/>
  <c r="J32" i="238"/>
  <c r="E42" i="237"/>
  <c r="H42" i="237" s="1"/>
  <c r="I42" i="237"/>
  <c r="J62" i="237"/>
  <c r="I62" i="237"/>
  <c r="D42" i="236"/>
  <c r="L15" i="373"/>
  <c r="L19" i="373"/>
  <c r="E42" i="235"/>
  <c r="I42" i="235"/>
  <c r="K62" i="382"/>
  <c r="C42" i="234"/>
  <c r="G42" i="234"/>
  <c r="K42" i="234"/>
  <c r="C59" i="385"/>
  <c r="C53" i="385" s="1"/>
  <c r="C53" i="234"/>
  <c r="D42" i="233"/>
  <c r="E42" i="232"/>
  <c r="I42" i="232"/>
  <c r="K42" i="232"/>
  <c r="F39" i="403"/>
  <c r="G38" i="58"/>
  <c r="K38" i="58"/>
  <c r="D38" i="58"/>
  <c r="F65" i="58"/>
  <c r="F75" i="58"/>
  <c r="J75" i="58"/>
  <c r="L75" i="58" s="1"/>
  <c r="F84" i="58"/>
  <c r="J84" i="58"/>
  <c r="L84" i="58" s="1"/>
  <c r="J95" i="58"/>
  <c r="L95" i="58" s="1"/>
  <c r="F49" i="403"/>
  <c r="E38" i="58"/>
  <c r="H38" i="58" s="1"/>
  <c r="I38" i="58"/>
  <c r="F112" i="58"/>
  <c r="C65" i="58"/>
  <c r="G65" i="58"/>
  <c r="K65" i="58"/>
  <c r="C75" i="58"/>
  <c r="G75" i="58"/>
  <c r="K75" i="58"/>
  <c r="C84" i="58"/>
  <c r="G84" i="58"/>
  <c r="K84" i="58"/>
  <c r="G95" i="58"/>
  <c r="K95" i="58"/>
  <c r="I110" i="58"/>
  <c r="F17" i="403"/>
  <c r="C80" i="366"/>
  <c r="C26" i="367"/>
  <c r="L40" i="367"/>
  <c r="C54" i="374"/>
  <c r="C62" i="374"/>
  <c r="F42" i="386"/>
  <c r="C79" i="368"/>
  <c r="C40" i="369"/>
  <c r="F62" i="383"/>
  <c r="F47" i="383" s="1"/>
  <c r="F67" i="382"/>
  <c r="L40" i="369"/>
  <c r="C67" i="370"/>
  <c r="L83" i="372"/>
  <c r="E22" i="378"/>
  <c r="D53" i="383"/>
  <c r="D59" i="382"/>
  <c r="D53" i="382" s="1"/>
  <c r="F53" i="378"/>
  <c r="F62" i="386"/>
  <c r="F47" i="386" s="1"/>
  <c r="F67" i="385"/>
  <c r="J62" i="386"/>
  <c r="J67" i="385"/>
  <c r="D10" i="378"/>
  <c r="J32" i="378"/>
  <c r="C38" i="378"/>
  <c r="G38" i="378"/>
  <c r="K38" i="378"/>
  <c r="D10" i="379"/>
  <c r="E28" i="379"/>
  <c r="D32" i="379"/>
  <c r="E10" i="385"/>
  <c r="I10" i="385"/>
  <c r="G10" i="388"/>
  <c r="K10" i="388"/>
  <c r="C42" i="390"/>
  <c r="C48" i="390" s="1"/>
  <c r="H43" i="390"/>
  <c r="H67" i="390"/>
  <c r="G10" i="391"/>
  <c r="K10" i="391"/>
  <c r="E22" i="391"/>
  <c r="I22" i="391"/>
  <c r="G32" i="391"/>
  <c r="E10" i="378"/>
  <c r="H10" i="378" s="1"/>
  <c r="F28" i="379"/>
  <c r="J28" i="379"/>
  <c r="F70" i="380"/>
  <c r="J70" i="380"/>
  <c r="D70" i="380"/>
  <c r="F22" i="382"/>
  <c r="J22" i="382"/>
  <c r="E32" i="382"/>
  <c r="H32" i="382" s="1"/>
  <c r="I32" i="382"/>
  <c r="G67" i="382"/>
  <c r="C42" i="383"/>
  <c r="G42" i="383"/>
  <c r="K42" i="383"/>
  <c r="C70" i="383"/>
  <c r="J70" i="383"/>
  <c r="F22" i="385"/>
  <c r="J22" i="385"/>
  <c r="D32" i="385"/>
  <c r="D42" i="386"/>
  <c r="L42" i="386"/>
  <c r="L70" i="386"/>
  <c r="D10" i="388"/>
  <c r="E28" i="388"/>
  <c r="H28" i="388" s="1"/>
  <c r="I28" i="388"/>
  <c r="C32" i="388"/>
  <c r="G32" i="388"/>
  <c r="K32" i="388"/>
  <c r="J66" i="388"/>
  <c r="J65" i="373" s="1"/>
  <c r="J64" i="373" s="1"/>
  <c r="D42" i="389"/>
  <c r="L42" i="389"/>
  <c r="D42" i="390"/>
  <c r="D48" i="390" s="1"/>
  <c r="C53" i="390"/>
  <c r="C70" i="390" s="1"/>
  <c r="D62" i="390"/>
  <c r="H62" i="390" s="1"/>
  <c r="C22" i="391"/>
  <c r="E32" i="391"/>
  <c r="I32" i="391"/>
  <c r="D32" i="391"/>
  <c r="H32" i="391"/>
  <c r="E70" i="392"/>
  <c r="I70" i="392"/>
  <c r="I46" i="392" s="1"/>
  <c r="I43" i="392" s="1"/>
  <c r="I48" i="392" s="1"/>
  <c r="D22" i="378"/>
  <c r="C10" i="379"/>
  <c r="G10" i="379"/>
  <c r="K10" i="379"/>
  <c r="F22" i="379"/>
  <c r="D28" i="379"/>
  <c r="E32" i="379"/>
  <c r="H32" i="379" s="1"/>
  <c r="E42" i="380"/>
  <c r="H42" i="380" s="1"/>
  <c r="I10" i="382"/>
  <c r="D10" i="382"/>
  <c r="F28" i="382"/>
  <c r="J28" i="382"/>
  <c r="F32" i="382"/>
  <c r="J32" i="382"/>
  <c r="I53" i="382"/>
  <c r="C67" i="382"/>
  <c r="D42" i="383"/>
  <c r="L42" i="383"/>
  <c r="E42" i="386"/>
  <c r="H42" i="386" s="1"/>
  <c r="I42" i="386"/>
  <c r="E70" i="386"/>
  <c r="C42" i="387"/>
  <c r="C48" i="387" s="1"/>
  <c r="C70" i="387"/>
  <c r="C28" i="388"/>
  <c r="G28" i="388"/>
  <c r="K28" i="388"/>
  <c r="D32" i="388"/>
  <c r="E42" i="389"/>
  <c r="I42" i="389"/>
  <c r="J70" i="389"/>
  <c r="F70" i="392"/>
  <c r="F46" i="392" s="1"/>
  <c r="F43" i="392" s="1"/>
  <c r="F48" i="392" s="1"/>
  <c r="J70" i="392"/>
  <c r="J46" i="392" s="1"/>
  <c r="J43" i="392" s="1"/>
  <c r="J48" i="392" s="1"/>
  <c r="C55" i="373"/>
  <c r="K24" i="240"/>
  <c r="K7" i="243" s="1"/>
  <c r="L29" i="364"/>
  <c r="C36" i="240"/>
  <c r="F36" i="240"/>
  <c r="F37" i="364" s="1"/>
  <c r="E40" i="240"/>
  <c r="E28" i="242"/>
  <c r="V25" i="242"/>
  <c r="L51" i="365"/>
  <c r="E9" i="242"/>
  <c r="H9" i="242" s="1"/>
  <c r="L36" i="370"/>
  <c r="L14" i="364"/>
  <c r="D31" i="240"/>
  <c r="D32" i="364" s="1"/>
  <c r="G27" i="242"/>
  <c r="L57" i="365"/>
  <c r="C54" i="370"/>
  <c r="C54" i="240"/>
  <c r="C54" i="239"/>
  <c r="F52" i="240"/>
  <c r="F9" i="243" s="1"/>
  <c r="E59" i="378"/>
  <c r="E17" i="369" s="1"/>
  <c r="E53" i="376"/>
  <c r="E53" i="237"/>
  <c r="J9" i="242"/>
  <c r="G52" i="240"/>
  <c r="G9" i="243" s="1"/>
  <c r="E58" i="240"/>
  <c r="T8" i="242"/>
  <c r="R25" i="242"/>
  <c r="G32" i="239"/>
  <c r="G68" i="239" s="1"/>
  <c r="K11" i="243"/>
  <c r="G11" i="243"/>
  <c r="C27" i="242"/>
  <c r="C67" i="240"/>
  <c r="C24" i="242"/>
  <c r="K21" i="243"/>
  <c r="K25" i="242"/>
  <c r="P8" i="242"/>
  <c r="L35" i="365"/>
  <c r="D24" i="240"/>
  <c r="F33" i="240"/>
  <c r="F34" i="364" s="1"/>
  <c r="K33" i="240"/>
  <c r="K34" i="364" s="1"/>
  <c r="L57" i="364"/>
  <c r="C12" i="242"/>
  <c r="D24" i="243"/>
  <c r="L69" i="364"/>
  <c r="L68" i="364" s="1"/>
  <c r="I24" i="243"/>
  <c r="I23" i="243" s="1"/>
  <c r="L73" i="364"/>
  <c r="I23" i="242"/>
  <c r="I21" i="242"/>
  <c r="C22" i="242"/>
  <c r="C78" i="240"/>
  <c r="G22" i="242"/>
  <c r="N10" i="243"/>
  <c r="R10" i="243"/>
  <c r="V10" i="243"/>
  <c r="L37" i="365"/>
  <c r="O21" i="242"/>
  <c r="D43" i="241"/>
  <c r="L45" i="365"/>
  <c r="P23" i="242"/>
  <c r="T23" i="242"/>
  <c r="N27" i="242"/>
  <c r="R27" i="242"/>
  <c r="V27" i="242"/>
  <c r="Q22" i="242"/>
  <c r="W22" i="242" s="1"/>
  <c r="J28" i="242"/>
  <c r="C22" i="370"/>
  <c r="C22" i="240"/>
  <c r="D20" i="241"/>
  <c r="I22" i="241"/>
  <c r="I23" i="365" s="1"/>
  <c r="C114" i="370"/>
  <c r="C37" i="241"/>
  <c r="G37" i="241"/>
  <c r="G38" i="365" s="1"/>
  <c r="K37" i="241"/>
  <c r="K38" i="365" s="1"/>
  <c r="F40" i="240"/>
  <c r="F13" i="242" s="1"/>
  <c r="L24" i="364"/>
  <c r="F14" i="241"/>
  <c r="L21" i="364"/>
  <c r="F24" i="240"/>
  <c r="F7" i="243" s="1"/>
  <c r="E24" i="240"/>
  <c r="C20" i="243"/>
  <c r="C19" i="243" s="1"/>
  <c r="K32" i="239"/>
  <c r="K68" i="239" s="1"/>
  <c r="L33" i="364"/>
  <c r="I31" i="240"/>
  <c r="I32" i="364" s="1"/>
  <c r="K52" i="240"/>
  <c r="K9" i="243" s="1"/>
  <c r="C11" i="243"/>
  <c r="I24" i="240"/>
  <c r="C8" i="243"/>
  <c r="G8" i="243"/>
  <c r="D58" i="240"/>
  <c r="D11" i="242" s="1"/>
  <c r="L61" i="364"/>
  <c r="I58" i="240"/>
  <c r="G20" i="243"/>
  <c r="G19" i="243" s="1"/>
  <c r="L81" i="364"/>
  <c r="T7" i="242"/>
  <c r="L19" i="365"/>
  <c r="N8" i="243"/>
  <c r="R8" i="243"/>
  <c r="V8" i="243"/>
  <c r="F39" i="241"/>
  <c r="L43" i="365"/>
  <c r="P24" i="243"/>
  <c r="P26" i="242"/>
  <c r="S26" i="242" s="1"/>
  <c r="T24" i="243"/>
  <c r="T26" i="242"/>
  <c r="U22" i="242"/>
  <c r="F25" i="242"/>
  <c r="L25" i="242" s="1"/>
  <c r="E84" i="239"/>
  <c r="I84" i="239"/>
  <c r="C92" i="370"/>
  <c r="C15" i="241"/>
  <c r="G15" i="241"/>
  <c r="K15" i="241"/>
  <c r="F113" i="239"/>
  <c r="F35" i="241"/>
  <c r="G24" i="240"/>
  <c r="G7" i="243" s="1"/>
  <c r="J7" i="243"/>
  <c r="L7" i="243" s="1"/>
  <c r="G36" i="240"/>
  <c r="G37" i="364" s="1"/>
  <c r="K36" i="240"/>
  <c r="K37" i="364" s="1"/>
  <c r="O22" i="243"/>
  <c r="O21" i="243"/>
  <c r="D39" i="241"/>
  <c r="L41" i="365"/>
  <c r="N25" i="242"/>
  <c r="C31" i="370"/>
  <c r="C32" i="239"/>
  <c r="L33" i="370"/>
  <c r="I67" i="378"/>
  <c r="L68" i="378"/>
  <c r="L67" i="375" s="1"/>
  <c r="L36" i="369" s="1"/>
  <c r="L34" i="369" s="1"/>
  <c r="L67" i="373"/>
  <c r="L10" i="379"/>
  <c r="L11" i="373"/>
  <c r="L10" i="373" s="1"/>
  <c r="L28" i="379"/>
  <c r="L29" i="373"/>
  <c r="L28" i="373" s="1"/>
  <c r="I42" i="236"/>
  <c r="I63" i="385"/>
  <c r="I62" i="385" s="1"/>
  <c r="L63" i="385"/>
  <c r="L62" i="385" s="1"/>
  <c r="I62" i="234"/>
  <c r="I42" i="233"/>
  <c r="C63" i="388"/>
  <c r="G62" i="388"/>
  <c r="G62" i="233"/>
  <c r="G47" i="233" s="1"/>
  <c r="F64" i="388"/>
  <c r="F63" i="373" s="1"/>
  <c r="F62" i="373" s="1"/>
  <c r="F47" i="233"/>
  <c r="L47" i="233" s="1"/>
  <c r="L38" i="391"/>
  <c r="I59" i="391"/>
  <c r="L59" i="391"/>
  <c r="G63" i="391"/>
  <c r="G62" i="391" s="1"/>
  <c r="G42" i="237"/>
  <c r="I22" i="242"/>
  <c r="C25" i="242"/>
  <c r="K28" i="242"/>
  <c r="F65" i="238"/>
  <c r="F31" i="241" s="1"/>
  <c r="J65" i="238"/>
  <c r="L11" i="375"/>
  <c r="L42" i="368" s="1"/>
  <c r="L41" i="368" s="1"/>
  <c r="L10" i="378"/>
  <c r="L28" i="378"/>
  <c r="L28" i="375" s="1"/>
  <c r="L29" i="375"/>
  <c r="L27" i="368" s="1"/>
  <c r="L25" i="368" s="1"/>
  <c r="L38" i="378"/>
  <c r="L38" i="375" s="1"/>
  <c r="L39" i="375"/>
  <c r="L64" i="368" s="1"/>
  <c r="L63" i="368" s="1"/>
  <c r="L56" i="376"/>
  <c r="L55" i="373" s="1"/>
  <c r="L56" i="378"/>
  <c r="J61" i="378"/>
  <c r="J60" i="375" s="1"/>
  <c r="J58" i="375" s="1"/>
  <c r="C30" i="369"/>
  <c r="J65" i="378"/>
  <c r="J67" i="378"/>
  <c r="L69" i="378"/>
  <c r="L68" i="375" s="1"/>
  <c r="L38" i="369" s="1"/>
  <c r="L68" i="373"/>
  <c r="L12" i="373"/>
  <c r="L16" i="373"/>
  <c r="L20" i="373"/>
  <c r="L22" i="379"/>
  <c r="L23" i="373"/>
  <c r="L22" i="373" s="1"/>
  <c r="L32" i="379"/>
  <c r="L33" i="373"/>
  <c r="L32" i="373" s="1"/>
  <c r="L43" i="379"/>
  <c r="L44" i="373"/>
  <c r="C53" i="236"/>
  <c r="G53" i="236"/>
  <c r="K53" i="236"/>
  <c r="L59" i="379"/>
  <c r="J62" i="379"/>
  <c r="L53" i="382"/>
  <c r="L28" i="385"/>
  <c r="C62" i="234"/>
  <c r="C47" i="234" s="1"/>
  <c r="K62" i="234"/>
  <c r="K47" i="234" s="1"/>
  <c r="J63" i="385"/>
  <c r="J62" i="234"/>
  <c r="L62" i="234" s="1"/>
  <c r="G58" i="388"/>
  <c r="G57" i="373" s="1"/>
  <c r="G53" i="233"/>
  <c r="F59" i="391"/>
  <c r="F53" i="232"/>
  <c r="J59" i="391"/>
  <c r="J53" i="391" s="1"/>
  <c r="J53" i="232"/>
  <c r="L53" i="232" s="1"/>
  <c r="C63" i="391"/>
  <c r="I61" i="378"/>
  <c r="I60" i="375" s="1"/>
  <c r="I58" i="375" s="1"/>
  <c r="F63" i="378"/>
  <c r="L65" i="373"/>
  <c r="L66" i="378"/>
  <c r="L65" i="375" s="1"/>
  <c r="L33" i="369" s="1"/>
  <c r="F9" i="242"/>
  <c r="N22" i="242"/>
  <c r="E23" i="242"/>
  <c r="H23" i="242" s="1"/>
  <c r="G25" i="242"/>
  <c r="I11" i="243"/>
  <c r="P20" i="243"/>
  <c r="T20" i="243"/>
  <c r="L36" i="364"/>
  <c r="L40" i="364"/>
  <c r="D42" i="240"/>
  <c r="D43" i="364" s="1"/>
  <c r="D46" i="240"/>
  <c r="H46" i="240" s="1"/>
  <c r="D50" i="240"/>
  <c r="H50" i="240" s="1"/>
  <c r="D54" i="240"/>
  <c r="H54" i="240" s="1"/>
  <c r="L56" i="364"/>
  <c r="L60" i="364"/>
  <c r="L59" i="364" s="1"/>
  <c r="C75" i="240"/>
  <c r="L80" i="364"/>
  <c r="L79" i="364" s="1"/>
  <c r="C11" i="241"/>
  <c r="N7" i="242" s="1"/>
  <c r="G11" i="241"/>
  <c r="K11" i="241"/>
  <c r="I12" i="241"/>
  <c r="E20" i="241"/>
  <c r="G35" i="241"/>
  <c r="L42" i="365"/>
  <c r="O7" i="242"/>
  <c r="C9" i="242"/>
  <c r="G9" i="242"/>
  <c r="K9" i="242"/>
  <c r="K12" i="242"/>
  <c r="F22" i="242"/>
  <c r="J22" i="242"/>
  <c r="O22" i="242"/>
  <c r="F23" i="242"/>
  <c r="J23" i="242"/>
  <c r="O23" i="242"/>
  <c r="D25" i="242"/>
  <c r="Q25" i="242"/>
  <c r="W25" i="242" s="1"/>
  <c r="U25" i="242"/>
  <c r="Q26" i="242"/>
  <c r="W26" i="242" s="1"/>
  <c r="U26" i="242"/>
  <c r="D27" i="242"/>
  <c r="Q27" i="242"/>
  <c r="U27" i="242"/>
  <c r="D28" i="242"/>
  <c r="K8" i="243"/>
  <c r="Q8" i="243"/>
  <c r="U8" i="243"/>
  <c r="W8" i="243" s="1"/>
  <c r="F11" i="243"/>
  <c r="J11" i="243"/>
  <c r="L11" i="243" s="1"/>
  <c r="F20" i="243"/>
  <c r="F19" i="243" s="1"/>
  <c r="K20" i="243"/>
  <c r="Q20" i="243"/>
  <c r="U20" i="243"/>
  <c r="J21" i="243"/>
  <c r="P21" i="243"/>
  <c r="T21" i="243"/>
  <c r="N22" i="243"/>
  <c r="R22" i="243"/>
  <c r="V22" i="243"/>
  <c r="O24" i="243"/>
  <c r="L116" i="370"/>
  <c r="F10" i="238"/>
  <c r="F32" i="238"/>
  <c r="C61" i="238"/>
  <c r="G65" i="238"/>
  <c r="G31" i="241" s="1"/>
  <c r="K65" i="238"/>
  <c r="K31" i="241" s="1"/>
  <c r="C67" i="238"/>
  <c r="L22" i="378"/>
  <c r="L22" i="375" s="1"/>
  <c r="L23" i="375"/>
  <c r="L20" i="368" s="1"/>
  <c r="L19" i="368" s="1"/>
  <c r="L32" i="378"/>
  <c r="L32" i="375" s="1"/>
  <c r="L33" i="375"/>
  <c r="L54" i="368" s="1"/>
  <c r="L53" i="368" s="1"/>
  <c r="L57" i="378"/>
  <c r="L57" i="376"/>
  <c r="L56" i="373" s="1"/>
  <c r="D61" i="378"/>
  <c r="D60" i="375" s="1"/>
  <c r="D61" i="376"/>
  <c r="H61" i="376" s="1"/>
  <c r="K61" i="378"/>
  <c r="K60" i="375" s="1"/>
  <c r="K58" i="375" s="1"/>
  <c r="D63" i="378"/>
  <c r="D62" i="375" s="1"/>
  <c r="I63" i="378"/>
  <c r="L64" i="378"/>
  <c r="L63" i="375" s="1"/>
  <c r="L31" i="369" s="1"/>
  <c r="L63" i="373"/>
  <c r="F65" i="378"/>
  <c r="K65" i="378"/>
  <c r="D67" i="378"/>
  <c r="K67" i="378"/>
  <c r="L13" i="373"/>
  <c r="L17" i="373"/>
  <c r="L21" i="373"/>
  <c r="L24" i="373"/>
  <c r="L31" i="373"/>
  <c r="L34" i="373"/>
  <c r="L45" i="373"/>
  <c r="D53" i="236"/>
  <c r="I62" i="236"/>
  <c r="L65" i="379"/>
  <c r="L65" i="382"/>
  <c r="D59" i="385"/>
  <c r="D53" i="234"/>
  <c r="L59" i="385"/>
  <c r="F63" i="385"/>
  <c r="F47" i="234"/>
  <c r="L47" i="234" s="1"/>
  <c r="C42" i="233"/>
  <c r="G42" i="233"/>
  <c r="K42" i="233"/>
  <c r="L52" i="388"/>
  <c r="I52" i="388"/>
  <c r="D42" i="232"/>
  <c r="I53" i="232"/>
  <c r="D63" i="391"/>
  <c r="L65" i="391"/>
  <c r="I62" i="391"/>
  <c r="I67" i="238"/>
  <c r="L73" i="238"/>
  <c r="L44" i="375"/>
  <c r="L77" i="368" s="1"/>
  <c r="L76" i="368" s="1"/>
  <c r="L55" i="376"/>
  <c r="L55" i="378"/>
  <c r="K63" i="378"/>
  <c r="I65" i="378"/>
  <c r="E21" i="242"/>
  <c r="R22" i="242"/>
  <c r="V22" i="242"/>
  <c r="L18" i="365"/>
  <c r="L17" i="365" s="1"/>
  <c r="L20" i="365"/>
  <c r="L22" i="365"/>
  <c r="L28" i="365"/>
  <c r="D37" i="241"/>
  <c r="E39" i="241"/>
  <c r="H39" i="241" s="1"/>
  <c r="I39" i="241"/>
  <c r="E43" i="241"/>
  <c r="H43" i="241" s="1"/>
  <c r="I43" i="241"/>
  <c r="L47" i="365"/>
  <c r="L52" i="365"/>
  <c r="L57" i="241"/>
  <c r="L58" i="365" s="1"/>
  <c r="Q8" i="242"/>
  <c r="U8" i="242"/>
  <c r="W8" i="242" s="1"/>
  <c r="C21" i="242"/>
  <c r="G21" i="242"/>
  <c r="K21" i="242"/>
  <c r="P21" i="242"/>
  <c r="T21" i="242"/>
  <c r="K22" i="242"/>
  <c r="P22" i="242"/>
  <c r="S22" i="242" s="1"/>
  <c r="T22" i="242"/>
  <c r="C23" i="242"/>
  <c r="G23" i="242"/>
  <c r="K23" i="242"/>
  <c r="E25" i="242"/>
  <c r="I25" i="242"/>
  <c r="N26" i="242"/>
  <c r="R26" i="242"/>
  <c r="V26" i="242"/>
  <c r="E27" i="242"/>
  <c r="I27" i="242"/>
  <c r="I28" i="242"/>
  <c r="D8" i="243"/>
  <c r="P10" i="243"/>
  <c r="T10" i="243"/>
  <c r="N20" i="243"/>
  <c r="R20" i="243"/>
  <c r="V20" i="243"/>
  <c r="Q21" i="243"/>
  <c r="U21" i="243"/>
  <c r="E24" i="243"/>
  <c r="J24" i="243"/>
  <c r="J23" i="243" s="1"/>
  <c r="C25" i="243"/>
  <c r="D32" i="239"/>
  <c r="L120" i="370"/>
  <c r="D38" i="238"/>
  <c r="L54" i="376"/>
  <c r="L53" i="373" s="1"/>
  <c r="L54" i="378"/>
  <c r="L57" i="373"/>
  <c r="L58" i="378"/>
  <c r="E61" i="378"/>
  <c r="F62" i="237"/>
  <c r="F47" i="237" s="1"/>
  <c r="K62" i="237"/>
  <c r="K47" i="237" s="1"/>
  <c r="E63" i="378"/>
  <c r="J63" i="378"/>
  <c r="G65" i="378"/>
  <c r="E67" i="378"/>
  <c r="L72" i="376"/>
  <c r="L71" i="373" s="1"/>
  <c r="L72" i="378"/>
  <c r="L71" i="375" s="1"/>
  <c r="L57" i="369" s="1"/>
  <c r="L14" i="373"/>
  <c r="L18" i="373"/>
  <c r="L25" i="373"/>
  <c r="L27" i="379"/>
  <c r="L27" i="373" s="1"/>
  <c r="L35" i="373"/>
  <c r="L39" i="373"/>
  <c r="L38" i="373" s="1"/>
  <c r="J53" i="379"/>
  <c r="F62" i="236"/>
  <c r="F47" i="236" s="1"/>
  <c r="J62" i="236"/>
  <c r="J70" i="236" s="1"/>
  <c r="L32" i="382"/>
  <c r="L63" i="382"/>
  <c r="L62" i="382" s="1"/>
  <c r="K53" i="234"/>
  <c r="G62" i="234"/>
  <c r="G47" i="234" s="1"/>
  <c r="E53" i="232"/>
  <c r="K63" i="391"/>
  <c r="K62" i="391" s="1"/>
  <c r="K62" i="232"/>
  <c r="E50" i="37"/>
  <c r="I84" i="58"/>
  <c r="E112" i="58"/>
  <c r="I112" i="58"/>
  <c r="D50" i="58"/>
  <c r="J65" i="58"/>
  <c r="L65" i="58" s="1"/>
  <c r="C7" i="393"/>
  <c r="C52" i="393" s="1"/>
  <c r="C7" i="392"/>
  <c r="C52" i="392" s="1"/>
  <c r="C7" i="390"/>
  <c r="C52" i="390" s="1"/>
  <c r="C7" i="391"/>
  <c r="C52" i="391" s="1"/>
  <c r="C7" i="389"/>
  <c r="C52" i="389" s="1"/>
  <c r="C7" i="387"/>
  <c r="C52" i="387" s="1"/>
  <c r="C7" i="386"/>
  <c r="C52" i="386" s="1"/>
  <c r="C7" i="384"/>
  <c r="C52" i="384" s="1"/>
  <c r="C7" i="383"/>
  <c r="C52" i="383" s="1"/>
  <c r="C7" i="388"/>
  <c r="C7" i="385"/>
  <c r="C52" i="385" s="1"/>
  <c r="C7" i="381"/>
  <c r="C52" i="381" s="1"/>
  <c r="C7" i="382"/>
  <c r="C52" i="382" s="1"/>
  <c r="C7" i="380"/>
  <c r="C52" i="380" s="1"/>
  <c r="C7" i="377"/>
  <c r="C52" i="377" s="1"/>
  <c r="C7" i="376"/>
  <c r="C52" i="376" s="1"/>
  <c r="C7" i="373"/>
  <c r="C51" i="373" s="1"/>
  <c r="C7" i="379"/>
  <c r="C52" i="379" s="1"/>
  <c r="C7" i="375"/>
  <c r="C51" i="375" s="1"/>
  <c r="C7" i="378"/>
  <c r="C52" i="378" s="1"/>
  <c r="C8" i="371"/>
  <c r="C87" i="371" s="1"/>
  <c r="C8" i="372"/>
  <c r="C87" i="372" s="1"/>
  <c r="C7" i="374"/>
  <c r="C51" i="374" s="1"/>
  <c r="C7" i="370"/>
  <c r="C86" i="370" s="1"/>
  <c r="C9" i="365"/>
  <c r="C10" i="366" s="1"/>
  <c r="C9" i="367" s="1"/>
  <c r="C9" i="368" s="1"/>
  <c r="C9" i="369" s="1"/>
  <c r="G7" i="393"/>
  <c r="G52" i="393" s="1"/>
  <c r="G7" i="392"/>
  <c r="G52" i="392" s="1"/>
  <c r="G7" i="391"/>
  <c r="G52" i="391" s="1"/>
  <c r="G7" i="390"/>
  <c r="G52" i="390" s="1"/>
  <c r="G7" i="387"/>
  <c r="G52" i="387" s="1"/>
  <c r="G7" i="389"/>
  <c r="G52" i="389" s="1"/>
  <c r="G7" i="388"/>
  <c r="G52" i="388" s="1"/>
  <c r="G7" i="386"/>
  <c r="G52" i="386" s="1"/>
  <c r="G7" i="384"/>
  <c r="G52" i="384" s="1"/>
  <c r="G7" i="383"/>
  <c r="G52" i="383" s="1"/>
  <c r="G7" i="385"/>
  <c r="G52" i="385" s="1"/>
  <c r="G7" i="381"/>
  <c r="G52" i="381" s="1"/>
  <c r="G7" i="382"/>
  <c r="G52" i="382" s="1"/>
  <c r="G7" i="378"/>
  <c r="G52" i="378" s="1"/>
  <c r="G7" i="376"/>
  <c r="G52" i="376" s="1"/>
  <c r="G7" i="373"/>
  <c r="G51" i="373" s="1"/>
  <c r="G7" i="375"/>
  <c r="G51" i="375" s="1"/>
  <c r="G7" i="380"/>
  <c r="G52" i="380" s="1"/>
  <c r="G7" i="377"/>
  <c r="G52" i="377" s="1"/>
  <c r="G7" i="374"/>
  <c r="G51" i="374" s="1"/>
  <c r="G8" i="371"/>
  <c r="G87" i="371" s="1"/>
  <c r="G7" i="379"/>
  <c r="G52" i="379" s="1"/>
  <c r="G7" i="370"/>
  <c r="G86" i="370" s="1"/>
  <c r="G9" i="365"/>
  <c r="G10" i="366" s="1"/>
  <c r="G9" i="367" s="1"/>
  <c r="G9" i="368" s="1"/>
  <c r="G9" i="369" s="1"/>
  <c r="G8" i="372"/>
  <c r="G87" i="372" s="1"/>
  <c r="K7" i="393"/>
  <c r="K52" i="393" s="1"/>
  <c r="K7" i="392"/>
  <c r="K52" i="392" s="1"/>
  <c r="K7" i="391"/>
  <c r="K52" i="391" s="1"/>
  <c r="K7" i="390"/>
  <c r="K52" i="390" s="1"/>
  <c r="K7" i="389"/>
  <c r="K52" i="389" s="1"/>
  <c r="K7" i="387"/>
  <c r="K52" i="387" s="1"/>
  <c r="K7" i="386"/>
  <c r="K52" i="386" s="1"/>
  <c r="K7" i="384"/>
  <c r="K52" i="384" s="1"/>
  <c r="K7" i="383"/>
  <c r="K52" i="383" s="1"/>
  <c r="K7" i="385"/>
  <c r="K52" i="385" s="1"/>
  <c r="K7" i="381"/>
  <c r="K52" i="381" s="1"/>
  <c r="K7" i="388"/>
  <c r="K7" i="380"/>
  <c r="K52" i="380" s="1"/>
  <c r="K7" i="382"/>
  <c r="K52" i="382" s="1"/>
  <c r="K7" i="377"/>
  <c r="K52" i="377" s="1"/>
  <c r="K7" i="376"/>
  <c r="K52" i="376" s="1"/>
  <c r="K7" i="373"/>
  <c r="K51" i="373" s="1"/>
  <c r="K7" i="379"/>
  <c r="K52" i="379" s="1"/>
  <c r="K7" i="375"/>
  <c r="K51" i="375" s="1"/>
  <c r="K7" i="378"/>
  <c r="K52" i="378" s="1"/>
  <c r="K7" i="374"/>
  <c r="K51" i="374" s="1"/>
  <c r="K8" i="371"/>
  <c r="K87" i="371" s="1"/>
  <c r="K8" i="372"/>
  <c r="K87" i="372" s="1"/>
  <c r="K7" i="370"/>
  <c r="K86" i="370" s="1"/>
  <c r="K9" i="365"/>
  <c r="K10" i="366" s="1"/>
  <c r="K9" i="367" s="1"/>
  <c r="K9" i="368" s="1"/>
  <c r="K9" i="369" s="1"/>
  <c r="I62" i="382"/>
  <c r="L32" i="385"/>
  <c r="L65" i="385"/>
  <c r="L38" i="388"/>
  <c r="L64" i="388"/>
  <c r="L28" i="391"/>
  <c r="L53" i="391"/>
  <c r="C113" i="58"/>
  <c r="G113" i="58"/>
  <c r="K113" i="58"/>
  <c r="E50" i="58"/>
  <c r="H50" i="58" s="1"/>
  <c r="I50" i="58"/>
  <c r="E95" i="58"/>
  <c r="F110" i="58"/>
  <c r="L28" i="388"/>
  <c r="K63" i="233"/>
  <c r="K63" i="238" s="1"/>
  <c r="L32" i="391"/>
  <c r="G112" i="58"/>
  <c r="K112" i="58"/>
  <c r="F50" i="58"/>
  <c r="E7" i="392"/>
  <c r="E52" i="392" s="1"/>
  <c r="E7" i="389"/>
  <c r="E52" i="389" s="1"/>
  <c r="E7" i="391"/>
  <c r="E52" i="391" s="1"/>
  <c r="E7" i="387"/>
  <c r="E52" i="387" s="1"/>
  <c r="E7" i="393"/>
  <c r="E52" i="393" s="1"/>
  <c r="E7" i="388"/>
  <c r="E52" i="388" s="1"/>
  <c r="E7" i="390"/>
  <c r="E52" i="390" s="1"/>
  <c r="E7" i="385"/>
  <c r="E52" i="385" s="1"/>
  <c r="E7" i="386"/>
  <c r="E52" i="386" s="1"/>
  <c r="E7" i="384"/>
  <c r="E52" i="384" s="1"/>
  <c r="E7" i="383"/>
  <c r="E52" i="383" s="1"/>
  <c r="E7" i="380"/>
  <c r="E52" i="380" s="1"/>
  <c r="E7" i="381"/>
  <c r="E52" i="381" s="1"/>
  <c r="E7" i="379"/>
  <c r="E52" i="379" s="1"/>
  <c r="E7" i="378"/>
  <c r="E52" i="378" s="1"/>
  <c r="E7" i="377"/>
  <c r="E52" i="377" s="1"/>
  <c r="E7" i="376"/>
  <c r="E52" i="376" s="1"/>
  <c r="E7" i="374"/>
  <c r="E51" i="374" s="1"/>
  <c r="E7" i="373"/>
  <c r="E51" i="373" s="1"/>
  <c r="E8" i="372"/>
  <c r="E87" i="372" s="1"/>
  <c r="E7" i="375"/>
  <c r="E51" i="375" s="1"/>
  <c r="E7" i="370"/>
  <c r="E86" i="370" s="1"/>
  <c r="E7" i="382"/>
  <c r="E52" i="382" s="1"/>
  <c r="E8" i="371"/>
  <c r="E87" i="371" s="1"/>
  <c r="E9" i="365"/>
  <c r="E10" i="366" s="1"/>
  <c r="E9" i="367" s="1"/>
  <c r="E9" i="368" s="1"/>
  <c r="E9" i="369" s="1"/>
  <c r="I7" i="393"/>
  <c r="I52" i="393" s="1"/>
  <c r="I7" i="389"/>
  <c r="I52" i="389" s="1"/>
  <c r="I7" i="392"/>
  <c r="I52" i="392" s="1"/>
  <c r="I7" i="387"/>
  <c r="I52" i="387" s="1"/>
  <c r="I7" i="390"/>
  <c r="I52" i="390" s="1"/>
  <c r="I7" i="388"/>
  <c r="I7" i="391"/>
  <c r="I52" i="391" s="1"/>
  <c r="I7" i="385"/>
  <c r="I52" i="385" s="1"/>
  <c r="I7" i="386"/>
  <c r="I52" i="386" s="1"/>
  <c r="I7" i="384"/>
  <c r="I52" i="384" s="1"/>
  <c r="I7" i="383"/>
  <c r="I52" i="383" s="1"/>
  <c r="I7" i="380"/>
  <c r="I52" i="380" s="1"/>
  <c r="I7" i="382"/>
  <c r="I52" i="382" s="1"/>
  <c r="I7" i="379"/>
  <c r="I52" i="379" s="1"/>
  <c r="I7" i="378"/>
  <c r="I52" i="378" s="1"/>
  <c r="I7" i="377"/>
  <c r="I52" i="377" s="1"/>
  <c r="I7" i="381"/>
  <c r="I52" i="381" s="1"/>
  <c r="I7" i="375"/>
  <c r="I51" i="375" s="1"/>
  <c r="I8" i="372"/>
  <c r="I87" i="372" s="1"/>
  <c r="I7" i="374"/>
  <c r="I51" i="374" s="1"/>
  <c r="I7" i="373"/>
  <c r="I51" i="373" s="1"/>
  <c r="I8" i="371"/>
  <c r="I87" i="371" s="1"/>
  <c r="I7" i="370"/>
  <c r="I86" i="370" s="1"/>
  <c r="I7" i="376"/>
  <c r="I52" i="376" s="1"/>
  <c r="I9" i="365"/>
  <c r="I10" i="366" s="1"/>
  <c r="I9" i="367" s="1"/>
  <c r="I9" i="368" s="1"/>
  <c r="I9" i="369" s="1"/>
  <c r="F7" i="393"/>
  <c r="F52" i="393" s="1"/>
  <c r="F7" i="392"/>
  <c r="F52" i="392" s="1"/>
  <c r="F7" i="389"/>
  <c r="F52" i="389" s="1"/>
  <c r="F7" i="391"/>
  <c r="F52" i="391" s="1"/>
  <c r="F7" i="390"/>
  <c r="F52" i="390" s="1"/>
  <c r="F7" i="388"/>
  <c r="F52" i="388" s="1"/>
  <c r="F7" i="386"/>
  <c r="F52" i="386" s="1"/>
  <c r="F7" i="384"/>
  <c r="F52" i="384" s="1"/>
  <c r="F7" i="383"/>
  <c r="F52" i="383" s="1"/>
  <c r="F7" i="385"/>
  <c r="F52" i="385" s="1"/>
  <c r="F7" i="387"/>
  <c r="F52" i="387" s="1"/>
  <c r="F7" i="381"/>
  <c r="F52" i="381" s="1"/>
  <c r="F7" i="380"/>
  <c r="F52" i="380" s="1"/>
  <c r="F7" i="382"/>
  <c r="F52" i="382" s="1"/>
  <c r="F7" i="379"/>
  <c r="F52" i="379" s="1"/>
  <c r="F7" i="374"/>
  <c r="F51" i="374" s="1"/>
  <c r="F7" i="378"/>
  <c r="F52" i="378" s="1"/>
  <c r="F7" i="376"/>
  <c r="F52" i="376" s="1"/>
  <c r="F7" i="370"/>
  <c r="F86" i="370" s="1"/>
  <c r="F7" i="377"/>
  <c r="F52" i="377" s="1"/>
  <c r="F7" i="375"/>
  <c r="F51" i="375" s="1"/>
  <c r="F8" i="371"/>
  <c r="F87" i="371" s="1"/>
  <c r="F7" i="373"/>
  <c r="F51" i="373" s="1"/>
  <c r="F8" i="372"/>
  <c r="F87" i="372" s="1"/>
  <c r="J7" i="393"/>
  <c r="J52" i="393" s="1"/>
  <c r="J7" i="392"/>
  <c r="J52" i="392" s="1"/>
  <c r="J7" i="389"/>
  <c r="J52" i="389" s="1"/>
  <c r="J7" i="391"/>
  <c r="J52" i="391" s="1"/>
  <c r="J7" i="390"/>
  <c r="J52" i="390" s="1"/>
  <c r="J7" i="388"/>
  <c r="J7" i="386"/>
  <c r="J52" i="386" s="1"/>
  <c r="J7" i="384"/>
  <c r="J52" i="384" s="1"/>
  <c r="J7" i="383"/>
  <c r="J52" i="383" s="1"/>
  <c r="J7" i="387"/>
  <c r="J52" i="387" s="1"/>
  <c r="J7" i="385"/>
  <c r="J52" i="385" s="1"/>
  <c r="J7" i="381"/>
  <c r="J52" i="381" s="1"/>
  <c r="J7" i="380"/>
  <c r="J52" i="380" s="1"/>
  <c r="J7" i="374"/>
  <c r="J51" i="374" s="1"/>
  <c r="J7" i="377"/>
  <c r="J52" i="377" s="1"/>
  <c r="J7" i="376"/>
  <c r="J52" i="376" s="1"/>
  <c r="J7" i="382"/>
  <c r="J52" i="382" s="1"/>
  <c r="J7" i="379"/>
  <c r="J52" i="379" s="1"/>
  <c r="J7" i="375"/>
  <c r="J51" i="375" s="1"/>
  <c r="J7" i="373"/>
  <c r="J51" i="373" s="1"/>
  <c r="J7" i="370"/>
  <c r="J86" i="370" s="1"/>
  <c r="J8" i="371"/>
  <c r="J87" i="371" s="1"/>
  <c r="J7" i="378"/>
  <c r="J52" i="378" s="1"/>
  <c r="J8" i="372"/>
  <c r="J87" i="372" s="1"/>
  <c r="D7" i="391"/>
  <c r="D52" i="391" s="1"/>
  <c r="D7" i="393"/>
  <c r="D52" i="393" s="1"/>
  <c r="D7" i="390"/>
  <c r="D52" i="390" s="1"/>
  <c r="D7" i="392"/>
  <c r="D52" i="392" s="1"/>
  <c r="D7" i="389"/>
  <c r="D52" i="389" s="1"/>
  <c r="D7" i="387"/>
  <c r="D52" i="387" s="1"/>
  <c r="D7" i="388"/>
  <c r="D52" i="388" s="1"/>
  <c r="D7" i="385"/>
  <c r="D52" i="385" s="1"/>
  <c r="D7" i="384"/>
  <c r="D52" i="384" s="1"/>
  <c r="D7" i="382"/>
  <c r="D52" i="382" s="1"/>
  <c r="D7" i="386"/>
  <c r="D52" i="386" s="1"/>
  <c r="D7" i="383"/>
  <c r="D52" i="383" s="1"/>
  <c r="D7" i="380"/>
  <c r="D52" i="380" s="1"/>
  <c r="D7" i="381"/>
  <c r="D52" i="381" s="1"/>
  <c r="D7" i="379"/>
  <c r="D52" i="379" s="1"/>
  <c r="D7" i="378"/>
  <c r="D52" i="378" s="1"/>
  <c r="D7" i="377"/>
  <c r="D52" i="377" s="1"/>
  <c r="D7" i="375"/>
  <c r="D51" i="375" s="1"/>
  <c r="D7" i="376"/>
  <c r="D52" i="376" s="1"/>
  <c r="D7" i="374"/>
  <c r="D51" i="374" s="1"/>
  <c r="D7" i="373"/>
  <c r="D51" i="373" s="1"/>
  <c r="D8" i="372"/>
  <c r="D87" i="372" s="1"/>
  <c r="D8" i="371"/>
  <c r="D87" i="371" s="1"/>
  <c r="D7" i="370"/>
  <c r="D86" i="370" s="1"/>
  <c r="H7" i="391"/>
  <c r="H52" i="391" s="1"/>
  <c r="H7" i="390"/>
  <c r="H52" i="390" s="1"/>
  <c r="H7" i="393"/>
  <c r="H52" i="393" s="1"/>
  <c r="H7" i="389"/>
  <c r="H52" i="389" s="1"/>
  <c r="H7" i="392"/>
  <c r="H52" i="392" s="1"/>
  <c r="H7" i="387"/>
  <c r="H52" i="387" s="1"/>
  <c r="H7" i="388"/>
  <c r="H52" i="388" s="1"/>
  <c r="H7" i="385"/>
  <c r="H52" i="385" s="1"/>
  <c r="H7" i="382"/>
  <c r="H52" i="382" s="1"/>
  <c r="H7" i="386"/>
  <c r="H52" i="386" s="1"/>
  <c r="H7" i="383"/>
  <c r="H52" i="383" s="1"/>
  <c r="H7" i="384"/>
  <c r="H52" i="384" s="1"/>
  <c r="H7" i="380"/>
  <c r="H52" i="380" s="1"/>
  <c r="H7" i="379"/>
  <c r="H52" i="379" s="1"/>
  <c r="H7" i="378"/>
  <c r="H52" i="378" s="1"/>
  <c r="H7" i="377"/>
  <c r="H52" i="377" s="1"/>
  <c r="H7" i="375"/>
  <c r="H51" i="375" s="1"/>
  <c r="H7" i="381"/>
  <c r="H52" i="381" s="1"/>
  <c r="H7" i="376"/>
  <c r="H52" i="376" s="1"/>
  <c r="H8" i="372"/>
  <c r="H87" i="372" s="1"/>
  <c r="H7" i="374"/>
  <c r="H51" i="374" s="1"/>
  <c r="H8" i="371"/>
  <c r="H87" i="371" s="1"/>
  <c r="L7" i="391"/>
  <c r="L7" i="393"/>
  <c r="L52" i="393" s="1"/>
  <c r="L7" i="390"/>
  <c r="L52" i="390" s="1"/>
  <c r="L7" i="392"/>
  <c r="L52" i="392" s="1"/>
  <c r="L7" i="389"/>
  <c r="L52" i="389" s="1"/>
  <c r="L7" i="387"/>
  <c r="L52" i="387" s="1"/>
  <c r="L7" i="388"/>
  <c r="L7" i="385"/>
  <c r="L52" i="385" s="1"/>
  <c r="L7" i="386"/>
  <c r="L52" i="386" s="1"/>
  <c r="L7" i="382"/>
  <c r="L52" i="382" s="1"/>
  <c r="L7" i="383"/>
  <c r="L52" i="383" s="1"/>
  <c r="L7" i="384"/>
  <c r="L52" i="384" s="1"/>
  <c r="L7" i="381"/>
  <c r="L52" i="381" s="1"/>
  <c r="L7" i="379"/>
  <c r="L52" i="379" s="1"/>
  <c r="L7" i="378"/>
  <c r="L52" i="378" s="1"/>
  <c r="L7" i="377"/>
  <c r="L52" i="377" s="1"/>
  <c r="L7" i="375"/>
  <c r="L51" i="375" s="1"/>
  <c r="L7" i="380"/>
  <c r="L52" i="380" s="1"/>
  <c r="L7" i="374"/>
  <c r="L51" i="374" s="1"/>
  <c r="L7" i="376"/>
  <c r="L52" i="376" s="1"/>
  <c r="L8" i="372"/>
  <c r="L87" i="372" s="1"/>
  <c r="L8" i="371"/>
  <c r="L87" i="371" s="1"/>
  <c r="L7" i="370"/>
  <c r="L86" i="370" s="1"/>
  <c r="L7" i="373"/>
  <c r="L51" i="373" s="1"/>
  <c r="H7" i="370"/>
  <c r="H86" i="370" s="1"/>
  <c r="K53" i="376"/>
  <c r="E38" i="378"/>
  <c r="H38" i="378" s="1"/>
  <c r="I38" i="378"/>
  <c r="L83" i="371"/>
  <c r="E11" i="373"/>
  <c r="C22" i="378"/>
  <c r="C23" i="375"/>
  <c r="G22" i="378"/>
  <c r="K22" i="378"/>
  <c r="I53" i="376"/>
  <c r="I10" i="378"/>
  <c r="K10" i="382"/>
  <c r="D28" i="378"/>
  <c r="F28" i="378"/>
  <c r="J28" i="378"/>
  <c r="G53" i="379"/>
  <c r="K53" i="379"/>
  <c r="F53" i="376"/>
  <c r="J53" i="376"/>
  <c r="C10" i="382"/>
  <c r="G10" i="382"/>
  <c r="F10" i="378"/>
  <c r="J10" i="378"/>
  <c r="D32" i="378"/>
  <c r="K47" i="380"/>
  <c r="K70" i="380"/>
  <c r="C64" i="374"/>
  <c r="C10" i="378"/>
  <c r="G10" i="378"/>
  <c r="K10" i="378"/>
  <c r="F22" i="378"/>
  <c r="J22" i="378"/>
  <c r="E32" i="378"/>
  <c r="I32" i="378"/>
  <c r="I53" i="378"/>
  <c r="F10" i="379"/>
  <c r="F53" i="379"/>
  <c r="F10" i="382"/>
  <c r="J10" i="382"/>
  <c r="D47" i="380"/>
  <c r="C70" i="380"/>
  <c r="E22" i="382"/>
  <c r="H22" i="382" s="1"/>
  <c r="I22" i="382"/>
  <c r="D62" i="383"/>
  <c r="D67" i="382"/>
  <c r="D66" i="373" s="1"/>
  <c r="D53" i="379"/>
  <c r="D10" i="385"/>
  <c r="F10" i="385"/>
  <c r="J10" i="385"/>
  <c r="F32" i="385"/>
  <c r="J32" i="385"/>
  <c r="J53" i="382"/>
  <c r="J52" i="388"/>
  <c r="K52" i="388"/>
  <c r="D70" i="387"/>
  <c r="H10" i="390"/>
  <c r="C42" i="389"/>
  <c r="G42" i="389"/>
  <c r="K42" i="389"/>
  <c r="E62" i="389"/>
  <c r="I62" i="389"/>
  <c r="I66" i="388"/>
  <c r="I65" i="373" s="1"/>
  <c r="I64" i="373" s="1"/>
  <c r="H53" i="391"/>
  <c r="H32" i="390"/>
  <c r="E10" i="391"/>
  <c r="E53" i="391"/>
  <c r="F32" i="391"/>
  <c r="J32" i="391"/>
  <c r="G53" i="391"/>
  <c r="F10" i="391"/>
  <c r="J10" i="391"/>
  <c r="L70" i="392"/>
  <c r="C53" i="379"/>
  <c r="N8" i="242"/>
  <c r="L23" i="242" l="1"/>
  <c r="J20" i="242"/>
  <c r="S23" i="242"/>
  <c r="L9" i="242"/>
  <c r="W21" i="242"/>
  <c r="L22" i="242"/>
  <c r="F47" i="379"/>
  <c r="L47" i="236"/>
  <c r="F63" i="379"/>
  <c r="F62" i="379" s="1"/>
  <c r="F70" i="379" s="1"/>
  <c r="L63" i="236"/>
  <c r="L63" i="379" s="1"/>
  <c r="L62" i="379" s="1"/>
  <c r="L76" i="240"/>
  <c r="J66" i="364"/>
  <c r="L65" i="240"/>
  <c r="L66" i="364" s="1"/>
  <c r="L40" i="238"/>
  <c r="J11" i="242"/>
  <c r="L11" i="242" s="1"/>
  <c r="L58" i="240"/>
  <c r="J47" i="388"/>
  <c r="L62" i="233"/>
  <c r="U7" i="242"/>
  <c r="W7" i="242" s="1"/>
  <c r="J13" i="365"/>
  <c r="J76" i="364"/>
  <c r="J83" i="364" s="1"/>
  <c r="W27" i="242"/>
  <c r="L28" i="242"/>
  <c r="L82" i="240"/>
  <c r="L75" i="240"/>
  <c r="L84" i="239"/>
  <c r="J68" i="239"/>
  <c r="J85" i="239" s="1"/>
  <c r="L32" i="239"/>
  <c r="I91" i="370"/>
  <c r="I90" i="239"/>
  <c r="E91" i="370"/>
  <c r="E90" i="239"/>
  <c r="E118" i="239" s="1"/>
  <c r="J114" i="370"/>
  <c r="J38" i="365"/>
  <c r="L115" i="239"/>
  <c r="J102" i="239"/>
  <c r="L19" i="37"/>
  <c r="L100" i="239"/>
  <c r="J21" i="365"/>
  <c r="L22" i="103"/>
  <c r="J92" i="370"/>
  <c r="L95" i="239"/>
  <c r="L92" i="370" s="1"/>
  <c r="L50" i="58"/>
  <c r="J114" i="58"/>
  <c r="J115" i="58" s="1"/>
  <c r="J47" i="378"/>
  <c r="J47" i="375" s="1"/>
  <c r="J127" i="372" s="1"/>
  <c r="J50" i="369" s="1"/>
  <c r="L62" i="237"/>
  <c r="F8" i="242"/>
  <c r="L8" i="242" s="1"/>
  <c r="L18" i="240"/>
  <c r="L63" i="238"/>
  <c r="L12" i="242"/>
  <c r="E11" i="369"/>
  <c r="H15" i="369"/>
  <c r="F68" i="37"/>
  <c r="F38" i="365"/>
  <c r="L37" i="241"/>
  <c r="L38" i="365" s="1"/>
  <c r="F53" i="238"/>
  <c r="L53" i="238" s="1"/>
  <c r="L59" i="238"/>
  <c r="J47" i="391"/>
  <c r="L62" i="232"/>
  <c r="J47" i="382"/>
  <c r="L62" i="235"/>
  <c r="J47" i="379"/>
  <c r="L62" i="236"/>
  <c r="L38" i="58"/>
  <c r="J106" i="370"/>
  <c r="L109" i="239"/>
  <c r="L106" i="370" s="1"/>
  <c r="F47" i="391"/>
  <c r="L47" i="232"/>
  <c r="J94" i="239"/>
  <c r="L22" i="36"/>
  <c r="J68" i="37"/>
  <c r="L50" i="37"/>
  <c r="L110" i="58"/>
  <c r="L112" i="58"/>
  <c r="H38" i="238"/>
  <c r="H10" i="388"/>
  <c r="H24" i="364"/>
  <c r="H28" i="385"/>
  <c r="H19" i="373"/>
  <c r="H67" i="385"/>
  <c r="H42" i="235"/>
  <c r="C64" i="373"/>
  <c r="H11" i="373"/>
  <c r="H35" i="373"/>
  <c r="H53" i="373"/>
  <c r="H44" i="373"/>
  <c r="H36" i="373"/>
  <c r="H25" i="373"/>
  <c r="H18" i="373"/>
  <c r="H13" i="373"/>
  <c r="H30" i="373"/>
  <c r="H54" i="373"/>
  <c r="H41" i="373"/>
  <c r="H17" i="373"/>
  <c r="H12" i="373"/>
  <c r="H64" i="375"/>
  <c r="H53" i="375"/>
  <c r="H42" i="240"/>
  <c r="H32" i="378"/>
  <c r="H42" i="236"/>
  <c r="H95" i="239"/>
  <c r="E78" i="368"/>
  <c r="H78" i="368" s="1"/>
  <c r="H45" i="375"/>
  <c r="H42" i="389"/>
  <c r="H10" i="385"/>
  <c r="H53" i="236"/>
  <c r="H22" i="388"/>
  <c r="H10" i="379"/>
  <c r="H42" i="383"/>
  <c r="H67" i="382"/>
  <c r="E54" i="368"/>
  <c r="E22" i="375"/>
  <c r="E66" i="368"/>
  <c r="H66" i="368" s="1"/>
  <c r="H15" i="373"/>
  <c r="E32" i="364"/>
  <c r="H32" i="364" s="1"/>
  <c r="H31" i="240"/>
  <c r="E42" i="368"/>
  <c r="H42" i="368" s="1"/>
  <c r="H33" i="373"/>
  <c r="H23" i="373"/>
  <c r="H34" i="373"/>
  <c r="D62" i="373"/>
  <c r="H53" i="383"/>
  <c r="H24" i="369"/>
  <c r="E24" i="365"/>
  <c r="H24" i="365" s="1"/>
  <c r="E22" i="365"/>
  <c r="H22" i="365" s="1"/>
  <c r="D68" i="239"/>
  <c r="H32" i="239"/>
  <c r="E19" i="243"/>
  <c r="H65" i="58"/>
  <c r="E53" i="382"/>
  <c r="H53" i="382" s="1"/>
  <c r="H59" i="382"/>
  <c r="E65" i="368"/>
  <c r="H40" i="375"/>
  <c r="E66" i="373"/>
  <c r="H66" i="373" s="1"/>
  <c r="H27" i="369"/>
  <c r="E27" i="365"/>
  <c r="H27" i="365" s="1"/>
  <c r="E56" i="368"/>
  <c r="H35" i="375"/>
  <c r="E49" i="368"/>
  <c r="H18" i="375"/>
  <c r="E25" i="369"/>
  <c r="H67" i="378"/>
  <c r="H27" i="242"/>
  <c r="S21" i="243"/>
  <c r="S20" i="243"/>
  <c r="L72" i="364"/>
  <c r="H28" i="242"/>
  <c r="H42" i="233"/>
  <c r="H22" i="242"/>
  <c r="H11" i="243"/>
  <c r="E62" i="388"/>
  <c r="H75" i="58"/>
  <c r="E53" i="379"/>
  <c r="H53" i="379" s="1"/>
  <c r="H59" i="379"/>
  <c r="H22" i="385"/>
  <c r="D70" i="389"/>
  <c r="H22" i="379"/>
  <c r="H42" i="234"/>
  <c r="H56" i="375"/>
  <c r="H64" i="368"/>
  <c r="E20" i="368"/>
  <c r="H20" i="368" s="1"/>
  <c r="H12" i="364"/>
  <c r="E29" i="368"/>
  <c r="H30" i="375"/>
  <c r="E27" i="373"/>
  <c r="H27" i="373" s="1"/>
  <c r="D30" i="370"/>
  <c r="H30" i="370" s="1"/>
  <c r="E44" i="365"/>
  <c r="H57" i="373"/>
  <c r="H40" i="373"/>
  <c r="H31" i="373"/>
  <c r="H21" i="373"/>
  <c r="H16" i="373"/>
  <c r="H29" i="373"/>
  <c r="H55" i="373"/>
  <c r="C62" i="373"/>
  <c r="H14" i="364"/>
  <c r="H65" i="236"/>
  <c r="H44" i="240"/>
  <c r="E47" i="383"/>
  <c r="H62" i="383"/>
  <c r="E57" i="369"/>
  <c r="E57" i="365" s="1"/>
  <c r="H71" i="375"/>
  <c r="H26" i="369"/>
  <c r="E26" i="365"/>
  <c r="H26" i="365" s="1"/>
  <c r="E77" i="368"/>
  <c r="H44" i="375"/>
  <c r="E61" i="368"/>
  <c r="H36" i="375"/>
  <c r="E55" i="368"/>
  <c r="H34" i="375"/>
  <c r="E21" i="368"/>
  <c r="H24" i="375"/>
  <c r="E52" i="368"/>
  <c r="H21" i="375"/>
  <c r="E50" i="368"/>
  <c r="H19" i="375"/>
  <c r="E48" i="368"/>
  <c r="H17" i="375"/>
  <c r="E46" i="368"/>
  <c r="H15" i="375"/>
  <c r="E43" i="368"/>
  <c r="H12" i="375"/>
  <c r="E82" i="370"/>
  <c r="H67" i="370"/>
  <c r="H70" i="380"/>
  <c r="H113" i="58"/>
  <c r="E82" i="240"/>
  <c r="D64" i="373"/>
  <c r="E62" i="368"/>
  <c r="H37" i="375"/>
  <c r="E51" i="368"/>
  <c r="H20" i="375"/>
  <c r="E47" i="368"/>
  <c r="H16" i="375"/>
  <c r="E45" i="368"/>
  <c r="H14" i="375"/>
  <c r="E60" i="375"/>
  <c r="E19" i="369"/>
  <c r="H61" i="378"/>
  <c r="S24" i="243"/>
  <c r="H22" i="378"/>
  <c r="H50" i="37"/>
  <c r="H53" i="232"/>
  <c r="E23" i="243"/>
  <c r="H23" i="243" s="1"/>
  <c r="H24" i="243"/>
  <c r="H25" i="242"/>
  <c r="S21" i="242"/>
  <c r="H84" i="239"/>
  <c r="E7" i="243"/>
  <c r="H24" i="240"/>
  <c r="H28" i="379"/>
  <c r="H42" i="232"/>
  <c r="H8" i="243"/>
  <c r="D64" i="364"/>
  <c r="H64" i="364" s="1"/>
  <c r="D62" i="240"/>
  <c r="D10" i="243" s="1"/>
  <c r="H28" i="378"/>
  <c r="S25" i="242"/>
  <c r="E37" i="364"/>
  <c r="H37" i="364" s="1"/>
  <c r="H36" i="240"/>
  <c r="H10" i="382"/>
  <c r="H28" i="382"/>
  <c r="E27" i="368"/>
  <c r="H27" i="368" s="1"/>
  <c r="E66" i="375"/>
  <c r="H66" i="375" s="1"/>
  <c r="E30" i="364"/>
  <c r="H30" i="364" s="1"/>
  <c r="H30" i="368"/>
  <c r="H39" i="373"/>
  <c r="H24" i="373"/>
  <c r="H57" i="375"/>
  <c r="H56" i="373"/>
  <c r="H71" i="373"/>
  <c r="H45" i="373"/>
  <c r="H37" i="373"/>
  <c r="H26" i="373"/>
  <c r="H20" i="373"/>
  <c r="H14" i="373"/>
  <c r="E47" i="386"/>
  <c r="H62" i="386"/>
  <c r="C18" i="240"/>
  <c r="E23" i="368"/>
  <c r="E11" i="368" s="1"/>
  <c r="H11" i="368" s="1"/>
  <c r="H25" i="375"/>
  <c r="F22" i="241"/>
  <c r="F23" i="365" s="1"/>
  <c r="F96" i="239"/>
  <c r="H103" i="239"/>
  <c r="E100" i="370"/>
  <c r="H100" i="370" s="1"/>
  <c r="H113" i="239"/>
  <c r="E110" i="370"/>
  <c r="H44" i="365"/>
  <c r="H53" i="365"/>
  <c r="H12" i="369"/>
  <c r="H40" i="365"/>
  <c r="H70" i="392"/>
  <c r="E46" i="392"/>
  <c r="H46" i="392" s="1"/>
  <c r="E65" i="364"/>
  <c r="H65" i="364" s="1"/>
  <c r="H64" i="240"/>
  <c r="E13" i="365"/>
  <c r="H13" i="365" s="1"/>
  <c r="H13" i="369"/>
  <c r="E63" i="379"/>
  <c r="E62" i="379" s="1"/>
  <c r="E62" i="236"/>
  <c r="H62" i="236" s="1"/>
  <c r="H112" i="58"/>
  <c r="G70" i="394"/>
  <c r="H63" i="233"/>
  <c r="D62" i="232"/>
  <c r="D47" i="232" s="1"/>
  <c r="D47" i="391" s="1"/>
  <c r="E65" i="385"/>
  <c r="E64" i="373" s="1"/>
  <c r="H64" i="373" s="1"/>
  <c r="H65" i="232"/>
  <c r="H65" i="391" s="1"/>
  <c r="H62" i="391" s="1"/>
  <c r="H70" i="391" s="1"/>
  <c r="E63" i="388"/>
  <c r="H63" i="388" s="1"/>
  <c r="H65" i="235"/>
  <c r="H110" i="58"/>
  <c r="H95" i="58"/>
  <c r="E62" i="391"/>
  <c r="E70" i="391" s="1"/>
  <c r="H62" i="233"/>
  <c r="E11" i="242"/>
  <c r="H11" i="242" s="1"/>
  <c r="H58" i="240"/>
  <c r="H59" i="373"/>
  <c r="D53" i="385"/>
  <c r="H53" i="385" s="1"/>
  <c r="H59" i="385"/>
  <c r="H53" i="234"/>
  <c r="H20" i="241"/>
  <c r="E34" i="364"/>
  <c r="H34" i="364" s="1"/>
  <c r="H33" i="240"/>
  <c r="H21" i="369"/>
  <c r="H115" i="239"/>
  <c r="H59" i="375"/>
  <c r="E38" i="365"/>
  <c r="H37" i="241"/>
  <c r="E13" i="242"/>
  <c r="E44" i="368"/>
  <c r="H13" i="375"/>
  <c r="E14" i="365"/>
  <c r="H14" i="369"/>
  <c r="E102" i="239"/>
  <c r="H8" i="37"/>
  <c r="E65" i="238"/>
  <c r="E31" i="241" s="1"/>
  <c r="P9" i="243" s="1"/>
  <c r="H65" i="237"/>
  <c r="H65" i="379"/>
  <c r="H63" i="373"/>
  <c r="H65" i="382"/>
  <c r="H63" i="378"/>
  <c r="E62" i="375"/>
  <c r="E61" i="375" s="1"/>
  <c r="H62" i="388"/>
  <c r="E70" i="388"/>
  <c r="E47" i="232"/>
  <c r="P7" i="242"/>
  <c r="S7" i="242" s="1"/>
  <c r="H11" i="241"/>
  <c r="H63" i="379"/>
  <c r="H94" i="239"/>
  <c r="H90" i="239" s="1"/>
  <c r="E14" i="241"/>
  <c r="H14" i="241" s="1"/>
  <c r="E8" i="242"/>
  <c r="H8" i="242" s="1"/>
  <c r="H18" i="240"/>
  <c r="E70" i="389"/>
  <c r="H70" i="389" s="1"/>
  <c r="H62" i="389"/>
  <c r="E68" i="239"/>
  <c r="H68" i="239" s="1"/>
  <c r="D15" i="241"/>
  <c r="H15" i="241" s="1"/>
  <c r="D92" i="370"/>
  <c r="H92" i="370" s="1"/>
  <c r="K62" i="238"/>
  <c r="K70" i="238" s="1"/>
  <c r="D7" i="243"/>
  <c r="F29" i="241"/>
  <c r="Q7" i="243" s="1"/>
  <c r="F62" i="238"/>
  <c r="G62" i="238"/>
  <c r="G70" i="238" s="1"/>
  <c r="J62" i="238"/>
  <c r="D21" i="242"/>
  <c r="H21" i="242" s="1"/>
  <c r="D77" i="364"/>
  <c r="C62" i="391"/>
  <c r="C70" i="391" s="1"/>
  <c r="D35" i="241"/>
  <c r="D36" i="365" s="1"/>
  <c r="D112" i="370"/>
  <c r="D62" i="385"/>
  <c r="C97" i="37"/>
  <c r="D62" i="379"/>
  <c r="D70" i="379" s="1"/>
  <c r="D62" i="391"/>
  <c r="D70" i="391" s="1"/>
  <c r="D47" i="235"/>
  <c r="D70" i="388"/>
  <c r="D47" i="236"/>
  <c r="D47" i="379" s="1"/>
  <c r="L62" i="391"/>
  <c r="L70" i="391" s="1"/>
  <c r="D62" i="237"/>
  <c r="D47" i="237" s="1"/>
  <c r="D47" i="233"/>
  <c r="H63" i="238"/>
  <c r="D59" i="378"/>
  <c r="D53" i="378" s="1"/>
  <c r="D17" i="369"/>
  <c r="D11" i="369" s="1"/>
  <c r="H11" i="369" s="1"/>
  <c r="D91" i="370"/>
  <c r="D99" i="370"/>
  <c r="D93" i="370" s="1"/>
  <c r="D47" i="234"/>
  <c r="D85" i="239"/>
  <c r="C62" i="232"/>
  <c r="I70" i="383"/>
  <c r="I46" i="383" s="1"/>
  <c r="I43" i="383" s="1"/>
  <c r="C72" i="37"/>
  <c r="C60" i="378" s="1"/>
  <c r="C59" i="375" s="1"/>
  <c r="C58" i="375" s="1"/>
  <c r="C52" i="375" s="1"/>
  <c r="L65" i="378"/>
  <c r="L64" i="375" s="1"/>
  <c r="L32" i="369" s="1"/>
  <c r="C62" i="378"/>
  <c r="C47" i="237"/>
  <c r="C47" i="378" s="1"/>
  <c r="C47" i="375" s="1"/>
  <c r="C127" i="372" s="1"/>
  <c r="C50" i="369" s="1"/>
  <c r="F15" i="365"/>
  <c r="J32" i="373"/>
  <c r="K32" i="373"/>
  <c r="D22" i="375"/>
  <c r="D42" i="375" s="1"/>
  <c r="D51" i="364"/>
  <c r="J42" i="364"/>
  <c r="J41" i="364" s="1"/>
  <c r="C63" i="238"/>
  <c r="C19" i="365"/>
  <c r="C46" i="380"/>
  <c r="C54" i="364"/>
  <c r="G32" i="365"/>
  <c r="G36" i="365"/>
  <c r="G34" i="365" s="1"/>
  <c r="K28" i="373"/>
  <c r="C20" i="242"/>
  <c r="J22" i="373"/>
  <c r="G42" i="364"/>
  <c r="G41" i="364" s="1"/>
  <c r="C77" i="364"/>
  <c r="C44" i="364"/>
  <c r="K38" i="373"/>
  <c r="C50" i="368"/>
  <c r="C41" i="368" s="1"/>
  <c r="C47" i="236"/>
  <c r="C47" i="379" s="1"/>
  <c r="F32" i="373"/>
  <c r="C22" i="365"/>
  <c r="C78" i="364"/>
  <c r="C10" i="375"/>
  <c r="G12" i="365"/>
  <c r="E63" i="368"/>
  <c r="J16" i="365"/>
  <c r="D14" i="365"/>
  <c r="C60" i="388"/>
  <c r="K42" i="364"/>
  <c r="K41" i="364" s="1"/>
  <c r="D49" i="364"/>
  <c r="C112" i="370"/>
  <c r="E38" i="375"/>
  <c r="H38" i="375" s="1"/>
  <c r="D62" i="364"/>
  <c r="L30" i="370"/>
  <c r="L66" i="370" s="1"/>
  <c r="L83" i="370" s="1"/>
  <c r="C46" i="383"/>
  <c r="C66" i="373"/>
  <c r="C51" i="364"/>
  <c r="E26" i="242"/>
  <c r="F36" i="365"/>
  <c r="F34" i="365" s="1"/>
  <c r="G62" i="240"/>
  <c r="G10" i="243" s="1"/>
  <c r="E46" i="380"/>
  <c r="D63" i="364"/>
  <c r="E54" i="364"/>
  <c r="I28" i="375"/>
  <c r="C65" i="368"/>
  <c r="C63" i="368" s="1"/>
  <c r="D48" i="364"/>
  <c r="E28" i="373"/>
  <c r="C61" i="364"/>
  <c r="C59" i="364" s="1"/>
  <c r="C47" i="364"/>
  <c r="K16" i="365"/>
  <c r="I25" i="368"/>
  <c r="J28" i="373"/>
  <c r="D15" i="365"/>
  <c r="K62" i="240"/>
  <c r="K10" i="243" s="1"/>
  <c r="K18" i="243" s="1"/>
  <c r="I63" i="368"/>
  <c r="G28" i="373"/>
  <c r="J52" i="375"/>
  <c r="L77" i="364"/>
  <c r="C30" i="364"/>
  <c r="I28" i="373"/>
  <c r="I38" i="373"/>
  <c r="C59" i="233"/>
  <c r="K22" i="373"/>
  <c r="I10" i="373"/>
  <c r="D55" i="364"/>
  <c r="C32" i="373"/>
  <c r="E36" i="365"/>
  <c r="F28" i="373"/>
  <c r="F10" i="373"/>
  <c r="I22" i="373"/>
  <c r="C35" i="241"/>
  <c r="C33" i="241" s="1"/>
  <c r="I32" i="373"/>
  <c r="J10" i="373"/>
  <c r="D47" i="364"/>
  <c r="C42" i="364"/>
  <c r="C32" i="364"/>
  <c r="C49" i="364"/>
  <c r="C45" i="364"/>
  <c r="D58" i="365"/>
  <c r="C61" i="375"/>
  <c r="K10" i="373"/>
  <c r="D44" i="364"/>
  <c r="G11" i="368"/>
  <c r="K12" i="365"/>
  <c r="J54" i="364"/>
  <c r="J53" i="364" s="1"/>
  <c r="J32" i="365"/>
  <c r="G16" i="365"/>
  <c r="C65" i="238"/>
  <c r="I52" i="375"/>
  <c r="E28" i="375"/>
  <c r="H28" i="375" s="1"/>
  <c r="F22" i="373"/>
  <c r="D57" i="365"/>
  <c r="G54" i="364"/>
  <c r="G53" i="364" s="1"/>
  <c r="F42" i="364"/>
  <c r="F41" i="364" s="1"/>
  <c r="D23" i="364"/>
  <c r="K11" i="368"/>
  <c r="E10" i="373"/>
  <c r="E65" i="378"/>
  <c r="E23" i="369" s="1"/>
  <c r="H23" i="369" s="1"/>
  <c r="C38" i="365"/>
  <c r="F16" i="365"/>
  <c r="E25" i="368"/>
  <c r="F25" i="364"/>
  <c r="E38" i="373"/>
  <c r="E22" i="373"/>
  <c r="G38" i="373"/>
  <c r="G32" i="373"/>
  <c r="K32" i="365"/>
  <c r="F32" i="365"/>
  <c r="C47" i="233"/>
  <c r="I31" i="364"/>
  <c r="F47" i="374"/>
  <c r="F127" i="371" s="1"/>
  <c r="F50" i="367" s="1"/>
  <c r="C77" i="366"/>
  <c r="G15" i="365"/>
  <c r="J38" i="373"/>
  <c r="E32" i="373"/>
  <c r="G22" i="373"/>
  <c r="G10" i="373"/>
  <c r="F38" i="373"/>
  <c r="C68" i="239"/>
  <c r="C85" i="239" s="1"/>
  <c r="D46" i="364"/>
  <c r="C47" i="385"/>
  <c r="E46" i="383"/>
  <c r="F52" i="375"/>
  <c r="K38" i="375"/>
  <c r="C25" i="368"/>
  <c r="C30" i="370"/>
  <c r="H48" i="390"/>
  <c r="J31" i="364"/>
  <c r="I31" i="241"/>
  <c r="I32" i="365" s="1"/>
  <c r="C43" i="364"/>
  <c r="G52" i="375"/>
  <c r="D52" i="364"/>
  <c r="K31" i="364"/>
  <c r="F62" i="240"/>
  <c r="F10" i="243" s="1"/>
  <c r="K25" i="368"/>
  <c r="I42" i="364"/>
  <c r="C46" i="364"/>
  <c r="C66" i="364"/>
  <c r="D21" i="364"/>
  <c r="G25" i="364"/>
  <c r="C13" i="367"/>
  <c r="D38" i="365"/>
  <c r="K52" i="375"/>
  <c r="C30" i="367"/>
  <c r="C58" i="367"/>
  <c r="H72" i="374"/>
  <c r="C28" i="373"/>
  <c r="C40" i="365"/>
  <c r="C40" i="364"/>
  <c r="C16" i="367"/>
  <c r="I38" i="375"/>
  <c r="K11" i="369"/>
  <c r="C66" i="366"/>
  <c r="C38" i="374"/>
  <c r="D75" i="240"/>
  <c r="D82" i="240" s="1"/>
  <c r="E27" i="364"/>
  <c r="J19" i="364"/>
  <c r="J7" i="242"/>
  <c r="K27" i="365"/>
  <c r="K25" i="241"/>
  <c r="J30" i="369"/>
  <c r="J29" i="369" s="1"/>
  <c r="J61" i="375"/>
  <c r="I13" i="365"/>
  <c r="J11" i="369"/>
  <c r="G63" i="368"/>
  <c r="K28" i="375"/>
  <c r="C28" i="375"/>
  <c r="D10" i="373"/>
  <c r="C24" i="367"/>
  <c r="I19" i="364"/>
  <c r="I11" i="364" s="1"/>
  <c r="I10" i="240"/>
  <c r="I7" i="242" s="1"/>
  <c r="I16" i="365"/>
  <c r="E12" i="365"/>
  <c r="H12" i="365" s="1"/>
  <c r="F38" i="375"/>
  <c r="C32" i="375"/>
  <c r="F25" i="368"/>
  <c r="F20" i="364"/>
  <c r="F11" i="368"/>
  <c r="C54" i="366"/>
  <c r="C67" i="371"/>
  <c r="J12" i="365"/>
  <c r="H72" i="373"/>
  <c r="G20" i="364"/>
  <c r="C32" i="367"/>
  <c r="D30" i="369"/>
  <c r="D30" i="365" s="1"/>
  <c r="G30" i="369"/>
  <c r="G29" i="369" s="1"/>
  <c r="G61" i="375"/>
  <c r="D11" i="368"/>
  <c r="K19" i="364"/>
  <c r="K11" i="364" s="1"/>
  <c r="K10" i="240"/>
  <c r="K7" i="242" s="1"/>
  <c r="I27" i="365"/>
  <c r="I25" i="241"/>
  <c r="C32" i="366"/>
  <c r="F63" i="368"/>
  <c r="C53" i="368"/>
  <c r="J28" i="375"/>
  <c r="D38" i="373"/>
  <c r="D28" i="373"/>
  <c r="C24" i="366"/>
  <c r="C29" i="369"/>
  <c r="D66" i="370"/>
  <c r="G10" i="240"/>
  <c r="G19" i="364"/>
  <c r="D41" i="368"/>
  <c r="F10" i="240"/>
  <c r="F19" i="364"/>
  <c r="C82" i="370"/>
  <c r="C14" i="367"/>
  <c r="C20" i="366"/>
  <c r="C57" i="367"/>
  <c r="C20" i="368"/>
  <c r="C11" i="368" s="1"/>
  <c r="C22" i="375"/>
  <c r="C82" i="240"/>
  <c r="C55" i="364"/>
  <c r="D31" i="364"/>
  <c r="L48" i="364"/>
  <c r="I48" i="364"/>
  <c r="G46" i="235"/>
  <c r="C38" i="373"/>
  <c r="C36" i="367"/>
  <c r="C66" i="374"/>
  <c r="C23" i="367"/>
  <c r="C31" i="367"/>
  <c r="C22" i="373"/>
  <c r="C24" i="364"/>
  <c r="D45" i="364"/>
  <c r="C52" i="364"/>
  <c r="G11" i="369"/>
  <c r="C30" i="366"/>
  <c r="C22" i="374"/>
  <c r="C67" i="372"/>
  <c r="C31" i="368"/>
  <c r="C60" i="366"/>
  <c r="K54" i="364"/>
  <c r="K53" i="364" s="1"/>
  <c r="J27" i="365"/>
  <c r="J26" i="365"/>
  <c r="E19" i="364"/>
  <c r="E10" i="240"/>
  <c r="C44" i="365"/>
  <c r="F30" i="369"/>
  <c r="F29" i="369" s="1"/>
  <c r="F61" i="375"/>
  <c r="F11" i="369"/>
  <c r="K63" i="368"/>
  <c r="D53" i="368"/>
  <c r="G28" i="375"/>
  <c r="D56" i="364"/>
  <c r="C72" i="364"/>
  <c r="I27" i="364"/>
  <c r="I25" i="364" s="1"/>
  <c r="C64" i="364"/>
  <c r="E31" i="364"/>
  <c r="H31" i="364" s="1"/>
  <c r="E16" i="365"/>
  <c r="I12" i="365"/>
  <c r="I11" i="369"/>
  <c r="J38" i="375"/>
  <c r="D59" i="368"/>
  <c r="D29" i="368"/>
  <c r="D25" i="368" s="1"/>
  <c r="J27" i="364"/>
  <c r="J25" i="364" s="1"/>
  <c r="J25" i="368"/>
  <c r="J20" i="364"/>
  <c r="J11" i="368"/>
  <c r="C42" i="366"/>
  <c r="D50" i="364"/>
  <c r="D59" i="364"/>
  <c r="C10" i="240"/>
  <c r="C33" i="365"/>
  <c r="K27" i="364"/>
  <c r="K25" i="364" s="1"/>
  <c r="K47" i="374"/>
  <c r="K127" i="371" s="1"/>
  <c r="K50" i="367" s="1"/>
  <c r="L31" i="365"/>
  <c r="D31" i="365"/>
  <c r="H31" i="365" s="1"/>
  <c r="D33" i="365"/>
  <c r="H33" i="365" s="1"/>
  <c r="C58" i="374"/>
  <c r="G31" i="364"/>
  <c r="C15" i="367"/>
  <c r="V9" i="242"/>
  <c r="K15" i="365"/>
  <c r="C10" i="373"/>
  <c r="C48" i="364"/>
  <c r="C100" i="370"/>
  <c r="I11" i="368"/>
  <c r="K30" i="369"/>
  <c r="K29" i="369" s="1"/>
  <c r="K61" i="375"/>
  <c r="D34" i="369"/>
  <c r="H34" i="369" s="1"/>
  <c r="D61" i="375"/>
  <c r="D32" i="369"/>
  <c r="H32" i="369" s="1"/>
  <c r="D76" i="368"/>
  <c r="G38" i="375"/>
  <c r="G25" i="368"/>
  <c r="F54" i="364"/>
  <c r="F53" i="364" s="1"/>
  <c r="D27" i="364"/>
  <c r="D19" i="364"/>
  <c r="I30" i="369"/>
  <c r="I29" i="369" s="1"/>
  <c r="I61" i="375"/>
  <c r="D65" i="368"/>
  <c r="J63" i="368"/>
  <c r="F28" i="375"/>
  <c r="D32" i="373"/>
  <c r="D22" i="373"/>
  <c r="I54" i="364"/>
  <c r="I53" i="364" s="1"/>
  <c r="F31" i="364"/>
  <c r="D20" i="364"/>
  <c r="C28" i="374"/>
  <c r="C52" i="370"/>
  <c r="C26" i="365"/>
  <c r="C108" i="239"/>
  <c r="L108" i="370"/>
  <c r="K47" i="235"/>
  <c r="K47" i="382" s="1"/>
  <c r="K74" i="37"/>
  <c r="J36" i="365"/>
  <c r="J112" i="370"/>
  <c r="J110" i="370" s="1"/>
  <c r="J105" i="370" s="1"/>
  <c r="J97" i="370"/>
  <c r="D60" i="373"/>
  <c r="D58" i="373" s="1"/>
  <c r="F21" i="365"/>
  <c r="D96" i="239"/>
  <c r="D58" i="375"/>
  <c r="E21" i="365"/>
  <c r="D21" i="365"/>
  <c r="K21" i="365"/>
  <c r="K17" i="365" s="1"/>
  <c r="K97" i="370"/>
  <c r="G96" i="239"/>
  <c r="G21" i="365"/>
  <c r="I97" i="370"/>
  <c r="F115" i="370"/>
  <c r="G93" i="370"/>
  <c r="G87" i="370" s="1"/>
  <c r="G115" i="370" s="1"/>
  <c r="E62" i="237"/>
  <c r="I105" i="370"/>
  <c r="E62" i="376"/>
  <c r="D65" i="378"/>
  <c r="D62" i="378" s="1"/>
  <c r="K47" i="385"/>
  <c r="I14" i="241"/>
  <c r="I15" i="365" s="1"/>
  <c r="J62" i="382"/>
  <c r="J70" i="382" s="1"/>
  <c r="G68" i="37"/>
  <c r="K19" i="243"/>
  <c r="K28" i="243" s="1"/>
  <c r="K70" i="386"/>
  <c r="K46" i="386" s="1"/>
  <c r="K43" i="386" s="1"/>
  <c r="K48" i="386" s="1"/>
  <c r="J70" i="237"/>
  <c r="J43" i="237" s="1"/>
  <c r="J48" i="237" s="1"/>
  <c r="C37" i="364"/>
  <c r="I70" i="379"/>
  <c r="O24" i="242"/>
  <c r="C18" i="364"/>
  <c r="C12" i="365"/>
  <c r="C56" i="364"/>
  <c r="C34" i="364"/>
  <c r="N9" i="242"/>
  <c r="H42" i="390"/>
  <c r="E62" i="240"/>
  <c r="I42" i="391"/>
  <c r="K85" i="239"/>
  <c r="D46" i="389"/>
  <c r="D68" i="37"/>
  <c r="D99" i="37" s="1"/>
  <c r="L83" i="368"/>
  <c r="C40" i="240"/>
  <c r="C13" i="242" s="1"/>
  <c r="I46" i="380"/>
  <c r="L42" i="382"/>
  <c r="L48" i="382" s="1"/>
  <c r="J19" i="243"/>
  <c r="F47" i="388"/>
  <c r="G40" i="240"/>
  <c r="G13" i="242" s="1"/>
  <c r="C79" i="364"/>
  <c r="F70" i="389"/>
  <c r="F46" i="389" s="1"/>
  <c r="F43" i="389" s="1"/>
  <c r="F48" i="389" s="1"/>
  <c r="C47" i="235"/>
  <c r="C47" i="382" s="1"/>
  <c r="G42" i="385"/>
  <c r="L64" i="364"/>
  <c r="G85" i="239"/>
  <c r="K42" i="379"/>
  <c r="L84" i="371"/>
  <c r="D65" i="238"/>
  <c r="D62" i="238" s="1"/>
  <c r="K35" i="241"/>
  <c r="K36" i="365" s="1"/>
  <c r="K34" i="365" s="1"/>
  <c r="I70" i="385"/>
  <c r="P24" i="242"/>
  <c r="G26" i="242"/>
  <c r="L46" i="380"/>
  <c r="L43" i="380" s="1"/>
  <c r="L48" i="380" s="1"/>
  <c r="G70" i="385"/>
  <c r="J46" i="383"/>
  <c r="J43" i="383" s="1"/>
  <c r="J48" i="383" s="1"/>
  <c r="C12" i="408"/>
  <c r="C15" i="408" s="1"/>
  <c r="H53" i="390"/>
  <c r="D70" i="235"/>
  <c r="K97" i="37"/>
  <c r="I70" i="386"/>
  <c r="I46" i="386" s="1"/>
  <c r="I43" i="386" s="1"/>
  <c r="I48" i="386" s="1"/>
  <c r="L46" i="392"/>
  <c r="L43" i="392" s="1"/>
  <c r="L48" i="392" s="1"/>
  <c r="L97" i="370"/>
  <c r="L25" i="364"/>
  <c r="F62" i="382"/>
  <c r="F70" i="382" s="1"/>
  <c r="C83" i="368"/>
  <c r="K70" i="383"/>
  <c r="K46" i="383" s="1"/>
  <c r="I35" i="241"/>
  <c r="I36" i="365" s="1"/>
  <c r="I34" i="365" s="1"/>
  <c r="K70" i="385"/>
  <c r="E68" i="37"/>
  <c r="E99" i="37" s="1"/>
  <c r="I20" i="241"/>
  <c r="J113" i="239"/>
  <c r="J108" i="239" s="1"/>
  <c r="R9" i="242"/>
  <c r="C42" i="379"/>
  <c r="L84" i="372"/>
  <c r="K46" i="235"/>
  <c r="I113" i="239"/>
  <c r="I108" i="239" s="1"/>
  <c r="G46" i="380"/>
  <c r="G61" i="388"/>
  <c r="G60" i="373" s="1"/>
  <c r="G58" i="373" s="1"/>
  <c r="G52" i="373" s="1"/>
  <c r="L58" i="373"/>
  <c r="L112" i="370"/>
  <c r="K113" i="239"/>
  <c r="C62" i="388"/>
  <c r="J70" i="233"/>
  <c r="E42" i="379"/>
  <c r="D42" i="388"/>
  <c r="J42" i="379"/>
  <c r="L70" i="383"/>
  <c r="L46" i="383" s="1"/>
  <c r="L61" i="374"/>
  <c r="I70" i="382"/>
  <c r="L70" i="385"/>
  <c r="D22" i="241"/>
  <c r="L47" i="374"/>
  <c r="L127" i="371" s="1"/>
  <c r="L50" i="367" s="1"/>
  <c r="C42" i="382"/>
  <c r="E42" i="385"/>
  <c r="O8" i="242"/>
  <c r="S8" i="242" s="1"/>
  <c r="C42" i="238"/>
  <c r="G70" i="391"/>
  <c r="U10" i="242"/>
  <c r="L14" i="365"/>
  <c r="E52" i="240"/>
  <c r="C42" i="388"/>
  <c r="J70" i="235"/>
  <c r="L70" i="235" s="1"/>
  <c r="F70" i="383"/>
  <c r="F46" i="383" s="1"/>
  <c r="V20" i="242"/>
  <c r="P10" i="242"/>
  <c r="G42" i="379"/>
  <c r="E53" i="378"/>
  <c r="R20" i="242"/>
  <c r="L42" i="374"/>
  <c r="F85" i="239"/>
  <c r="L11" i="367"/>
  <c r="L39" i="367" s="1"/>
  <c r="L62" i="388"/>
  <c r="L61" i="388" s="1"/>
  <c r="L69" i="388" s="1"/>
  <c r="L70" i="379"/>
  <c r="F46" i="380"/>
  <c r="I63" i="238"/>
  <c r="I62" i="238" s="1"/>
  <c r="K70" i="389"/>
  <c r="K46" i="389" s="1"/>
  <c r="K43" i="389" s="1"/>
  <c r="K48" i="389" s="1"/>
  <c r="J104" i="239"/>
  <c r="J103" i="239" s="1"/>
  <c r="C42" i="385"/>
  <c r="H42" i="391"/>
  <c r="J46" i="380"/>
  <c r="J43" i="380" s="1"/>
  <c r="I42" i="388"/>
  <c r="L46" i="389"/>
  <c r="L43" i="389" s="1"/>
  <c r="L48" i="389" s="1"/>
  <c r="L42" i="388"/>
  <c r="L48" i="388" s="1"/>
  <c r="J70" i="379"/>
  <c r="J42" i="388"/>
  <c r="G42" i="391"/>
  <c r="I104" i="239"/>
  <c r="O10" i="243"/>
  <c r="S10" i="243" s="1"/>
  <c r="E42" i="391"/>
  <c r="G42" i="382"/>
  <c r="Q10" i="242"/>
  <c r="F47" i="385"/>
  <c r="G47" i="389"/>
  <c r="G47" i="374" s="1"/>
  <c r="G127" i="371" s="1"/>
  <c r="G50" i="367" s="1"/>
  <c r="K42" i="391"/>
  <c r="K42" i="388"/>
  <c r="I42" i="385"/>
  <c r="G42" i="238"/>
  <c r="L34" i="364"/>
  <c r="G47" i="379"/>
  <c r="K42" i="385"/>
  <c r="D42" i="391"/>
  <c r="J46" i="389"/>
  <c r="J43" i="389" s="1"/>
  <c r="J48" i="389" s="1"/>
  <c r="I42" i="379"/>
  <c r="F42" i="388"/>
  <c r="G70" i="386"/>
  <c r="G46" i="386" s="1"/>
  <c r="G43" i="386" s="1"/>
  <c r="D42" i="382"/>
  <c r="C70" i="386"/>
  <c r="L68" i="366"/>
  <c r="L84" i="366"/>
  <c r="C70" i="385"/>
  <c r="L27" i="365"/>
  <c r="G70" i="379"/>
  <c r="L42" i="385"/>
  <c r="D114" i="58"/>
  <c r="D115" i="58" s="1"/>
  <c r="G47" i="385"/>
  <c r="D53" i="237"/>
  <c r="H53" i="237" s="1"/>
  <c r="L33" i="365"/>
  <c r="C26" i="242"/>
  <c r="D42" i="379"/>
  <c r="L102" i="370"/>
  <c r="C70" i="235"/>
  <c r="K42" i="238"/>
  <c r="G53" i="382"/>
  <c r="F70" i="235"/>
  <c r="F46" i="235" s="1"/>
  <c r="F43" i="235" s="1"/>
  <c r="F48" i="235" s="1"/>
  <c r="G47" i="235"/>
  <c r="G47" i="382" s="1"/>
  <c r="I62" i="233"/>
  <c r="I70" i="233" s="1"/>
  <c r="I46" i="233" s="1"/>
  <c r="E59" i="238"/>
  <c r="E53" i="238" s="1"/>
  <c r="B66" i="394"/>
  <c r="E63" i="385"/>
  <c r="E62" i="234"/>
  <c r="F53" i="391"/>
  <c r="I70" i="235"/>
  <c r="I46" i="235" s="1"/>
  <c r="I47" i="235"/>
  <c r="G22" i="241"/>
  <c r="G23" i="365" s="1"/>
  <c r="C47" i="374"/>
  <c r="C127" i="371" s="1"/>
  <c r="C50" i="367" s="1"/>
  <c r="D59" i="238"/>
  <c r="D53" i="238" s="1"/>
  <c r="C70" i="389"/>
  <c r="C46" i="389" s="1"/>
  <c r="L67" i="368"/>
  <c r="E30" i="240"/>
  <c r="C62" i="379"/>
  <c r="C70" i="379" s="1"/>
  <c r="D47" i="386"/>
  <c r="D70" i="386"/>
  <c r="H70" i="386" s="1"/>
  <c r="I70" i="237"/>
  <c r="I46" i="237" s="1"/>
  <c r="I46" i="378" s="1"/>
  <c r="I46" i="375" s="1"/>
  <c r="I47" i="237"/>
  <c r="I42" i="238"/>
  <c r="F26" i="242"/>
  <c r="K53" i="382"/>
  <c r="K70" i="382" s="1"/>
  <c r="J70" i="232"/>
  <c r="J43" i="232" s="1"/>
  <c r="F42" i="379"/>
  <c r="C42" i="391"/>
  <c r="J42" i="382"/>
  <c r="J61" i="388"/>
  <c r="K70" i="236"/>
  <c r="K46" i="236" s="1"/>
  <c r="K43" i="236" s="1"/>
  <c r="K48" i="236" s="1"/>
  <c r="C68" i="364"/>
  <c r="K40" i="240"/>
  <c r="K13" i="242" s="1"/>
  <c r="D46" i="380"/>
  <c r="E42" i="238"/>
  <c r="K42" i="382"/>
  <c r="J62" i="385"/>
  <c r="J70" i="385" s="1"/>
  <c r="I42" i="382"/>
  <c r="E42" i="382"/>
  <c r="F42" i="382"/>
  <c r="K70" i="234"/>
  <c r="K46" i="234" s="1"/>
  <c r="C23" i="243"/>
  <c r="C28" i="243" s="1"/>
  <c r="F70" i="232"/>
  <c r="F70" i="233"/>
  <c r="F46" i="233" s="1"/>
  <c r="L46" i="233" s="1"/>
  <c r="L18" i="364"/>
  <c r="L11" i="364" s="1"/>
  <c r="I19" i="243"/>
  <c r="E42" i="388"/>
  <c r="H42" i="388" s="1"/>
  <c r="E33" i="241"/>
  <c r="G42" i="388"/>
  <c r="L46" i="386"/>
  <c r="L43" i="386" s="1"/>
  <c r="L48" i="386" s="1"/>
  <c r="K114" i="58"/>
  <c r="K115" i="58" s="1"/>
  <c r="G114" i="58"/>
  <c r="G115" i="58" s="1"/>
  <c r="G62" i="382"/>
  <c r="J42" i="238"/>
  <c r="E63" i="238"/>
  <c r="F42" i="385"/>
  <c r="P20" i="242"/>
  <c r="F70" i="386"/>
  <c r="F46" i="386" s="1"/>
  <c r="F43" i="386" s="1"/>
  <c r="F48" i="386" s="1"/>
  <c r="C62" i="382"/>
  <c r="C70" i="382" s="1"/>
  <c r="D70" i="390"/>
  <c r="H70" i="390" s="1"/>
  <c r="E108" i="239"/>
  <c r="G62" i="237"/>
  <c r="G63" i="378"/>
  <c r="G62" i="378" s="1"/>
  <c r="I53" i="238"/>
  <c r="F70" i="234"/>
  <c r="F46" i="234" s="1"/>
  <c r="L46" i="234" s="1"/>
  <c r="N20" i="242"/>
  <c r="C38" i="58"/>
  <c r="C106" i="370"/>
  <c r="C48" i="392"/>
  <c r="I64" i="240"/>
  <c r="I65" i="364" s="1"/>
  <c r="I63" i="364" s="1"/>
  <c r="C30" i="240"/>
  <c r="C10" i="242" s="1"/>
  <c r="O9" i="242"/>
  <c r="I53" i="391"/>
  <c r="I70" i="391" s="1"/>
  <c r="F61" i="388"/>
  <c r="F60" i="373" s="1"/>
  <c r="F58" i="373" s="1"/>
  <c r="F52" i="373" s="1"/>
  <c r="D62" i="382"/>
  <c r="D70" i="382" s="1"/>
  <c r="E70" i="232"/>
  <c r="E46" i="232" s="1"/>
  <c r="D70" i="233"/>
  <c r="Q20" i="242"/>
  <c r="C43" i="383"/>
  <c r="C48" i="383" s="1"/>
  <c r="L37" i="364"/>
  <c r="L49" i="364"/>
  <c r="E47" i="233"/>
  <c r="H47" i="233" s="1"/>
  <c r="E70" i="233"/>
  <c r="J42" i="391"/>
  <c r="C114" i="58"/>
  <c r="J70" i="391"/>
  <c r="D42" i="385"/>
  <c r="K70" i="379"/>
  <c r="L42" i="391"/>
  <c r="E114" i="58"/>
  <c r="J70" i="234"/>
  <c r="G62" i="376"/>
  <c r="C52" i="240"/>
  <c r="C9" i="243" s="1"/>
  <c r="J10" i="242"/>
  <c r="L52" i="364"/>
  <c r="I40" i="240"/>
  <c r="I13" i="242" s="1"/>
  <c r="F62" i="385"/>
  <c r="F70" i="385" s="1"/>
  <c r="D26" i="242"/>
  <c r="G70" i="233"/>
  <c r="G46" i="233" s="1"/>
  <c r="G70" i="236"/>
  <c r="G46" i="236" s="1"/>
  <c r="K26" i="242"/>
  <c r="U20" i="242"/>
  <c r="D23" i="243"/>
  <c r="E46" i="386"/>
  <c r="G46" i="383"/>
  <c r="J47" i="386"/>
  <c r="J47" i="374" s="1"/>
  <c r="J127" i="371" s="1"/>
  <c r="J50" i="367" s="1"/>
  <c r="J70" i="386"/>
  <c r="J46" i="386" s="1"/>
  <c r="K104" i="239"/>
  <c r="J26" i="242"/>
  <c r="O8" i="243"/>
  <c r="S8" i="243" s="1"/>
  <c r="F99" i="37"/>
  <c r="H42" i="238"/>
  <c r="E63" i="382"/>
  <c r="E62" i="235"/>
  <c r="H62" i="235" s="1"/>
  <c r="K29" i="241"/>
  <c r="E20" i="242"/>
  <c r="K62" i="378"/>
  <c r="L54" i="375"/>
  <c r="L13" i="369"/>
  <c r="I62" i="376"/>
  <c r="R9" i="243"/>
  <c r="R7" i="242"/>
  <c r="L55" i="364"/>
  <c r="D52" i="240"/>
  <c r="L51" i="364"/>
  <c r="L43" i="364"/>
  <c r="D40" i="240"/>
  <c r="D13" i="242" s="1"/>
  <c r="J21" i="242"/>
  <c r="F62" i="376"/>
  <c r="F70" i="376" s="1"/>
  <c r="I61" i="388"/>
  <c r="I70" i="234"/>
  <c r="I47" i="234"/>
  <c r="K47" i="379"/>
  <c r="N24" i="242"/>
  <c r="R10" i="242"/>
  <c r="I8" i="242"/>
  <c r="F70" i="237"/>
  <c r="O20" i="242"/>
  <c r="I20" i="242"/>
  <c r="K30" i="240"/>
  <c r="K10" i="242" s="1"/>
  <c r="F47" i="382"/>
  <c r="V24" i="242"/>
  <c r="K47" i="378"/>
  <c r="K47" i="375" s="1"/>
  <c r="K127" i="372" s="1"/>
  <c r="K50" i="369" s="1"/>
  <c r="I47" i="232"/>
  <c r="J62" i="376"/>
  <c r="F47" i="378"/>
  <c r="F47" i="375" s="1"/>
  <c r="F127" i="372" s="1"/>
  <c r="F50" i="369" s="1"/>
  <c r="F47" i="238"/>
  <c r="K20" i="242"/>
  <c r="K62" i="376"/>
  <c r="K70" i="376" s="1"/>
  <c r="L53" i="376"/>
  <c r="L54" i="373"/>
  <c r="I47" i="236"/>
  <c r="I70" i="236"/>
  <c r="D70" i="236"/>
  <c r="D46" i="236" s="1"/>
  <c r="I62" i="378"/>
  <c r="L56" i="375"/>
  <c r="L15" i="369"/>
  <c r="U24" i="242"/>
  <c r="F62" i="378"/>
  <c r="L55" i="375"/>
  <c r="L14" i="369"/>
  <c r="G47" i="232"/>
  <c r="G47" i="391" s="1"/>
  <c r="G70" i="232"/>
  <c r="G46" i="232" s="1"/>
  <c r="V10" i="242"/>
  <c r="G30" i="240"/>
  <c r="G10" i="242" s="1"/>
  <c r="I7" i="243"/>
  <c r="R24" i="242"/>
  <c r="E47" i="389"/>
  <c r="J62" i="378"/>
  <c r="D47" i="383"/>
  <c r="G42" i="378"/>
  <c r="J42" i="378"/>
  <c r="F42" i="391"/>
  <c r="I47" i="389"/>
  <c r="I47" i="374" s="1"/>
  <c r="I127" i="371" s="1"/>
  <c r="I50" i="367" s="1"/>
  <c r="G46" i="389"/>
  <c r="D70" i="383"/>
  <c r="H70" i="383" s="1"/>
  <c r="C42" i="378"/>
  <c r="F42" i="378"/>
  <c r="E42" i="378"/>
  <c r="L66" i="373"/>
  <c r="L67" i="378"/>
  <c r="L66" i="375" s="1"/>
  <c r="L61" i="378"/>
  <c r="L60" i="375" s="1"/>
  <c r="L60" i="373"/>
  <c r="L57" i="375"/>
  <c r="L16" i="369"/>
  <c r="I26" i="242"/>
  <c r="G20" i="242"/>
  <c r="O7" i="243"/>
  <c r="D70" i="234"/>
  <c r="E47" i="236"/>
  <c r="H47" i="236" s="1"/>
  <c r="E70" i="236"/>
  <c r="Q24" i="242"/>
  <c r="F21" i="242"/>
  <c r="F20" i="242" s="1"/>
  <c r="F29" i="242" s="1"/>
  <c r="L47" i="364"/>
  <c r="U9" i="243"/>
  <c r="W9" i="243" s="1"/>
  <c r="L42" i="373"/>
  <c r="L40" i="365"/>
  <c r="D42" i="238"/>
  <c r="F33" i="241"/>
  <c r="Q9" i="242"/>
  <c r="F30" i="240"/>
  <c r="F10" i="242" s="1"/>
  <c r="G29" i="241"/>
  <c r="J47" i="238"/>
  <c r="J129" i="239" s="1"/>
  <c r="J49" i="241" s="1"/>
  <c r="K42" i="378"/>
  <c r="K46" i="380"/>
  <c r="I42" i="378"/>
  <c r="K62" i="388"/>
  <c r="K61" i="388" s="1"/>
  <c r="K60" i="373" s="1"/>
  <c r="K58" i="373" s="1"/>
  <c r="K52" i="373" s="1"/>
  <c r="K62" i="233"/>
  <c r="C52" i="388"/>
  <c r="L53" i="375"/>
  <c r="L12" i="369"/>
  <c r="K70" i="391"/>
  <c r="J42" i="385"/>
  <c r="D42" i="378"/>
  <c r="I70" i="389"/>
  <c r="F114" i="58"/>
  <c r="F115" i="58" s="1"/>
  <c r="I114" i="58"/>
  <c r="I115" i="58" s="1"/>
  <c r="K70" i="232"/>
  <c r="K46" i="232" s="1"/>
  <c r="K47" i="232"/>
  <c r="K47" i="391" s="1"/>
  <c r="D108" i="239"/>
  <c r="T20" i="242"/>
  <c r="I70" i="232"/>
  <c r="V9" i="243"/>
  <c r="F42" i="238"/>
  <c r="L12" i="365"/>
  <c r="V7" i="242"/>
  <c r="C70" i="234"/>
  <c r="C46" i="234" s="1"/>
  <c r="L70" i="382"/>
  <c r="L63" i="378"/>
  <c r="L42" i="378"/>
  <c r="L10" i="375"/>
  <c r="Q9" i="243"/>
  <c r="L78" i="364"/>
  <c r="D20" i="243"/>
  <c r="H20" i="243" s="1"/>
  <c r="G70" i="234"/>
  <c r="G46" i="234" s="1"/>
  <c r="L42" i="379"/>
  <c r="L48" i="379" s="1"/>
  <c r="F108" i="239"/>
  <c r="N10" i="242"/>
  <c r="I11" i="242"/>
  <c r="L32" i="364"/>
  <c r="I30" i="240"/>
  <c r="F70" i="236"/>
  <c r="F46" i="236" s="1"/>
  <c r="L46" i="236" s="1"/>
  <c r="I85" i="239"/>
  <c r="K70" i="237"/>
  <c r="K46" i="237" s="1"/>
  <c r="L44" i="365"/>
  <c r="T24" i="242"/>
  <c r="G33" i="241"/>
  <c r="G108" i="239"/>
  <c r="D30" i="240"/>
  <c r="D10" i="242" s="1"/>
  <c r="H91" i="370" l="1"/>
  <c r="J14" i="241"/>
  <c r="J10" i="241" s="1"/>
  <c r="J38" i="241" s="1"/>
  <c r="J61" i="241" s="1"/>
  <c r="J90" i="239"/>
  <c r="L10" i="242"/>
  <c r="W10" i="242"/>
  <c r="L70" i="236"/>
  <c r="J10" i="243"/>
  <c r="L10" i="243" s="1"/>
  <c r="L62" i="240"/>
  <c r="J65" i="364"/>
  <c r="J63" i="364" s="1"/>
  <c r="L64" i="240"/>
  <c r="L65" i="364" s="1"/>
  <c r="L63" i="364" s="1"/>
  <c r="J9" i="243"/>
  <c r="L52" i="240"/>
  <c r="L42" i="238"/>
  <c r="J13" i="242"/>
  <c r="L13" i="242" s="1"/>
  <c r="L40" i="240"/>
  <c r="W24" i="242"/>
  <c r="W20" i="242"/>
  <c r="U29" i="242"/>
  <c r="J34" i="365"/>
  <c r="L26" i="242"/>
  <c r="L20" i="242"/>
  <c r="L21" i="242"/>
  <c r="J28" i="243"/>
  <c r="L19" i="243"/>
  <c r="L68" i="239"/>
  <c r="L14" i="241"/>
  <c r="L15" i="365" s="1"/>
  <c r="L94" i="239"/>
  <c r="L91" i="370" s="1"/>
  <c r="L20" i="241"/>
  <c r="L21" i="365" s="1"/>
  <c r="L35" i="241"/>
  <c r="L113" i="239"/>
  <c r="L110" i="370" s="1"/>
  <c r="L105" i="370" s="1"/>
  <c r="J96" i="239"/>
  <c r="J99" i="370"/>
  <c r="L102" i="239"/>
  <c r="L99" i="370" s="1"/>
  <c r="L15" i="241"/>
  <c r="L16" i="365" s="1"/>
  <c r="L29" i="241"/>
  <c r="L30" i="365" s="1"/>
  <c r="L85" i="239"/>
  <c r="F90" i="239"/>
  <c r="L96" i="239"/>
  <c r="F7" i="242"/>
  <c r="L10" i="240"/>
  <c r="L70" i="233"/>
  <c r="F70" i="238"/>
  <c r="L46" i="237"/>
  <c r="L70" i="237"/>
  <c r="L108" i="239"/>
  <c r="J43" i="234"/>
  <c r="J48" i="234" s="1"/>
  <c r="L70" i="234"/>
  <c r="J70" i="238"/>
  <c r="L62" i="238"/>
  <c r="F129" i="239"/>
  <c r="L129" i="239" s="1"/>
  <c r="L47" i="238"/>
  <c r="L70" i="232"/>
  <c r="J48" i="232"/>
  <c r="J91" i="370"/>
  <c r="L68" i="37"/>
  <c r="J99" i="37"/>
  <c r="L99" i="37" s="1"/>
  <c r="F16" i="241"/>
  <c r="Q11" i="242" s="1"/>
  <c r="L115" i="58"/>
  <c r="L114" i="58"/>
  <c r="C61" i="373"/>
  <c r="F17" i="365"/>
  <c r="F11" i="365" s="1"/>
  <c r="E63" i="364"/>
  <c r="D19" i="242"/>
  <c r="H22" i="373"/>
  <c r="E70" i="379"/>
  <c r="H32" i="373"/>
  <c r="H40" i="240"/>
  <c r="E20" i="364"/>
  <c r="H57" i="365"/>
  <c r="H42" i="378"/>
  <c r="K19" i="242"/>
  <c r="D83" i="370"/>
  <c r="H66" i="370"/>
  <c r="E58" i="375"/>
  <c r="E52" i="375" s="1"/>
  <c r="E69" i="375" s="1"/>
  <c r="H60" i="375"/>
  <c r="E9" i="243"/>
  <c r="H52" i="240"/>
  <c r="H38" i="373"/>
  <c r="H26" i="242"/>
  <c r="D70" i="385"/>
  <c r="H13" i="242"/>
  <c r="H43" i="368"/>
  <c r="E43" i="364"/>
  <c r="H43" i="364" s="1"/>
  <c r="H48" i="368"/>
  <c r="E48" i="364"/>
  <c r="H52" i="368"/>
  <c r="E52" i="364"/>
  <c r="H52" i="364" s="1"/>
  <c r="H55" i="368"/>
  <c r="E55" i="364"/>
  <c r="H55" i="364" s="1"/>
  <c r="H77" i="368"/>
  <c r="E76" i="368"/>
  <c r="E77" i="364"/>
  <c r="E76" i="364" s="1"/>
  <c r="E83" i="364" s="1"/>
  <c r="H49" i="368"/>
  <c r="E49" i="364"/>
  <c r="H49" i="364" s="1"/>
  <c r="H65" i="368"/>
  <c r="H22" i="375"/>
  <c r="H62" i="368"/>
  <c r="E62" i="364"/>
  <c r="H62" i="364" s="1"/>
  <c r="Q29" i="242"/>
  <c r="R29" i="242"/>
  <c r="S20" i="242"/>
  <c r="H42" i="379"/>
  <c r="S24" i="242"/>
  <c r="H19" i="364"/>
  <c r="E42" i="364"/>
  <c r="E32" i="365"/>
  <c r="H65" i="385"/>
  <c r="E62" i="373"/>
  <c r="H62" i="373" s="1"/>
  <c r="H7" i="243"/>
  <c r="H45" i="368"/>
  <c r="E45" i="364"/>
  <c r="H45" i="364" s="1"/>
  <c r="H51" i="368"/>
  <c r="E51" i="364"/>
  <c r="H51" i="364" s="1"/>
  <c r="H75" i="240"/>
  <c r="H25" i="369"/>
  <c r="E25" i="365"/>
  <c r="H25" i="365" s="1"/>
  <c r="H57" i="369"/>
  <c r="E53" i="368"/>
  <c r="H53" i="368" s="1"/>
  <c r="H54" i="368"/>
  <c r="H48" i="364"/>
  <c r="H23" i="368"/>
  <c r="E23" i="364"/>
  <c r="H23" i="364" s="1"/>
  <c r="H47" i="368"/>
  <c r="E47" i="364"/>
  <c r="H47" i="364" s="1"/>
  <c r="H42" i="382"/>
  <c r="H42" i="385"/>
  <c r="H25" i="368"/>
  <c r="H10" i="373"/>
  <c r="H28" i="373"/>
  <c r="D70" i="232"/>
  <c r="D46" i="232" s="1"/>
  <c r="D43" i="232" s="1"/>
  <c r="H70" i="379"/>
  <c r="H62" i="375"/>
  <c r="E30" i="369"/>
  <c r="H30" i="369" s="1"/>
  <c r="E41" i="368"/>
  <c r="H41" i="368" s="1"/>
  <c r="H47" i="386"/>
  <c r="H19" i="369"/>
  <c r="E19" i="365"/>
  <c r="H19" i="365" s="1"/>
  <c r="H82" i="240"/>
  <c r="H82" i="370"/>
  <c r="E83" i="370"/>
  <c r="H83" i="370" s="1"/>
  <c r="P83" i="370" s="1"/>
  <c r="H46" i="368"/>
  <c r="E46" i="364"/>
  <c r="H46" i="364" s="1"/>
  <c r="H50" i="368"/>
  <c r="E50" i="364"/>
  <c r="H50" i="364" s="1"/>
  <c r="H21" i="368"/>
  <c r="E21" i="364"/>
  <c r="H21" i="364" s="1"/>
  <c r="E59" i="368"/>
  <c r="H59" i="368" s="1"/>
  <c r="H61" i="368"/>
  <c r="E61" i="364"/>
  <c r="H47" i="383"/>
  <c r="E29" i="364"/>
  <c r="E25" i="364" s="1"/>
  <c r="H29" i="368"/>
  <c r="H56" i="368"/>
  <c r="E56" i="364"/>
  <c r="H56" i="364" s="1"/>
  <c r="H53" i="378"/>
  <c r="E105" i="370"/>
  <c r="D110" i="370"/>
  <c r="H110" i="370" s="1"/>
  <c r="H112" i="370"/>
  <c r="E22" i="241"/>
  <c r="H22" i="241" s="1"/>
  <c r="E99" i="370"/>
  <c r="H99" i="370" s="1"/>
  <c r="H14" i="365"/>
  <c r="E46" i="389"/>
  <c r="H46" i="389" s="1"/>
  <c r="E69" i="374"/>
  <c r="E43" i="392"/>
  <c r="E43" i="386"/>
  <c r="E10" i="243"/>
  <c r="H10" i="243" s="1"/>
  <c r="H62" i="240"/>
  <c r="H68" i="37"/>
  <c r="G74" i="394"/>
  <c r="G72" i="394"/>
  <c r="E43" i="383"/>
  <c r="H21" i="365"/>
  <c r="E10" i="242"/>
  <c r="H10" i="242" s="1"/>
  <c r="H30" i="240"/>
  <c r="E34" i="365"/>
  <c r="H36" i="365"/>
  <c r="H17" i="369"/>
  <c r="H38" i="365"/>
  <c r="H35" i="241"/>
  <c r="H59" i="378"/>
  <c r="H44" i="368"/>
  <c r="E44" i="364"/>
  <c r="H44" i="364" s="1"/>
  <c r="E96" i="239"/>
  <c r="E93" i="370" s="1"/>
  <c r="H102" i="239"/>
  <c r="H108" i="239"/>
  <c r="H47" i="232"/>
  <c r="E47" i="391"/>
  <c r="H70" i="388"/>
  <c r="E70" i="234"/>
  <c r="H62" i="234"/>
  <c r="H70" i="232"/>
  <c r="E62" i="385"/>
  <c r="H63" i="385"/>
  <c r="E47" i="237"/>
  <c r="H62" i="237"/>
  <c r="H61" i="375"/>
  <c r="E62" i="382"/>
  <c r="H63" i="382"/>
  <c r="E46" i="233"/>
  <c r="H70" i="233"/>
  <c r="E62" i="378"/>
  <c r="H62" i="378" s="1"/>
  <c r="H65" i="378"/>
  <c r="H62" i="379"/>
  <c r="E46" i="236"/>
  <c r="H46" i="236" s="1"/>
  <c r="H70" i="236"/>
  <c r="E115" i="58"/>
  <c r="H115" i="58" s="1"/>
  <c r="H114" i="58"/>
  <c r="P9" i="242"/>
  <c r="S9" i="242" s="1"/>
  <c r="E15" i="365"/>
  <c r="H15" i="365" s="1"/>
  <c r="E85" i="239"/>
  <c r="H85" i="239" s="1"/>
  <c r="E7" i="242"/>
  <c r="H7" i="242" s="1"/>
  <c r="H10" i="240"/>
  <c r="E43" i="380"/>
  <c r="H46" i="380"/>
  <c r="H63" i="364"/>
  <c r="E47" i="374"/>
  <c r="H47" i="389"/>
  <c r="L76" i="364"/>
  <c r="L83" i="364" s="1"/>
  <c r="H27" i="364"/>
  <c r="H20" i="364"/>
  <c r="H42" i="364"/>
  <c r="E53" i="364"/>
  <c r="H54" i="364"/>
  <c r="P29" i="242"/>
  <c r="H46" i="232"/>
  <c r="G29" i="242"/>
  <c r="E29" i="242"/>
  <c r="D43" i="389"/>
  <c r="D33" i="241"/>
  <c r="H33" i="241" s="1"/>
  <c r="O10" i="242"/>
  <c r="D16" i="365"/>
  <c r="H16" i="365" s="1"/>
  <c r="D23" i="365"/>
  <c r="D17" i="365" s="1"/>
  <c r="D16" i="241"/>
  <c r="O29" i="242"/>
  <c r="D47" i="382"/>
  <c r="E29" i="241"/>
  <c r="E62" i="238"/>
  <c r="E70" i="238" s="1"/>
  <c r="C62" i="238"/>
  <c r="C29" i="241"/>
  <c r="D20" i="242"/>
  <c r="D29" i="242" s="1"/>
  <c r="D19" i="243"/>
  <c r="G17" i="365"/>
  <c r="G11" i="365" s="1"/>
  <c r="D87" i="370"/>
  <c r="D47" i="385"/>
  <c r="D47" i="378"/>
  <c r="D47" i="375" s="1"/>
  <c r="D127" i="372" s="1"/>
  <c r="D47" i="238"/>
  <c r="D129" i="239" s="1"/>
  <c r="D49" i="241" s="1"/>
  <c r="D47" i="388"/>
  <c r="C70" i="232"/>
  <c r="C46" i="232" s="1"/>
  <c r="H65" i="238"/>
  <c r="H62" i="238" s="1"/>
  <c r="D46" i="379"/>
  <c r="D43" i="379" s="1"/>
  <c r="D48" i="379" s="1"/>
  <c r="D70" i="237"/>
  <c r="D46" i="237" s="1"/>
  <c r="C59" i="373"/>
  <c r="D46" i="391"/>
  <c r="D43" i="391" s="1"/>
  <c r="D48" i="391" s="1"/>
  <c r="D46" i="233"/>
  <c r="L46" i="388" s="1"/>
  <c r="D46" i="235"/>
  <c r="L46" i="382" s="1"/>
  <c r="D46" i="234"/>
  <c r="D90" i="239"/>
  <c r="D118" i="239" s="1"/>
  <c r="D46" i="386"/>
  <c r="H46" i="386" s="1"/>
  <c r="C70" i="237"/>
  <c r="C46" i="237" s="1"/>
  <c r="C46" i="378" s="1"/>
  <c r="K42" i="375"/>
  <c r="C59" i="378"/>
  <c r="C17" i="369" s="1"/>
  <c r="C11" i="369" s="1"/>
  <c r="C21" i="369"/>
  <c r="C61" i="374"/>
  <c r="I46" i="382"/>
  <c r="C50" i="364"/>
  <c r="C41" i="364" s="1"/>
  <c r="L64" i="373"/>
  <c r="E42" i="375"/>
  <c r="H42" i="375" s="1"/>
  <c r="C47" i="232"/>
  <c r="L47" i="378"/>
  <c r="E70" i="237"/>
  <c r="C31" i="241"/>
  <c r="N9" i="243" s="1"/>
  <c r="J30" i="365"/>
  <c r="I42" i="375"/>
  <c r="I67" i="368"/>
  <c r="I84" i="368" s="1"/>
  <c r="C76" i="364"/>
  <c r="C83" i="364" s="1"/>
  <c r="C23" i="364"/>
  <c r="K67" i="368"/>
  <c r="K84" i="368" s="1"/>
  <c r="D31" i="241"/>
  <c r="H31" i="241" s="1"/>
  <c r="C53" i="364"/>
  <c r="C36" i="365"/>
  <c r="J69" i="375"/>
  <c r="K30" i="365"/>
  <c r="K29" i="365" s="1"/>
  <c r="C70" i="236"/>
  <c r="C46" i="236" s="1"/>
  <c r="C43" i="236" s="1"/>
  <c r="C48" i="236" s="1"/>
  <c r="G69" i="375"/>
  <c r="G11" i="364"/>
  <c r="G67" i="364" s="1"/>
  <c r="G84" i="364" s="1"/>
  <c r="C110" i="370"/>
  <c r="C52" i="374"/>
  <c r="C42" i="374"/>
  <c r="C43" i="389"/>
  <c r="C48" i="389" s="1"/>
  <c r="K43" i="235"/>
  <c r="K48" i="235" s="1"/>
  <c r="C60" i="238"/>
  <c r="C20" i="241" s="1"/>
  <c r="L60" i="378"/>
  <c r="L59" i="375" s="1"/>
  <c r="L59" i="373"/>
  <c r="T9" i="243"/>
  <c r="J126" i="370"/>
  <c r="J42" i="373"/>
  <c r="K42" i="373"/>
  <c r="I42" i="373"/>
  <c r="C46" i="386"/>
  <c r="C43" i="386" s="1"/>
  <c r="C48" i="386" s="1"/>
  <c r="F42" i="375"/>
  <c r="C42" i="375"/>
  <c r="C84" i="366"/>
  <c r="F42" i="373"/>
  <c r="C53" i="233"/>
  <c r="C59" i="388"/>
  <c r="D53" i="376"/>
  <c r="H53" i="376" s="1"/>
  <c r="I69" i="375"/>
  <c r="G42" i="373"/>
  <c r="E42" i="373"/>
  <c r="C69" i="375"/>
  <c r="F69" i="375"/>
  <c r="F11" i="364"/>
  <c r="F67" i="364" s="1"/>
  <c r="F84" i="364" s="1"/>
  <c r="C29" i="242"/>
  <c r="G30" i="365"/>
  <c r="G29" i="365" s="1"/>
  <c r="J46" i="382"/>
  <c r="J43" i="382" s="1"/>
  <c r="J48" i="382" s="1"/>
  <c r="C20" i="364"/>
  <c r="G42" i="375"/>
  <c r="D69" i="374"/>
  <c r="T9" i="242"/>
  <c r="C15" i="365"/>
  <c r="I41" i="364"/>
  <c r="I67" i="364" s="1"/>
  <c r="I84" i="364" s="1"/>
  <c r="F39" i="369"/>
  <c r="J42" i="375"/>
  <c r="L69" i="374"/>
  <c r="D63" i="368"/>
  <c r="H63" i="368" s="1"/>
  <c r="C31" i="364"/>
  <c r="C19" i="364"/>
  <c r="J39" i="369"/>
  <c r="J11" i="364"/>
  <c r="J67" i="364" s="1"/>
  <c r="J84" i="364" s="1"/>
  <c r="L84" i="368"/>
  <c r="C16" i="365"/>
  <c r="G39" i="369"/>
  <c r="F30" i="365"/>
  <c r="F29" i="365" s="1"/>
  <c r="J46" i="388"/>
  <c r="J43" i="388" s="1"/>
  <c r="J48" i="388" s="1"/>
  <c r="G67" i="368"/>
  <c r="G84" i="368" s="1"/>
  <c r="C67" i="368"/>
  <c r="C84" i="368" s="1"/>
  <c r="C64" i="366"/>
  <c r="F67" i="368"/>
  <c r="F84" i="368" s="1"/>
  <c r="C84" i="372"/>
  <c r="C31" i="365"/>
  <c r="C17" i="367"/>
  <c r="D76" i="364"/>
  <c r="H76" i="364" s="1"/>
  <c r="G69" i="374"/>
  <c r="K46" i="374"/>
  <c r="J101" i="370"/>
  <c r="J100" i="370" s="1"/>
  <c r="J93" i="370" s="1"/>
  <c r="D43" i="380"/>
  <c r="J46" i="374"/>
  <c r="C12" i="366"/>
  <c r="D34" i="365"/>
  <c r="D53" i="364"/>
  <c r="F69" i="374"/>
  <c r="E66" i="240"/>
  <c r="C10" i="370"/>
  <c r="K66" i="240"/>
  <c r="K83" i="240" s="1"/>
  <c r="C84" i="371"/>
  <c r="K26" i="365"/>
  <c r="C13" i="365"/>
  <c r="D41" i="364"/>
  <c r="V29" i="242"/>
  <c r="G43" i="380"/>
  <c r="G48" i="380" s="1"/>
  <c r="G46" i="374"/>
  <c r="D11" i="364"/>
  <c r="J67" i="368"/>
  <c r="J84" i="368" s="1"/>
  <c r="D29" i="364"/>
  <c r="H29" i="364" s="1"/>
  <c r="E11" i="364"/>
  <c r="C26" i="366"/>
  <c r="C29" i="364"/>
  <c r="C25" i="364" s="1"/>
  <c r="J69" i="374"/>
  <c r="C57" i="365"/>
  <c r="C14" i="365"/>
  <c r="I26" i="365"/>
  <c r="K67" i="364"/>
  <c r="K84" i="364" s="1"/>
  <c r="K39" i="369"/>
  <c r="C65" i="364"/>
  <c r="K69" i="375"/>
  <c r="D47" i="374"/>
  <c r="K101" i="370"/>
  <c r="K100" i="370" s="1"/>
  <c r="K93" i="370" s="1"/>
  <c r="K87" i="370" s="1"/>
  <c r="K115" i="370" s="1"/>
  <c r="K24" i="241"/>
  <c r="K25" i="365" s="1"/>
  <c r="K33" i="241"/>
  <c r="L85" i="366"/>
  <c r="L101" i="370"/>
  <c r="I101" i="370"/>
  <c r="I100" i="370" s="1"/>
  <c r="I93" i="370" s="1"/>
  <c r="I87" i="370" s="1"/>
  <c r="I115" i="370" s="1"/>
  <c r="I24" i="241"/>
  <c r="I25" i="365" s="1"/>
  <c r="F43" i="380"/>
  <c r="F48" i="380" s="1"/>
  <c r="F46" i="374"/>
  <c r="I43" i="380"/>
  <c r="I48" i="380" s="1"/>
  <c r="C24" i="365"/>
  <c r="D66" i="240"/>
  <c r="D83" i="368"/>
  <c r="C42" i="373"/>
  <c r="I39" i="369"/>
  <c r="I69" i="374"/>
  <c r="C34" i="367"/>
  <c r="C29" i="367" s="1"/>
  <c r="K69" i="374"/>
  <c r="F66" i="240"/>
  <c r="G66" i="240"/>
  <c r="G83" i="240" s="1"/>
  <c r="G7" i="242"/>
  <c r="G19" i="242" s="1"/>
  <c r="D29" i="369"/>
  <c r="D42" i="373"/>
  <c r="C58" i="365"/>
  <c r="H58" i="365" s="1"/>
  <c r="H58" i="367"/>
  <c r="C10" i="243"/>
  <c r="C66" i="240"/>
  <c r="C83" i="240" s="1"/>
  <c r="E47" i="234"/>
  <c r="J43" i="235"/>
  <c r="D62" i="376"/>
  <c r="H62" i="376" s="1"/>
  <c r="F47" i="373"/>
  <c r="I33" i="241"/>
  <c r="T11" i="243" s="1"/>
  <c r="D52" i="375"/>
  <c r="H52" i="375" s="1"/>
  <c r="G16" i="241"/>
  <c r="G10" i="241" s="1"/>
  <c r="I21" i="365"/>
  <c r="I17" i="365" s="1"/>
  <c r="E60" i="373"/>
  <c r="D52" i="373"/>
  <c r="K69" i="373"/>
  <c r="I47" i="378"/>
  <c r="I47" i="375" s="1"/>
  <c r="I127" i="372" s="1"/>
  <c r="I50" i="369" s="1"/>
  <c r="I126" i="372"/>
  <c r="I69" i="388"/>
  <c r="I68" i="373" s="1"/>
  <c r="I66" i="373" s="1"/>
  <c r="I61" i="373" s="1"/>
  <c r="I60" i="373"/>
  <c r="I58" i="373" s="1"/>
  <c r="I52" i="373" s="1"/>
  <c r="J69" i="388"/>
  <c r="J68" i="373" s="1"/>
  <c r="J66" i="373" s="1"/>
  <c r="J61" i="373" s="1"/>
  <c r="J60" i="373"/>
  <c r="J58" i="373" s="1"/>
  <c r="J52" i="373" s="1"/>
  <c r="U7" i="243"/>
  <c r="W7" i="243" s="1"/>
  <c r="K46" i="385"/>
  <c r="K43" i="385" s="1"/>
  <c r="K48" i="385" s="1"/>
  <c r="L26" i="365"/>
  <c r="G46" i="379"/>
  <c r="G43" i="379" s="1"/>
  <c r="G48" i="379" s="1"/>
  <c r="C8" i="242"/>
  <c r="J43" i="233"/>
  <c r="J48" i="233" s="1"/>
  <c r="K99" i="37"/>
  <c r="I29" i="241"/>
  <c r="I30" i="365" s="1"/>
  <c r="I29" i="365" s="1"/>
  <c r="F70" i="391"/>
  <c r="F69" i="373" s="1"/>
  <c r="L36" i="365"/>
  <c r="G43" i="235"/>
  <c r="G48" i="235" s="1"/>
  <c r="C46" i="235"/>
  <c r="C43" i="235" s="1"/>
  <c r="C48" i="235" s="1"/>
  <c r="C47" i="388"/>
  <c r="K43" i="383"/>
  <c r="K48" i="383" s="1"/>
  <c r="K46" i="382"/>
  <c r="K43" i="382" s="1"/>
  <c r="K48" i="382" s="1"/>
  <c r="K43" i="234"/>
  <c r="K48" i="234" s="1"/>
  <c r="C7" i="242"/>
  <c r="C19" i="242" s="1"/>
  <c r="L59" i="378"/>
  <c r="F46" i="391"/>
  <c r="F43" i="391" s="1"/>
  <c r="F48" i="391" s="1"/>
  <c r="N29" i="242"/>
  <c r="G68" i="373"/>
  <c r="G66" i="373" s="1"/>
  <c r="G61" i="373" s="1"/>
  <c r="K108" i="239"/>
  <c r="F46" i="388"/>
  <c r="F43" i="388" s="1"/>
  <c r="F48" i="388" s="1"/>
  <c r="K46" i="379"/>
  <c r="G43" i="236"/>
  <c r="G48" i="236" s="1"/>
  <c r="C43" i="380"/>
  <c r="C48" i="380" s="1"/>
  <c r="I47" i="233"/>
  <c r="I43" i="233" s="1"/>
  <c r="G70" i="382"/>
  <c r="J46" i="378"/>
  <c r="F118" i="239"/>
  <c r="C69" i="374"/>
  <c r="D70" i="238"/>
  <c r="G47" i="388"/>
  <c r="F43" i="233"/>
  <c r="D43" i="386"/>
  <c r="I103" i="239"/>
  <c r="I96" i="239" s="1"/>
  <c r="G43" i="389"/>
  <c r="G48" i="389" s="1"/>
  <c r="I70" i="238"/>
  <c r="J70" i="376"/>
  <c r="J69" i="373" s="1"/>
  <c r="F68" i="373"/>
  <c r="F66" i="373" s="1"/>
  <c r="F61" i="373" s="1"/>
  <c r="I70" i="376"/>
  <c r="I69" i="373" s="1"/>
  <c r="I70" i="378"/>
  <c r="I43" i="235"/>
  <c r="G118" i="239"/>
  <c r="L31" i="364"/>
  <c r="I43" i="237"/>
  <c r="I48" i="237" s="1"/>
  <c r="K29" i="242"/>
  <c r="I47" i="382"/>
  <c r="L47" i="382"/>
  <c r="F46" i="385"/>
  <c r="F43" i="385" s="1"/>
  <c r="F48" i="385" s="1"/>
  <c r="J46" i="385"/>
  <c r="P11" i="243"/>
  <c r="E47" i="235"/>
  <c r="E70" i="235"/>
  <c r="K103" i="239"/>
  <c r="K96" i="239" s="1"/>
  <c r="K90" i="239" s="1"/>
  <c r="J47" i="385"/>
  <c r="J47" i="373" s="1"/>
  <c r="C115" i="58"/>
  <c r="F43" i="234"/>
  <c r="G43" i="383"/>
  <c r="G48" i="383" s="1"/>
  <c r="G46" i="382"/>
  <c r="G43" i="382" s="1"/>
  <c r="G48" i="382" s="1"/>
  <c r="I62" i="240"/>
  <c r="I66" i="240" s="1"/>
  <c r="I83" i="240" s="1"/>
  <c r="G47" i="237"/>
  <c r="G70" i="237"/>
  <c r="G46" i="237" s="1"/>
  <c r="G46" i="238" s="1"/>
  <c r="L11" i="369"/>
  <c r="J46" i="391"/>
  <c r="J43" i="391" s="1"/>
  <c r="J48" i="391" s="1"/>
  <c r="J29" i="242"/>
  <c r="J43" i="386"/>
  <c r="J48" i="386" s="1"/>
  <c r="F43" i="383"/>
  <c r="F48" i="383" s="1"/>
  <c r="F46" i="382"/>
  <c r="F43" i="382" s="1"/>
  <c r="F48" i="382" s="1"/>
  <c r="D46" i="383"/>
  <c r="H46" i="383" s="1"/>
  <c r="K69" i="388"/>
  <c r="K68" i="373" s="1"/>
  <c r="K66" i="373" s="1"/>
  <c r="K61" i="373" s="1"/>
  <c r="J70" i="378"/>
  <c r="N11" i="243"/>
  <c r="G46" i="388"/>
  <c r="G43" i="233"/>
  <c r="G48" i="233" s="1"/>
  <c r="F70" i="378"/>
  <c r="I47" i="379"/>
  <c r="L47" i="379"/>
  <c r="G48" i="386"/>
  <c r="I29" i="242"/>
  <c r="I46" i="234"/>
  <c r="G70" i="378"/>
  <c r="L42" i="375"/>
  <c r="L62" i="376"/>
  <c r="L61" i="373" s="1"/>
  <c r="L62" i="373"/>
  <c r="C43" i="234"/>
  <c r="C48" i="234" s="1"/>
  <c r="K46" i="391"/>
  <c r="K43" i="391" s="1"/>
  <c r="K48" i="391" s="1"/>
  <c r="K43" i="232"/>
  <c r="K48" i="232" s="1"/>
  <c r="I46" i="389"/>
  <c r="I46" i="388" s="1"/>
  <c r="J48" i="380"/>
  <c r="J50" i="365"/>
  <c r="E47" i="379"/>
  <c r="H47" i="379" s="1"/>
  <c r="D70" i="378"/>
  <c r="E47" i="388"/>
  <c r="H47" i="388" s="1"/>
  <c r="F46" i="378"/>
  <c r="F46" i="375" s="1"/>
  <c r="F46" i="238"/>
  <c r="D9" i="243"/>
  <c r="K70" i="378"/>
  <c r="J46" i="379"/>
  <c r="J43" i="236"/>
  <c r="J46" i="238"/>
  <c r="K46" i="378"/>
  <c r="K46" i="375" s="1"/>
  <c r="K43" i="237"/>
  <c r="K48" i="237" s="1"/>
  <c r="G46" i="385"/>
  <c r="G43" i="385" s="1"/>
  <c r="G48" i="385" s="1"/>
  <c r="G43" i="234"/>
  <c r="G48" i="234" s="1"/>
  <c r="I46" i="232"/>
  <c r="R7" i="243"/>
  <c r="R18" i="243" s="1"/>
  <c r="G28" i="241"/>
  <c r="Q11" i="243"/>
  <c r="L43" i="383"/>
  <c r="L46" i="374"/>
  <c r="L126" i="371" s="1"/>
  <c r="K29" i="243"/>
  <c r="I46" i="236"/>
  <c r="R11" i="243"/>
  <c r="L62" i="375"/>
  <c r="L30" i="369" s="1"/>
  <c r="L29" i="369" s="1"/>
  <c r="L62" i="378"/>
  <c r="L61" i="375" s="1"/>
  <c r="T29" i="242"/>
  <c r="F46" i="379"/>
  <c r="F43" i="379" s="1"/>
  <c r="F48" i="379" s="1"/>
  <c r="F43" i="236"/>
  <c r="F48" i="236" s="1"/>
  <c r="I10" i="242"/>
  <c r="K47" i="233"/>
  <c r="K70" i="233"/>
  <c r="K46" i="233" s="1"/>
  <c r="K46" i="238" s="1"/>
  <c r="K43" i="380"/>
  <c r="I48" i="383"/>
  <c r="F28" i="241"/>
  <c r="G46" i="391"/>
  <c r="G43" i="391" s="1"/>
  <c r="G48" i="391" s="1"/>
  <c r="G43" i="232"/>
  <c r="G48" i="232" s="1"/>
  <c r="G70" i="376"/>
  <c r="L52" i="373"/>
  <c r="I47" i="391"/>
  <c r="L47" i="391"/>
  <c r="E70" i="376"/>
  <c r="I47" i="385"/>
  <c r="L47" i="385"/>
  <c r="V7" i="243"/>
  <c r="J19" i="242" l="1"/>
  <c r="J30" i="242" s="1"/>
  <c r="L29" i="242"/>
  <c r="R29" i="243"/>
  <c r="R30" i="243"/>
  <c r="G30" i="243"/>
  <c r="F49" i="241"/>
  <c r="L49" i="241" s="1"/>
  <c r="L70" i="238"/>
  <c r="F126" i="370"/>
  <c r="W29" i="242"/>
  <c r="J48" i="235"/>
  <c r="L48" i="235" s="1"/>
  <c r="L43" i="235"/>
  <c r="J48" i="236"/>
  <c r="L48" i="236" s="1"/>
  <c r="L43" i="236"/>
  <c r="J18" i="243"/>
  <c r="L18" i="243" s="1"/>
  <c r="L9" i="243"/>
  <c r="J29" i="365"/>
  <c r="L33" i="241"/>
  <c r="U11" i="243"/>
  <c r="L28" i="243"/>
  <c r="J87" i="370"/>
  <c r="J115" i="370" s="1"/>
  <c r="L90" i="239"/>
  <c r="L22" i="241"/>
  <c r="L23" i="365" s="1"/>
  <c r="J23" i="365"/>
  <c r="F43" i="237"/>
  <c r="L43" i="237" s="1"/>
  <c r="Q19" i="242"/>
  <c r="F31" i="242" s="1"/>
  <c r="F83" i="240"/>
  <c r="L83" i="240" s="1"/>
  <c r="L66" i="240"/>
  <c r="F19" i="242"/>
  <c r="L7" i="242"/>
  <c r="F48" i="233"/>
  <c r="L48" i="233" s="1"/>
  <c r="L43" i="233"/>
  <c r="F48" i="234"/>
  <c r="L48" i="234" s="1"/>
  <c r="L43" i="234"/>
  <c r="W11" i="243"/>
  <c r="Q18" i="243"/>
  <c r="F10" i="241"/>
  <c r="U18" i="243"/>
  <c r="L46" i="238"/>
  <c r="F128" i="239"/>
  <c r="L58" i="375"/>
  <c r="L53" i="378"/>
  <c r="L52" i="375" s="1"/>
  <c r="F43" i="232"/>
  <c r="L46" i="232"/>
  <c r="U9" i="242"/>
  <c r="W9" i="242" s="1"/>
  <c r="J15" i="365"/>
  <c r="E61" i="373"/>
  <c r="E29" i="369"/>
  <c r="E39" i="369" s="1"/>
  <c r="G30" i="242"/>
  <c r="S29" i="242"/>
  <c r="H69" i="374"/>
  <c r="H20" i="242"/>
  <c r="H29" i="242"/>
  <c r="H61" i="364"/>
  <c r="E59" i="364"/>
  <c r="H59" i="364" s="1"/>
  <c r="H42" i="373"/>
  <c r="H43" i="380"/>
  <c r="I19" i="242"/>
  <c r="H19" i="243"/>
  <c r="S10" i="242"/>
  <c r="H77" i="364"/>
  <c r="H9" i="243"/>
  <c r="E58" i="373"/>
  <c r="E52" i="373" s="1"/>
  <c r="H60" i="373"/>
  <c r="H11" i="364"/>
  <c r="E67" i="368"/>
  <c r="E84" i="368" s="1"/>
  <c r="E83" i="368"/>
  <c r="H83" i="368" s="1"/>
  <c r="H76" i="368"/>
  <c r="H58" i="375"/>
  <c r="D105" i="370"/>
  <c r="E43" i="389"/>
  <c r="E48" i="389" s="1"/>
  <c r="E46" i="388"/>
  <c r="E43" i="388" s="1"/>
  <c r="E46" i="374"/>
  <c r="H46" i="374" s="1"/>
  <c r="L34" i="365"/>
  <c r="E16" i="241"/>
  <c r="H16" i="241" s="1"/>
  <c r="E23" i="365"/>
  <c r="H23" i="365" s="1"/>
  <c r="H105" i="370"/>
  <c r="E87" i="370"/>
  <c r="H93" i="370"/>
  <c r="E127" i="371"/>
  <c r="H47" i="374"/>
  <c r="H43" i="392"/>
  <c r="E48" i="392"/>
  <c r="H48" i="392" s="1"/>
  <c r="E48" i="386"/>
  <c r="H43" i="386"/>
  <c r="E48" i="380"/>
  <c r="E70" i="378"/>
  <c r="H70" i="378" s="1"/>
  <c r="E43" i="233"/>
  <c r="E48" i="233" s="1"/>
  <c r="E48" i="383"/>
  <c r="H43" i="383"/>
  <c r="H52" i="373"/>
  <c r="H34" i="365"/>
  <c r="E41" i="364"/>
  <c r="H41" i="364" s="1"/>
  <c r="E46" i="379"/>
  <c r="H46" i="379" s="1"/>
  <c r="H96" i="239"/>
  <c r="E47" i="382"/>
  <c r="H47" i="382" s="1"/>
  <c r="H47" i="235"/>
  <c r="H29" i="369"/>
  <c r="E70" i="382"/>
  <c r="H70" i="382" s="1"/>
  <c r="H62" i="382"/>
  <c r="E46" i="237"/>
  <c r="H46" i="237" s="1"/>
  <c r="H70" i="237"/>
  <c r="E70" i="385"/>
  <c r="H70" i="385" s="1"/>
  <c r="H62" i="385"/>
  <c r="E46" i="234"/>
  <c r="E43" i="234" s="1"/>
  <c r="H70" i="234"/>
  <c r="H46" i="233"/>
  <c r="E46" i="235"/>
  <c r="H46" i="235" s="1"/>
  <c r="H70" i="235"/>
  <c r="E47" i="385"/>
  <c r="H47" i="385" s="1"/>
  <c r="H47" i="234"/>
  <c r="E47" i="378"/>
  <c r="H47" i="237"/>
  <c r="E19" i="242"/>
  <c r="H19" i="242" s="1"/>
  <c r="E43" i="236"/>
  <c r="P7" i="243"/>
  <c r="S7" i="243" s="1"/>
  <c r="H29" i="241"/>
  <c r="E83" i="240"/>
  <c r="H66" i="240"/>
  <c r="L67" i="364"/>
  <c r="L84" i="364" s="1"/>
  <c r="H43" i="389"/>
  <c r="H53" i="364"/>
  <c r="E46" i="391"/>
  <c r="E43" i="391" s="1"/>
  <c r="E48" i="391" s="1"/>
  <c r="E43" i="232"/>
  <c r="E30" i="365"/>
  <c r="E28" i="241"/>
  <c r="D11" i="365"/>
  <c r="D48" i="380"/>
  <c r="D48" i="389"/>
  <c r="D46" i="374"/>
  <c r="D43" i="374" s="1"/>
  <c r="Q30" i="242"/>
  <c r="C21" i="365"/>
  <c r="O11" i="243"/>
  <c r="S11" i="243" s="1"/>
  <c r="D10" i="241"/>
  <c r="O9" i="243"/>
  <c r="S9" i="243" s="1"/>
  <c r="D28" i="241"/>
  <c r="C28" i="241"/>
  <c r="D83" i="240"/>
  <c r="C46" i="379"/>
  <c r="C43" i="379" s="1"/>
  <c r="C48" i="379" s="1"/>
  <c r="D47" i="373"/>
  <c r="D48" i="232"/>
  <c r="D115" i="370"/>
  <c r="D43" i="236"/>
  <c r="D48" i="236" s="1"/>
  <c r="C43" i="237"/>
  <c r="C48" i="237" s="1"/>
  <c r="H70" i="238"/>
  <c r="I43" i="382"/>
  <c r="I48" i="382" s="1"/>
  <c r="D43" i="234"/>
  <c r="D48" i="234" s="1"/>
  <c r="D46" i="385"/>
  <c r="D43" i="385" s="1"/>
  <c r="D48" i="385" s="1"/>
  <c r="C46" i="391"/>
  <c r="C43" i="232"/>
  <c r="C48" i="232" s="1"/>
  <c r="C47" i="391"/>
  <c r="C47" i="373" s="1"/>
  <c r="H46" i="391"/>
  <c r="D46" i="238"/>
  <c r="D43" i="238" s="1"/>
  <c r="D48" i="238" s="1"/>
  <c r="D43" i="237"/>
  <c r="D46" i="378"/>
  <c r="D46" i="375" s="1"/>
  <c r="D43" i="375" s="1"/>
  <c r="D43" i="233"/>
  <c r="C58" i="373"/>
  <c r="C52" i="373" s="1"/>
  <c r="D46" i="388"/>
  <c r="D43" i="388" s="1"/>
  <c r="C53" i="388"/>
  <c r="C70" i="233"/>
  <c r="D43" i="235"/>
  <c r="O11" i="242"/>
  <c r="D48" i="386"/>
  <c r="C47" i="238"/>
  <c r="C129" i="239" s="1"/>
  <c r="C126" i="370" s="1"/>
  <c r="C53" i="378"/>
  <c r="C70" i="378" s="1"/>
  <c r="C68" i="366"/>
  <c r="C85" i="366" s="1"/>
  <c r="C18" i="243"/>
  <c r="C29" i="243" s="1"/>
  <c r="C32" i="365"/>
  <c r="L32" i="365"/>
  <c r="C105" i="370"/>
  <c r="D32" i="365"/>
  <c r="L47" i="375"/>
  <c r="L127" i="372" s="1"/>
  <c r="L50" i="369" s="1"/>
  <c r="C46" i="374"/>
  <c r="C46" i="385"/>
  <c r="C43" i="385" s="1"/>
  <c r="C11" i="364"/>
  <c r="C34" i="365"/>
  <c r="I43" i="378"/>
  <c r="I48" i="378" s="1"/>
  <c r="C59" i="238"/>
  <c r="D67" i="368"/>
  <c r="D84" i="368" s="1"/>
  <c r="L46" i="378"/>
  <c r="L46" i="375" s="1"/>
  <c r="L126" i="372" s="1"/>
  <c r="C63" i="364"/>
  <c r="F39" i="365"/>
  <c r="G39" i="365"/>
  <c r="D70" i="376"/>
  <c r="D69" i="373" s="1"/>
  <c r="C43" i="378"/>
  <c r="C48" i="378" s="1"/>
  <c r="C46" i="375"/>
  <c r="C126" i="372" s="1"/>
  <c r="C125" i="372" s="1"/>
  <c r="C131" i="372" s="1"/>
  <c r="C132" i="372" s="1"/>
  <c r="C136" i="372" s="1"/>
  <c r="K28" i="241"/>
  <c r="V11" i="243"/>
  <c r="V18" i="243" s="1"/>
  <c r="V29" i="243" s="1"/>
  <c r="V31" i="243" s="1"/>
  <c r="L28" i="241"/>
  <c r="I46" i="374"/>
  <c r="D127" i="371"/>
  <c r="D126" i="370" s="1"/>
  <c r="C66" i="370"/>
  <c r="J25" i="365"/>
  <c r="C11" i="367"/>
  <c r="I23" i="241"/>
  <c r="D39" i="369"/>
  <c r="J126" i="371"/>
  <c r="J43" i="374"/>
  <c r="J48" i="374" s="1"/>
  <c r="D83" i="364"/>
  <c r="H83" i="364" s="1"/>
  <c r="F126" i="371"/>
  <c r="F43" i="374"/>
  <c r="F48" i="374" s="1"/>
  <c r="K23" i="241"/>
  <c r="K126" i="371"/>
  <c r="K43" i="374"/>
  <c r="K48" i="374" s="1"/>
  <c r="G43" i="374"/>
  <c r="G48" i="374" s="1"/>
  <c r="G126" i="371"/>
  <c r="D25" i="364"/>
  <c r="H25" i="364" s="1"/>
  <c r="E47" i="373"/>
  <c r="I28" i="241"/>
  <c r="G69" i="373"/>
  <c r="D69" i="375"/>
  <c r="H69" i="375" s="1"/>
  <c r="I49" i="369"/>
  <c r="I48" i="369" s="1"/>
  <c r="I54" i="369" s="1"/>
  <c r="I55" i="369" s="1"/>
  <c r="I125" i="372"/>
  <c r="I131" i="372" s="1"/>
  <c r="I132" i="372" s="1"/>
  <c r="F46" i="373"/>
  <c r="D61" i="373"/>
  <c r="K126" i="372"/>
  <c r="K43" i="375"/>
  <c r="K48" i="375" s="1"/>
  <c r="F126" i="372"/>
  <c r="F43" i="375"/>
  <c r="F48" i="375" s="1"/>
  <c r="D50" i="369"/>
  <c r="J46" i="373"/>
  <c r="J43" i="378"/>
  <c r="J48" i="378" s="1"/>
  <c r="J46" i="375"/>
  <c r="K43" i="379"/>
  <c r="K48" i="379" s="1"/>
  <c r="I43" i="375"/>
  <c r="I48" i="375" s="1"/>
  <c r="T7" i="243"/>
  <c r="T18" i="243" s="1"/>
  <c r="C30" i="365"/>
  <c r="C46" i="382"/>
  <c r="C43" i="382" s="1"/>
  <c r="C48" i="382" s="1"/>
  <c r="I47" i="238"/>
  <c r="I129" i="239" s="1"/>
  <c r="I126" i="370" s="1"/>
  <c r="C30" i="242"/>
  <c r="L47" i="388"/>
  <c r="L47" i="373" s="1"/>
  <c r="I47" i="388"/>
  <c r="I47" i="373" s="1"/>
  <c r="I48" i="235"/>
  <c r="L100" i="370"/>
  <c r="G43" i="388"/>
  <c r="G48" i="388" s="1"/>
  <c r="E47" i="238"/>
  <c r="E129" i="239" s="1"/>
  <c r="H129" i="239" s="1"/>
  <c r="R11" i="242"/>
  <c r="R19" i="242" s="1"/>
  <c r="G38" i="241"/>
  <c r="G43" i="237"/>
  <c r="L39" i="369"/>
  <c r="I10" i="243"/>
  <c r="G47" i="373"/>
  <c r="G47" i="378"/>
  <c r="G47" i="375" s="1"/>
  <c r="G127" i="372" s="1"/>
  <c r="G50" i="369" s="1"/>
  <c r="G47" i="238"/>
  <c r="G129" i="239" s="1"/>
  <c r="N7" i="243"/>
  <c r="G46" i="378"/>
  <c r="G46" i="375" s="1"/>
  <c r="G46" i="373"/>
  <c r="J118" i="239"/>
  <c r="L118" i="239" s="1"/>
  <c r="L25" i="365"/>
  <c r="L70" i="376"/>
  <c r="L69" i="373" s="1"/>
  <c r="J43" i="385"/>
  <c r="J48" i="385" s="1"/>
  <c r="K128" i="239"/>
  <c r="L125" i="371"/>
  <c r="L131" i="371" s="1"/>
  <c r="L132" i="371" s="1"/>
  <c r="L49" i="367"/>
  <c r="L48" i="367" s="1"/>
  <c r="L54" i="367" s="1"/>
  <c r="L55" i="367" s="1"/>
  <c r="I46" i="391"/>
  <c r="I43" i="391" s="1"/>
  <c r="I48" i="391" s="1"/>
  <c r="L46" i="391"/>
  <c r="L43" i="391" s="1"/>
  <c r="L48" i="391" s="1"/>
  <c r="I43" i="232"/>
  <c r="J128" i="239"/>
  <c r="J48" i="241" s="1"/>
  <c r="J47" i="241" s="1"/>
  <c r="J53" i="241" s="1"/>
  <c r="J43" i="238"/>
  <c r="J48" i="238" s="1"/>
  <c r="L43" i="374"/>
  <c r="L48" i="383"/>
  <c r="L48" i="374" s="1"/>
  <c r="F43" i="378"/>
  <c r="I46" i="385"/>
  <c r="I43" i="385" s="1"/>
  <c r="I48" i="385" s="1"/>
  <c r="I43" i="234"/>
  <c r="L46" i="385"/>
  <c r="L43" i="385" s="1"/>
  <c r="D43" i="383"/>
  <c r="D46" i="382"/>
  <c r="D43" i="382" s="1"/>
  <c r="D48" i="382" s="1"/>
  <c r="K48" i="380"/>
  <c r="K46" i="388"/>
  <c r="K46" i="373" s="1"/>
  <c r="K43" i="233"/>
  <c r="K48" i="233" s="1"/>
  <c r="I46" i="379"/>
  <c r="L46" i="379"/>
  <c r="I43" i="236"/>
  <c r="I46" i="238"/>
  <c r="K47" i="388"/>
  <c r="K47" i="373" s="1"/>
  <c r="K47" i="238"/>
  <c r="K129" i="239" s="1"/>
  <c r="K126" i="370" s="1"/>
  <c r="K30" i="242"/>
  <c r="K43" i="378"/>
  <c r="J43" i="379"/>
  <c r="F43" i="373"/>
  <c r="F48" i="373" s="1"/>
  <c r="F48" i="237"/>
  <c r="L48" i="237" s="1"/>
  <c r="I43" i="389"/>
  <c r="F43" i="238"/>
  <c r="I48" i="233"/>
  <c r="G128" i="239"/>
  <c r="J29" i="243" l="1"/>
  <c r="U29" i="243"/>
  <c r="U30" i="243"/>
  <c r="J30" i="243"/>
  <c r="L30" i="243" s="1"/>
  <c r="J54" i="241"/>
  <c r="J66" i="241" s="1"/>
  <c r="J62" i="241"/>
  <c r="F50" i="365"/>
  <c r="G31" i="243"/>
  <c r="R31" i="243"/>
  <c r="L29" i="243"/>
  <c r="L128" i="239"/>
  <c r="L70" i="378"/>
  <c r="L69" i="375" s="1"/>
  <c r="L19" i="242"/>
  <c r="F30" i="242"/>
  <c r="L30" i="242" s="1"/>
  <c r="Q31" i="242"/>
  <c r="I30" i="243"/>
  <c r="T30" i="243"/>
  <c r="T29" i="243"/>
  <c r="H39" i="369"/>
  <c r="F30" i="243"/>
  <c r="Q29" i="243"/>
  <c r="Q30" i="243"/>
  <c r="E10" i="241"/>
  <c r="E38" i="241" s="1"/>
  <c r="F38" i="241"/>
  <c r="F61" i="241" s="1"/>
  <c r="W18" i="243"/>
  <c r="F48" i="238"/>
  <c r="L48" i="238" s="1"/>
  <c r="L43" i="238"/>
  <c r="L43" i="378"/>
  <c r="L48" i="378" s="1"/>
  <c r="L48" i="375" s="1"/>
  <c r="F48" i="232"/>
  <c r="L48" i="232" s="1"/>
  <c r="L43" i="232"/>
  <c r="P11" i="242"/>
  <c r="P19" i="242" s="1"/>
  <c r="H61" i="373"/>
  <c r="H58" i="373"/>
  <c r="H84" i="368"/>
  <c r="P43" i="369" s="1"/>
  <c r="H67" i="368"/>
  <c r="H48" i="386"/>
  <c r="H70" i="376"/>
  <c r="H83" i="240"/>
  <c r="Q44" i="369" s="1"/>
  <c r="H48" i="380"/>
  <c r="E69" i="373"/>
  <c r="H69" i="373" s="1"/>
  <c r="L29" i="365"/>
  <c r="E126" i="371"/>
  <c r="E43" i="374"/>
  <c r="E48" i="374" s="1"/>
  <c r="H48" i="374" s="1"/>
  <c r="P49" i="374" s="1"/>
  <c r="E17" i="365"/>
  <c r="H17" i="365" s="1"/>
  <c r="E115" i="370"/>
  <c r="H115" i="370" s="1"/>
  <c r="H87" i="370"/>
  <c r="E50" i="367"/>
  <c r="H50" i="367" s="1"/>
  <c r="H127" i="371"/>
  <c r="H47" i="373"/>
  <c r="E46" i="382"/>
  <c r="E43" i="382" s="1"/>
  <c r="E43" i="235"/>
  <c r="E48" i="235" s="1"/>
  <c r="E43" i="379"/>
  <c r="E48" i="379" s="1"/>
  <c r="H48" i="379" s="1"/>
  <c r="H43" i="374"/>
  <c r="E30" i="242"/>
  <c r="E67" i="364"/>
  <c r="E84" i="364" s="1"/>
  <c r="E46" i="378"/>
  <c r="E46" i="375" s="1"/>
  <c r="E46" i="238"/>
  <c r="E128" i="239" s="1"/>
  <c r="E127" i="239" s="1"/>
  <c r="E43" i="237"/>
  <c r="H43" i="237" s="1"/>
  <c r="H118" i="239"/>
  <c r="E48" i="388"/>
  <c r="H43" i="388"/>
  <c r="H43" i="233"/>
  <c r="D29" i="365"/>
  <c r="D39" i="365" s="1"/>
  <c r="H32" i="365"/>
  <c r="E47" i="375"/>
  <c r="H47" i="378"/>
  <c r="E48" i="234"/>
  <c r="H48" i="234" s="1"/>
  <c r="H43" i="234"/>
  <c r="H46" i="234"/>
  <c r="E46" i="385"/>
  <c r="H46" i="388"/>
  <c r="E48" i="236"/>
  <c r="H48" i="236" s="1"/>
  <c r="H43" i="236"/>
  <c r="E29" i="365"/>
  <c r="H30" i="365"/>
  <c r="H28" i="241"/>
  <c r="H48" i="389"/>
  <c r="E48" i="232"/>
  <c r="H48" i="232" s="1"/>
  <c r="H43" i="232"/>
  <c r="D126" i="371"/>
  <c r="D125" i="371" s="1"/>
  <c r="R30" i="242"/>
  <c r="G31" i="242"/>
  <c r="R31" i="242"/>
  <c r="Q32" i="242"/>
  <c r="F32" i="242"/>
  <c r="D30" i="242"/>
  <c r="L43" i="373"/>
  <c r="L48" i="373" s="1"/>
  <c r="L48" i="385"/>
  <c r="D126" i="372"/>
  <c r="D48" i="233"/>
  <c r="H48" i="233" s="1"/>
  <c r="D48" i="237"/>
  <c r="C43" i="391"/>
  <c r="C48" i="391" s="1"/>
  <c r="N18" i="243"/>
  <c r="H47" i="391"/>
  <c r="H43" i="391" s="1"/>
  <c r="H48" i="391" s="1"/>
  <c r="H47" i="238"/>
  <c r="D128" i="239"/>
  <c r="D43" i="378"/>
  <c r="D48" i="378" s="1"/>
  <c r="N51" i="378" s="1"/>
  <c r="C46" i="233"/>
  <c r="C70" i="388"/>
  <c r="D48" i="388"/>
  <c r="D48" i="235"/>
  <c r="O19" i="242"/>
  <c r="O30" i="242" s="1"/>
  <c r="D32" i="242" s="1"/>
  <c r="D38" i="241"/>
  <c r="C53" i="238"/>
  <c r="C70" i="238" s="1"/>
  <c r="L125" i="372"/>
  <c r="L131" i="372" s="1"/>
  <c r="L132" i="372" s="1"/>
  <c r="C43" i="374"/>
  <c r="C48" i="374" s="1"/>
  <c r="C126" i="371"/>
  <c r="C125" i="371" s="1"/>
  <c r="C131" i="371" s="1"/>
  <c r="C132" i="371" s="1"/>
  <c r="C49" i="241"/>
  <c r="L49" i="369"/>
  <c r="L48" i="369" s="1"/>
  <c r="L54" i="369" s="1"/>
  <c r="L55" i="369" s="1"/>
  <c r="C67" i="364"/>
  <c r="C43" i="375"/>
  <c r="C48" i="375" s="1"/>
  <c r="D67" i="364"/>
  <c r="D84" i="364" s="1"/>
  <c r="F125" i="370"/>
  <c r="F124" i="370" s="1"/>
  <c r="F130" i="370" s="1"/>
  <c r="F131" i="370" s="1"/>
  <c r="K125" i="371"/>
  <c r="K131" i="371" s="1"/>
  <c r="K132" i="371" s="1"/>
  <c r="K49" i="367"/>
  <c r="K48" i="367" s="1"/>
  <c r="K54" i="367" s="1"/>
  <c r="K55" i="367" s="1"/>
  <c r="J24" i="365"/>
  <c r="C83" i="370"/>
  <c r="I43" i="374"/>
  <c r="I48" i="374" s="1"/>
  <c r="I126" i="371"/>
  <c r="E125" i="371"/>
  <c r="E49" i="367"/>
  <c r="D48" i="374"/>
  <c r="N68" i="374" s="1"/>
  <c r="F125" i="371"/>
  <c r="F131" i="371" s="1"/>
  <c r="F132" i="371" s="1"/>
  <c r="F49" i="367"/>
  <c r="F48" i="367" s="1"/>
  <c r="F54" i="367" s="1"/>
  <c r="F55" i="367" s="1"/>
  <c r="C39" i="367"/>
  <c r="D50" i="367"/>
  <c r="D49" i="367"/>
  <c r="G125" i="371"/>
  <c r="G131" i="371" s="1"/>
  <c r="G132" i="371" s="1"/>
  <c r="G49" i="367"/>
  <c r="G48" i="367" s="1"/>
  <c r="G54" i="367" s="1"/>
  <c r="G55" i="367" s="1"/>
  <c r="K24" i="365"/>
  <c r="K11" i="365" s="1"/>
  <c r="K39" i="365" s="1"/>
  <c r="K16" i="241"/>
  <c r="K10" i="241" s="1"/>
  <c r="C39" i="369"/>
  <c r="J125" i="371"/>
  <c r="J131" i="371" s="1"/>
  <c r="J132" i="371" s="1"/>
  <c r="J49" i="367"/>
  <c r="J48" i="367" s="1"/>
  <c r="J54" i="367" s="1"/>
  <c r="J55" i="367" s="1"/>
  <c r="I24" i="365"/>
  <c r="I11" i="365" s="1"/>
  <c r="I39" i="365" s="1"/>
  <c r="I16" i="241"/>
  <c r="I10" i="241" s="1"/>
  <c r="G43" i="373"/>
  <c r="G48" i="373" s="1"/>
  <c r="J43" i="373"/>
  <c r="J48" i="373" s="1"/>
  <c r="C49" i="369"/>
  <c r="C48" i="369" s="1"/>
  <c r="C54" i="369" s="1"/>
  <c r="J126" i="372"/>
  <c r="J125" i="370" s="1"/>
  <c r="J124" i="370" s="1"/>
  <c r="J130" i="370" s="1"/>
  <c r="J131" i="370" s="1"/>
  <c r="J43" i="375"/>
  <c r="J48" i="375" s="1"/>
  <c r="K125" i="372"/>
  <c r="K131" i="372" s="1"/>
  <c r="K132" i="372" s="1"/>
  <c r="K49" i="369"/>
  <c r="K48" i="369" s="1"/>
  <c r="K54" i="369" s="1"/>
  <c r="K55" i="369" s="1"/>
  <c r="I46" i="373"/>
  <c r="K125" i="370"/>
  <c r="K124" i="370" s="1"/>
  <c r="K130" i="370" s="1"/>
  <c r="K131" i="370" s="1"/>
  <c r="G126" i="370"/>
  <c r="E49" i="241"/>
  <c r="F125" i="372"/>
  <c r="F131" i="372" s="1"/>
  <c r="F132" i="372" s="1"/>
  <c r="F49" i="369"/>
  <c r="F48" i="369" s="1"/>
  <c r="F54" i="369" s="1"/>
  <c r="F55" i="369" s="1"/>
  <c r="G126" i="372"/>
  <c r="G43" i="375"/>
  <c r="G48" i="375" s="1"/>
  <c r="D43" i="373"/>
  <c r="D48" i="373" s="1"/>
  <c r="D48" i="375"/>
  <c r="D46" i="373"/>
  <c r="C29" i="365"/>
  <c r="G61" i="241"/>
  <c r="I30" i="242"/>
  <c r="G43" i="238"/>
  <c r="G48" i="238" s="1"/>
  <c r="L93" i="370"/>
  <c r="L87" i="370" s="1"/>
  <c r="L115" i="370" s="1"/>
  <c r="I43" i="388"/>
  <c r="I48" i="388" s="1"/>
  <c r="G48" i="237"/>
  <c r="V30" i="243"/>
  <c r="I118" i="239"/>
  <c r="G43" i="378"/>
  <c r="G48" i="378" s="1"/>
  <c r="K43" i="238"/>
  <c r="K48" i="238" s="1"/>
  <c r="L46" i="373"/>
  <c r="K118" i="239"/>
  <c r="L24" i="365"/>
  <c r="G49" i="241"/>
  <c r="G50" i="365" s="1"/>
  <c r="F48" i="378"/>
  <c r="F127" i="239"/>
  <c r="F48" i="241"/>
  <c r="L48" i="241" s="1"/>
  <c r="K48" i="378"/>
  <c r="I48" i="236"/>
  <c r="D48" i="383"/>
  <c r="H48" i="383" s="1"/>
  <c r="I48" i="234"/>
  <c r="I48" i="232"/>
  <c r="K49" i="241"/>
  <c r="K50" i="365" s="1"/>
  <c r="C48" i="385"/>
  <c r="L126" i="370"/>
  <c r="I49" i="241"/>
  <c r="I50" i="365" s="1"/>
  <c r="G127" i="239"/>
  <c r="G48" i="241"/>
  <c r="J48" i="379"/>
  <c r="I43" i="379"/>
  <c r="K43" i="388"/>
  <c r="K43" i="373" s="1"/>
  <c r="K48" i="373" s="1"/>
  <c r="I48" i="389"/>
  <c r="I128" i="239"/>
  <c r="I43" i="238"/>
  <c r="J127" i="239"/>
  <c r="K127" i="239"/>
  <c r="K48" i="241"/>
  <c r="J31" i="243" l="1"/>
  <c r="U31" i="243"/>
  <c r="S11" i="242"/>
  <c r="L43" i="375"/>
  <c r="L127" i="239"/>
  <c r="H10" i="241"/>
  <c r="I31" i="243"/>
  <c r="T31" i="243"/>
  <c r="J17" i="365"/>
  <c r="J11" i="365" s="1"/>
  <c r="J39" i="365" s="1"/>
  <c r="Q31" i="243"/>
  <c r="F31" i="243"/>
  <c r="L10" i="241"/>
  <c r="L16" i="241"/>
  <c r="W29" i="243"/>
  <c r="H126" i="371"/>
  <c r="H84" i="364"/>
  <c r="P42" i="369" s="1"/>
  <c r="P44" i="369" s="1"/>
  <c r="R44" i="369" s="1"/>
  <c r="H30" i="242"/>
  <c r="E11" i="365"/>
  <c r="H11" i="365" s="1"/>
  <c r="H43" i="235"/>
  <c r="H43" i="379"/>
  <c r="E48" i="237"/>
  <c r="H48" i="237" s="1"/>
  <c r="H46" i="382"/>
  <c r="E46" i="373"/>
  <c r="H46" i="373" s="1"/>
  <c r="E43" i="375"/>
  <c r="E48" i="375" s="1"/>
  <c r="H48" i="375" s="1"/>
  <c r="E131" i="371"/>
  <c r="H125" i="371"/>
  <c r="E48" i="367"/>
  <c r="H49" i="367"/>
  <c r="E43" i="378"/>
  <c r="H43" i="378" s="1"/>
  <c r="H46" i="378"/>
  <c r="H29" i="365"/>
  <c r="E48" i="241"/>
  <c r="E47" i="241" s="1"/>
  <c r="E43" i="238"/>
  <c r="E48" i="238" s="1"/>
  <c r="S19" i="242"/>
  <c r="H128" i="239"/>
  <c r="P31" i="242"/>
  <c r="H46" i="385"/>
  <c r="E43" i="385"/>
  <c r="E127" i="372"/>
  <c r="E126" i="370" s="1"/>
  <c r="H126" i="370" s="1"/>
  <c r="H47" i="375"/>
  <c r="E48" i="382"/>
  <c r="H48" i="382" s="1"/>
  <c r="H43" i="382"/>
  <c r="E126" i="372"/>
  <c r="E125" i="370" s="1"/>
  <c r="H46" i="375"/>
  <c r="H38" i="241"/>
  <c r="H48" i="235"/>
  <c r="H48" i="388"/>
  <c r="E31" i="242"/>
  <c r="P30" i="242"/>
  <c r="S30" i="242" s="1"/>
  <c r="H49" i="241"/>
  <c r="E61" i="241"/>
  <c r="H67" i="364"/>
  <c r="R32" i="242"/>
  <c r="G32" i="242"/>
  <c r="C50" i="365"/>
  <c r="D125" i="370"/>
  <c r="D124" i="370" s="1"/>
  <c r="D130" i="370" s="1"/>
  <c r="D131" i="370" s="1"/>
  <c r="O31" i="242"/>
  <c r="O32" i="242"/>
  <c r="D31" i="242"/>
  <c r="D61" i="241"/>
  <c r="D49" i="369"/>
  <c r="D125" i="372"/>
  <c r="D131" i="372" s="1"/>
  <c r="D127" i="239"/>
  <c r="D133" i="239" s="1"/>
  <c r="D48" i="241"/>
  <c r="C30" i="243"/>
  <c r="C43" i="233"/>
  <c r="H46" i="238"/>
  <c r="C46" i="238"/>
  <c r="C46" i="388"/>
  <c r="C69" i="373"/>
  <c r="C49" i="367"/>
  <c r="C48" i="367" s="1"/>
  <c r="C54" i="367" s="1"/>
  <c r="C55" i="367" s="1"/>
  <c r="C86" i="366" s="1"/>
  <c r="I125" i="370"/>
  <c r="I124" i="370" s="1"/>
  <c r="I130" i="370" s="1"/>
  <c r="I131" i="370" s="1"/>
  <c r="C55" i="369"/>
  <c r="D50" i="365"/>
  <c r="V11" i="242"/>
  <c r="V19" i="242" s="1"/>
  <c r="V31" i="242" s="1"/>
  <c r="L11" i="365"/>
  <c r="L39" i="365" s="1"/>
  <c r="D131" i="371"/>
  <c r="I125" i="371"/>
  <c r="I131" i="371" s="1"/>
  <c r="I132" i="371" s="1"/>
  <c r="I49" i="367"/>
  <c r="I48" i="367" s="1"/>
  <c r="I54" i="367" s="1"/>
  <c r="I55" i="367" s="1"/>
  <c r="U11" i="242"/>
  <c r="I38" i="241"/>
  <c r="I61" i="241" s="1"/>
  <c r="T11" i="242"/>
  <c r="D48" i="367"/>
  <c r="F49" i="365"/>
  <c r="F48" i="365" s="1"/>
  <c r="F54" i="365" s="1"/>
  <c r="F55" i="365" s="1"/>
  <c r="K49" i="365"/>
  <c r="K48" i="365" s="1"/>
  <c r="K54" i="365" s="1"/>
  <c r="K55" i="365" s="1"/>
  <c r="I43" i="373"/>
  <c r="I48" i="373" s="1"/>
  <c r="G49" i="369"/>
  <c r="G48" i="369" s="1"/>
  <c r="G54" i="369" s="1"/>
  <c r="G55" i="369" s="1"/>
  <c r="G125" i="372"/>
  <c r="G131" i="372" s="1"/>
  <c r="G132" i="372" s="1"/>
  <c r="G125" i="370"/>
  <c r="G124" i="370" s="1"/>
  <c r="G130" i="370" s="1"/>
  <c r="G131" i="370" s="1"/>
  <c r="J49" i="369"/>
  <c r="J48" i="369" s="1"/>
  <c r="J54" i="369" s="1"/>
  <c r="J55" i="369" s="1"/>
  <c r="J125" i="372"/>
  <c r="J131" i="372" s="1"/>
  <c r="J132" i="372" s="1"/>
  <c r="C84" i="364"/>
  <c r="N29" i="243"/>
  <c r="C31" i="243" s="1"/>
  <c r="N30" i="243"/>
  <c r="K38" i="241"/>
  <c r="J133" i="239"/>
  <c r="J134" i="239" s="1"/>
  <c r="I48" i="379"/>
  <c r="L50" i="365"/>
  <c r="G47" i="241"/>
  <c r="G53" i="241" s="1"/>
  <c r="G54" i="241" s="1"/>
  <c r="F47" i="241"/>
  <c r="K133" i="239"/>
  <c r="K134" i="239" s="1"/>
  <c r="I48" i="238"/>
  <c r="E133" i="239"/>
  <c r="K47" i="241"/>
  <c r="L125" i="370"/>
  <c r="I127" i="239"/>
  <c r="I48" i="241"/>
  <c r="K48" i="388"/>
  <c r="G133" i="239"/>
  <c r="G134" i="239" s="1"/>
  <c r="G139" i="239" s="1"/>
  <c r="F133" i="239"/>
  <c r="U19" i="242" l="1"/>
  <c r="W11" i="242"/>
  <c r="F53" i="241"/>
  <c r="L47" i="241"/>
  <c r="F134" i="239"/>
  <c r="L133" i="239"/>
  <c r="L61" i="241"/>
  <c r="L38" i="241"/>
  <c r="E39" i="365"/>
  <c r="H39" i="365" s="1"/>
  <c r="E124" i="370"/>
  <c r="E130" i="370" s="1"/>
  <c r="H125" i="370"/>
  <c r="H43" i="375"/>
  <c r="E48" i="378"/>
  <c r="H48" i="378" s="1"/>
  <c r="E54" i="367"/>
  <c r="H48" i="367"/>
  <c r="E132" i="371"/>
  <c r="N84" i="371" s="1"/>
  <c r="H131" i="371"/>
  <c r="H48" i="241"/>
  <c r="H31" i="242"/>
  <c r="P32" i="242"/>
  <c r="S32" i="242" s="1"/>
  <c r="E49" i="369"/>
  <c r="H126" i="372"/>
  <c r="E125" i="372"/>
  <c r="E48" i="385"/>
  <c r="H48" i="385" s="1"/>
  <c r="H43" i="385"/>
  <c r="E43" i="373"/>
  <c r="H61" i="241"/>
  <c r="E50" i="369"/>
  <c r="H127" i="372"/>
  <c r="H127" i="239"/>
  <c r="E32" i="242"/>
  <c r="E53" i="241"/>
  <c r="E134" i="239"/>
  <c r="H133" i="239"/>
  <c r="H43" i="238"/>
  <c r="H48" i="238" s="1"/>
  <c r="D48" i="369"/>
  <c r="D54" i="369" s="1"/>
  <c r="D49" i="365"/>
  <c r="D48" i="365" s="1"/>
  <c r="D54" i="365" s="1"/>
  <c r="D55" i="365" s="1"/>
  <c r="L49" i="365"/>
  <c r="L48" i="365" s="1"/>
  <c r="L54" i="365" s="1"/>
  <c r="L55" i="365" s="1"/>
  <c r="D47" i="241"/>
  <c r="H47" i="241" s="1"/>
  <c r="C48" i="233"/>
  <c r="C128" i="239"/>
  <c r="C43" i="238"/>
  <c r="C48" i="238" s="1"/>
  <c r="C43" i="388"/>
  <c r="C46" i="373"/>
  <c r="D134" i="239"/>
  <c r="I49" i="365"/>
  <c r="I48" i="365" s="1"/>
  <c r="I54" i="365" s="1"/>
  <c r="I55" i="365" s="1"/>
  <c r="V30" i="242"/>
  <c r="K32" i="242" s="1"/>
  <c r="K31" i="242"/>
  <c r="K30" i="243"/>
  <c r="T19" i="242"/>
  <c r="D54" i="367"/>
  <c r="D132" i="371"/>
  <c r="K31" i="243"/>
  <c r="D132" i="372"/>
  <c r="G49" i="365"/>
  <c r="G48" i="365" s="1"/>
  <c r="G54" i="365" s="1"/>
  <c r="G55" i="365" s="1"/>
  <c r="J49" i="365"/>
  <c r="J48" i="365" s="1"/>
  <c r="J54" i="365" s="1"/>
  <c r="J55" i="365" s="1"/>
  <c r="N31" i="243"/>
  <c r="K61" i="241"/>
  <c r="I133" i="239"/>
  <c r="L124" i="370"/>
  <c r="L130" i="370" s="1"/>
  <c r="L131" i="370" s="1"/>
  <c r="I47" i="241"/>
  <c r="I53" i="241" s="1"/>
  <c r="I54" i="241" s="1"/>
  <c r="K53" i="241"/>
  <c r="K54" i="241" s="1"/>
  <c r="F62" i="241"/>
  <c r="G62" i="241"/>
  <c r="G66" i="241"/>
  <c r="W19" i="242" l="1"/>
  <c r="U31" i="242"/>
  <c r="U30" i="242"/>
  <c r="U32" i="242" s="1"/>
  <c r="J31" i="242"/>
  <c r="L62" i="241"/>
  <c r="L134" i="239"/>
  <c r="N121" i="239"/>
  <c r="F54" i="241"/>
  <c r="F66" i="241" s="1"/>
  <c r="L53" i="241"/>
  <c r="H124" i="370"/>
  <c r="H132" i="371"/>
  <c r="E131" i="370"/>
  <c r="H130" i="370"/>
  <c r="E55" i="367"/>
  <c r="N55" i="367" s="1"/>
  <c r="H54" i="367"/>
  <c r="E48" i="373"/>
  <c r="H43" i="373"/>
  <c r="E131" i="372"/>
  <c r="H125" i="372"/>
  <c r="H50" i="369"/>
  <c r="E50" i="365"/>
  <c r="H50" i="365" s="1"/>
  <c r="H134" i="239"/>
  <c r="E48" i="369"/>
  <c r="H49" i="369"/>
  <c r="E49" i="365"/>
  <c r="E54" i="241"/>
  <c r="N54" i="241" s="1"/>
  <c r="E62" i="241"/>
  <c r="D53" i="241"/>
  <c r="D62" i="241" s="1"/>
  <c r="C48" i="388"/>
  <c r="C43" i="373"/>
  <c r="C127" i="239"/>
  <c r="C48" i="241"/>
  <c r="C125" i="370"/>
  <c r="N85" i="372"/>
  <c r="V32" i="242"/>
  <c r="T31" i="242"/>
  <c r="I31" i="242"/>
  <c r="T30" i="242"/>
  <c r="D55" i="367"/>
  <c r="D55" i="369"/>
  <c r="I134" i="239"/>
  <c r="I62" i="241"/>
  <c r="I66" i="241"/>
  <c r="K62" i="241"/>
  <c r="W30" i="242" l="1"/>
  <c r="W32" i="242"/>
  <c r="J32" i="242"/>
  <c r="L66" i="241"/>
  <c r="L54" i="241"/>
  <c r="P84" i="370"/>
  <c r="P85" i="370" s="1"/>
  <c r="H48" i="373"/>
  <c r="O49" i="373" s="1"/>
  <c r="N49" i="373"/>
  <c r="N84" i="370"/>
  <c r="H131" i="370"/>
  <c r="H55" i="367"/>
  <c r="O95" i="239"/>
  <c r="H62" i="241"/>
  <c r="H53" i="241"/>
  <c r="E48" i="365"/>
  <c r="H49" i="365"/>
  <c r="E132" i="372"/>
  <c r="H132" i="372" s="1"/>
  <c r="H131" i="372"/>
  <c r="E54" i="369"/>
  <c r="H48" i="369"/>
  <c r="E66" i="241"/>
  <c r="D54" i="241"/>
  <c r="D66" i="241" s="1"/>
  <c r="C48" i="373"/>
  <c r="C133" i="239"/>
  <c r="C124" i="370"/>
  <c r="C47" i="241"/>
  <c r="C49" i="365"/>
  <c r="T32" i="242"/>
  <c r="I32" i="242"/>
  <c r="K66" i="241"/>
  <c r="C8" i="37"/>
  <c r="O55" i="367" l="1"/>
  <c r="P48" i="369"/>
  <c r="H54" i="241"/>
  <c r="Q51" i="369" s="1"/>
  <c r="E55" i="369"/>
  <c r="H55" i="369" s="1"/>
  <c r="P50" i="369" s="1"/>
  <c r="H54" i="369"/>
  <c r="H48" i="365"/>
  <c r="E54" i="365"/>
  <c r="H66" i="241"/>
  <c r="C53" i="241"/>
  <c r="C48" i="365"/>
  <c r="C130" i="370"/>
  <c r="C68" i="37"/>
  <c r="C102" i="239"/>
  <c r="C22" i="241" s="1"/>
  <c r="O55" i="369" l="1"/>
  <c r="N55" i="369"/>
  <c r="E55" i="365"/>
  <c r="H54" i="365"/>
  <c r="C16" i="241"/>
  <c r="C62" i="241"/>
  <c r="C99" i="37"/>
  <c r="C96" i="239"/>
  <c r="C54" i="365"/>
  <c r="C99" i="370"/>
  <c r="H55" i="365" l="1"/>
  <c r="P49" i="369" s="1"/>
  <c r="P51" i="369" s="1"/>
  <c r="R51" i="369" s="1"/>
  <c r="N55" i="365"/>
  <c r="C10" i="241"/>
  <c r="C90" i="239"/>
  <c r="C118" i="239" s="1"/>
  <c r="C93" i="370"/>
  <c r="C23" i="365"/>
  <c r="C38" i="241" l="1"/>
  <c r="C134" i="239"/>
  <c r="N103" i="239" s="1"/>
  <c r="C17" i="365"/>
  <c r="C87" i="370"/>
  <c r="N11" i="242"/>
  <c r="N19" i="242" l="1"/>
  <c r="C54" i="241"/>
  <c r="C61" i="241"/>
  <c r="C115" i="370"/>
  <c r="C11" i="365"/>
  <c r="N30" i="242" l="1"/>
  <c r="N32" i="242" s="1"/>
  <c r="C31" i="242"/>
  <c r="N31" i="242"/>
  <c r="C66" i="241"/>
  <c r="C39" i="365"/>
  <c r="C131" i="370"/>
  <c r="O120" i="370" s="1"/>
  <c r="C32" i="242" l="1"/>
  <c r="O84" i="370"/>
  <c r="C55" i="365"/>
  <c r="C85" i="364" l="1"/>
</calcChain>
</file>

<file path=xl/comments1.xml><?xml version="1.0" encoding="utf-8"?>
<comments xmlns="http://schemas.openxmlformats.org/spreadsheetml/2006/main">
  <authors>
    <author>User2</author>
  </authors>
  <commentList>
    <comment ref="D7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 153
    -3 gk. vezetők
</t>
        </r>
      </text>
    </comment>
    <comment ref="E72" authorId="0" shapeId="0">
      <text>
        <r>
          <rPr>
            <b/>
            <sz val="9"/>
            <color indexed="81"/>
            <rFont val="Segoe UI"/>
            <family val="2"/>
            <charset val="238"/>
          </rPr>
          <t>-6 védőnők</t>
        </r>
      </text>
    </comment>
  </commentList>
</comments>
</file>

<file path=xl/comments2.xml><?xml version="1.0" encoding="utf-8"?>
<comments xmlns="http://schemas.openxmlformats.org/spreadsheetml/2006/main">
  <authors>
    <author>User2</author>
  </authors>
  <commentList>
    <comment ref="E66" authorId="0" shapeId="0">
      <text>
        <r>
          <rPr>
            <b/>
            <sz val="9"/>
            <color indexed="81"/>
            <rFont val="Segoe UI"/>
            <family val="2"/>
            <charset val="238"/>
          </rPr>
          <t>Nikodémus Idősek Otthona 3.000 EFt</t>
        </r>
      </text>
    </comment>
  </commentList>
</comments>
</file>

<file path=xl/comments3.xml><?xml version="1.0" encoding="utf-8"?>
<comments xmlns="http://schemas.openxmlformats.org/spreadsheetml/2006/main">
  <authors>
    <author>User2</author>
  </authors>
  <commentList>
    <comment ref="D99" authorId="0" shapeId="0">
      <text>
        <r>
          <rPr>
            <b/>
            <sz val="9"/>
            <color indexed="81"/>
            <rFont val="Segoe UI"/>
            <family val="2"/>
            <charset val="238"/>
          </rPr>
          <t>maradvány: telefon, nyomtató</t>
        </r>
      </text>
    </comment>
    <comment ref="D101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az eu pályázatos toronyhoz beszerzendő egyéb eszközöket hozzátettem eus összegre
1.465.646 Ft
</t>
        </r>
      </text>
    </comment>
  </commentList>
</comments>
</file>

<file path=xl/comments4.xml><?xml version="1.0" encoding="utf-8"?>
<comments xmlns="http://schemas.openxmlformats.org/spreadsheetml/2006/main">
  <authors>
    <author>User2</author>
  </authors>
  <commentList>
    <comment ref="L13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+ 1 fő a július 1-től járó
</t>
        </r>
      </text>
    </comment>
    <comment ref="L14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48 fő volt
</t>
        </r>
      </text>
    </comment>
  </commentList>
</comments>
</file>

<file path=xl/comments5.xml><?xml version="1.0" encoding="utf-8"?>
<comments xmlns="http://schemas.openxmlformats.org/spreadsheetml/2006/main">
  <authors>
    <author>User2</author>
  </authors>
  <commentList>
    <comment ref="D44" authorId="0" shapeId="0">
      <text>
        <r>
          <rPr>
            <b/>
            <sz val="9"/>
            <color indexed="81"/>
            <rFont val="Segoe UI"/>
            <family val="2"/>
            <charset val="238"/>
          </rPr>
          <t>ezek önként vagy kötelező maradványok??</t>
        </r>
      </text>
    </comment>
  </commentList>
</comments>
</file>

<file path=xl/comments6.xml><?xml version="1.0" encoding="utf-8"?>
<comments xmlns="http://schemas.openxmlformats.org/spreadsheetml/2006/main">
  <authors>
    <author>User2</author>
  </authors>
  <commentList>
    <comment ref="D44" authorId="0" shapeId="0">
      <text>
        <r>
          <rPr>
            <b/>
            <sz val="9"/>
            <color indexed="81"/>
            <rFont val="Segoe UI"/>
            <family val="2"/>
            <charset val="238"/>
          </rPr>
          <t>ezek önként vagy kötelező maradványok??</t>
        </r>
      </text>
    </comment>
  </commentList>
</comments>
</file>

<file path=xl/sharedStrings.xml><?xml version="1.0" encoding="utf-8"?>
<sst xmlns="http://schemas.openxmlformats.org/spreadsheetml/2006/main" count="6951" uniqueCount="835">
  <si>
    <t>Bursa Hungarica Felsőoktatási Önkormányzati Ösztöndíjpályázat</t>
  </si>
  <si>
    <t>Tiszaújvárosi Szent István Katolikus Általános Iskola támogatása</t>
  </si>
  <si>
    <t>Felújítások</t>
  </si>
  <si>
    <t>Hitelek törlesztése</t>
  </si>
  <si>
    <t xml:space="preserve">Városi rendezvényterv támogatása </t>
  </si>
  <si>
    <t>Tiszaújvárosi Nyugdíjas Egyesület támogatása</t>
  </si>
  <si>
    <t>Tiszaújvárosi Polgárőr Egyesület támogatása</t>
  </si>
  <si>
    <t>Személyi juttatások</t>
  </si>
  <si>
    <t>Tiszaújváros Városi Rendelőintézet</t>
  </si>
  <si>
    <t>Tiszaújváros Város Önkormányzata</t>
  </si>
  <si>
    <t>Drogambulancia Alapítvány támogatása</t>
  </si>
  <si>
    <t>B E V É T E L E K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</si>
  <si>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</si>
  <si>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</si>
  <si>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</si>
  <si>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</si>
  <si>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</si>
  <si>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</si>
  <si>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</si>
  <si>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</si>
  <si>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</si>
  <si>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</si>
  <si>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</si>
  <si>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</si>
  <si>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</si>
  <si>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</si>
  <si>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</si>
  <si>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</si>
  <si>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</si>
  <si>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</si>
  <si>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</si>
  <si>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</si>
  <si>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</si>
  <si>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</si>
  <si>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K I A D Á S O K</t>
  </si>
  <si>
    <t>Összesen:</t>
  </si>
  <si>
    <t>Előirányzat-csoport, kiemelt előirányzat megnevezése</t>
  </si>
  <si>
    <t>Bevételek</t>
  </si>
  <si>
    <t>Kiadások</t>
  </si>
  <si>
    <t>Közvilágítás, közterületi áramdíjak</t>
  </si>
  <si>
    <t>Közterület-felügyelet kiadásai</t>
  </si>
  <si>
    <t>Humánszolgáltató Központ</t>
  </si>
  <si>
    <t>Vásárhelyi Pál ÁMK</t>
  </si>
  <si>
    <t>Városi Rendelőintézet</t>
  </si>
  <si>
    <t xml:space="preserve">       M e g n e v e z é s</t>
  </si>
  <si>
    <t>Települési vízellátás</t>
  </si>
  <si>
    <t xml:space="preserve">              M e g n e v e z é s</t>
  </si>
  <si>
    <t>M e g n e v e z é s</t>
  </si>
  <si>
    <t xml:space="preserve">                M e g n e v e z é s</t>
  </si>
  <si>
    <t>Köztemetés</t>
  </si>
  <si>
    <t>I. BERUHÁZÁSI KIADÁSOK</t>
  </si>
  <si>
    <t>II. FELÚJÍTÁSI KIADÁSOK</t>
  </si>
  <si>
    <t xml:space="preserve">Felhalmozási célú pénzeszköz átadás áht.-on kívülre </t>
  </si>
  <si>
    <t xml:space="preserve">Működési célú pénzeszköz átadás áht.-on kívülre </t>
  </si>
  <si>
    <t>Intézmény</t>
  </si>
  <si>
    <t>2005.</t>
  </si>
  <si>
    <t>Összesen</t>
  </si>
  <si>
    <t>Eötvös József Gimnázium, Szakiskola és Kollégium</t>
  </si>
  <si>
    <t>Derkovits Gyula Művelődési Központ és Városi Könyvtár</t>
  </si>
  <si>
    <t>37/2. sz .melléklet</t>
  </si>
  <si>
    <t>AZ  INTÉZMÉNYEKBEN  CÍMPÓTLÉKOKBAN  RÉSZESÜLŐK  SZÁMA (fő)</t>
  </si>
  <si>
    <t>Főtanácsosi pótlék</t>
  </si>
  <si>
    <t>Főmunkatársi</t>
  </si>
  <si>
    <t>pótlék</t>
  </si>
  <si>
    <t>Tanácsosi</t>
  </si>
  <si>
    <t>Munkatársi pótlék</t>
  </si>
  <si>
    <t>Napközi otthonos óvoda</t>
  </si>
  <si>
    <t>Általános és Alapfokú Művészeti Iskola, Pedagógiai Szakszolgálat</t>
  </si>
  <si>
    <t>Személyi  juttatások</t>
  </si>
  <si>
    <t>Dologi  kiadások</t>
  </si>
  <si>
    <t>Támogatásértékű működési kiadás</t>
  </si>
  <si>
    <t xml:space="preserve">Támogatásértékű működési kiadások és működési célú pénzeszköz átadások </t>
  </si>
  <si>
    <t xml:space="preserve">Támogatásértékű felhalmozási kiadások és felhalmozási célú pénzeszköz átadások </t>
  </si>
  <si>
    <t>Egyéb az önkormányzat rendeletében megállapítható juttatás</t>
  </si>
  <si>
    <t xml:space="preserve">Támogatásértékű felhalmozási kiadások  </t>
  </si>
  <si>
    <t>Nemzetiségi önkormányzatok támogatása</t>
  </si>
  <si>
    <t>Költségvetési hiány:</t>
  </si>
  <si>
    <t>Költségvetési többlet:</t>
  </si>
  <si>
    <t xml:space="preserve">Sporttámogatások         </t>
  </si>
  <si>
    <t xml:space="preserve">Egyházak támogatása     </t>
  </si>
  <si>
    <t>Ellátottak pénzbeli juttatásai</t>
  </si>
  <si>
    <t xml:space="preserve"> - Gyermekes családok év végi támogatása</t>
  </si>
  <si>
    <t>Mecénás Közalapítvány támogatása</t>
  </si>
  <si>
    <t>Közhatalmi bevételek</t>
  </si>
  <si>
    <t>Megnevezés</t>
  </si>
  <si>
    <t xml:space="preserve">Tiszaújvárosi Humánszolgáltató Központ </t>
  </si>
  <si>
    <t>Előre nem látható üzemeltetési feladatok</t>
  </si>
  <si>
    <t>Munkaadókat terhelő járulékok és szociális hozzájárulási adó</t>
  </si>
  <si>
    <t>Egyéb működési célú kiadások</t>
  </si>
  <si>
    <t>5.1.</t>
  </si>
  <si>
    <t>1.4.</t>
  </si>
  <si>
    <t>1.1.</t>
  </si>
  <si>
    <t>1.2.</t>
  </si>
  <si>
    <t>1.3.</t>
  </si>
  <si>
    <t>2.1.</t>
  </si>
  <si>
    <t>2.2.</t>
  </si>
  <si>
    <t>2.3.</t>
  </si>
  <si>
    <t>2.4.</t>
  </si>
  <si>
    <t>3.1.</t>
  </si>
  <si>
    <t>3.2.</t>
  </si>
  <si>
    <t>4.1.</t>
  </si>
  <si>
    <t>4.2.</t>
  </si>
  <si>
    <t>5.2.</t>
  </si>
  <si>
    <t>5.3.</t>
  </si>
  <si>
    <t>6.1.</t>
  </si>
  <si>
    <t>6.2.</t>
  </si>
  <si>
    <t>3.3.</t>
  </si>
  <si>
    <t>7.1.</t>
  </si>
  <si>
    <t>7.2.</t>
  </si>
  <si>
    <t>Egyesületek, civil szervezetek támogatása</t>
  </si>
  <si>
    <t>Napközi Otthonos Óvoda által megvalósított beruházások, felújítások</t>
  </si>
  <si>
    <t>Tiszaújváros Városi Rendelőintézet által folyósított támogatásértékű  kiadás és pénzeszközátadás összesen:</t>
  </si>
  <si>
    <t>Egyéb dologi kiadások összesen:</t>
  </si>
  <si>
    <t>Dologi kiadások mindösszesen:</t>
  </si>
  <si>
    <t>Intézményi beruházási és felújítási kiadások</t>
  </si>
  <si>
    <t>Hosszú lejáratú hitelek törlesztése</t>
  </si>
  <si>
    <t>Rövid lejáratú hitelek törlesztése</t>
  </si>
  <si>
    <t>Helyi rendelet alapján folyósított szociális, gyermekvédelmi ellátás összesen</t>
  </si>
  <si>
    <t>Egyéb közhatalmi bevételek</t>
  </si>
  <si>
    <t>Beruházások</t>
  </si>
  <si>
    <t>Sor-
szám</t>
  </si>
  <si>
    <t xml:space="preserve">Dologi kiadások </t>
  </si>
  <si>
    <t>Kölcsön törlesztése</t>
  </si>
  <si>
    <t>Költségvetési maradvány igénybevétele</t>
  </si>
  <si>
    <t>Egyéb belső finanszírozási bevételek</t>
  </si>
  <si>
    <t>Befektetési célú belföldi, külföldi értékpapírok vásárlása</t>
  </si>
  <si>
    <t>Hosszú lejáratú hitelek, kölcsönök felvétele</t>
  </si>
  <si>
    <t>Rövid lejáratú hitelek, kölcsönök felvétele</t>
  </si>
  <si>
    <t>Egyéb külső finanszírozási bevételek</t>
  </si>
  <si>
    <t>Sorszám</t>
  </si>
  <si>
    <t>Intézmények összesen</t>
  </si>
  <si>
    <t xml:space="preserve">Működési költségvetési maradvány igénybevétele </t>
  </si>
  <si>
    <t>Bevételi jogcímek</t>
  </si>
  <si>
    <t>Tiszaújvárosi Intézményműködtető Központ</t>
  </si>
  <si>
    <t>TIK által megvalósított beruházások, felújítások</t>
  </si>
  <si>
    <t>Tiszaújvárosi Polgármesteri Hivatal</t>
  </si>
  <si>
    <t>Helyi autóbusz közlekedés támogatása</t>
  </si>
  <si>
    <t>Költségvetési szerv megnevezése</t>
  </si>
  <si>
    <t>03</t>
  </si>
  <si>
    <t>Feladat megnevezése</t>
  </si>
  <si>
    <t>Összes bevétel, kiadás</t>
  </si>
  <si>
    <t>01</t>
  </si>
  <si>
    <t>Száma</t>
  </si>
  <si>
    <t>Készletértékesítés ellenértéke</t>
  </si>
  <si>
    <t>Szolgáltatások ellenértéke</t>
  </si>
  <si>
    <t>Közvetített szolgáltatások értéke</t>
  </si>
  <si>
    <t>Tulajdonosi bevételek</t>
  </si>
  <si>
    <t>1.5.</t>
  </si>
  <si>
    <t>Ellátási díjak</t>
  </si>
  <si>
    <t>1.6.</t>
  </si>
  <si>
    <t>Kiszámlázott általános forgalmi adó</t>
  </si>
  <si>
    <t>1.7.</t>
  </si>
  <si>
    <t>Általános forgalmi adó visszatérülése</t>
  </si>
  <si>
    <t>1.8.</t>
  </si>
  <si>
    <t>1.9.</t>
  </si>
  <si>
    <t>Egyéb pénzügyi műveletek bevételei</t>
  </si>
  <si>
    <t>1.10.</t>
  </si>
  <si>
    <t>Egyéb működési bevételek</t>
  </si>
  <si>
    <t>Működési célú támogatások államháztartáson belülről (2.1.+…+2.3.)</t>
  </si>
  <si>
    <t>Elvonások és befizetések bevételei</t>
  </si>
  <si>
    <t>Visszatérítendő támogatások, kölcsönök visszatérülése ÁH-n belülről</t>
  </si>
  <si>
    <t>Egyéb működési célú támogatások bevételei államháztartáson belülről</t>
  </si>
  <si>
    <t>Felhalmozási célú támogatások államháztartáson belülről (4.1.+4.2.)</t>
  </si>
  <si>
    <t>Egyéb felhalmozási célú támogatások bevételei államháztartáson belülről</t>
  </si>
  <si>
    <t>4.3.</t>
  </si>
  <si>
    <t>- ebből EU-s támogatás</t>
  </si>
  <si>
    <t>Felhalmozási bevételek (5.1.+…+5.3.)</t>
  </si>
  <si>
    <t>Immateriális javak értékesítése</t>
  </si>
  <si>
    <t>Ingatlanok értékesítése</t>
  </si>
  <si>
    <t>Egyéb tárgyi eszközök értékesítése</t>
  </si>
  <si>
    <t>Működési célú átvett pénzeszközök</t>
  </si>
  <si>
    <t>9.1.</t>
  </si>
  <si>
    <t>9.2.</t>
  </si>
  <si>
    <t>9.3.</t>
  </si>
  <si>
    <t>BEVÉTELEK ÖSSZESEN: (8.+9.)</t>
  </si>
  <si>
    <t>Egyéb fejlesztési célú kiadások</t>
  </si>
  <si>
    <t>KIADÁSOK ÖSSZESEN: (1.+2.)</t>
  </si>
  <si>
    <t>Irányító szervi (önkormányzati) támogatás (intézményfinanszírozás) működési célú</t>
  </si>
  <si>
    <t>9.4.</t>
  </si>
  <si>
    <t>Irányító szervi (önkormányzati) támogatás (intézményfinanszírozás) felhalmozási célú</t>
  </si>
  <si>
    <t>Finanszírozási bevételek (9.1.+…+9.4.)</t>
  </si>
  <si>
    <t>07</t>
  </si>
  <si>
    <t>06</t>
  </si>
  <si>
    <t>05</t>
  </si>
  <si>
    <t>04</t>
  </si>
  <si>
    <t>02</t>
  </si>
  <si>
    <t>Felhalmozási költségvetési maradvány igénybevétele</t>
  </si>
  <si>
    <t>02-07</t>
  </si>
  <si>
    <t>Helyi önkormányzatok működésének általános támogatása</t>
  </si>
  <si>
    <t>Önkormányzatok kulturális feladatainak támogatása</t>
  </si>
  <si>
    <t xml:space="preserve">Működési célú visszatérítendő támogatások, kölcsönök visszatérülése </t>
  </si>
  <si>
    <t>Működési célú visszatérítendő támogatások, kölcsönök igénybevétele</t>
  </si>
  <si>
    <t xml:space="preserve">Egyéb működési célú támogatások bevételei </t>
  </si>
  <si>
    <t>Felhalmozási célú önkormányzati támogatások</t>
  </si>
  <si>
    <t>Felhalmozási célú visszatérítendő támogatások, kölcsönök visszatérülése</t>
  </si>
  <si>
    <t>3.4.</t>
  </si>
  <si>
    <t>Felhalmozási célú visszatérítendő támogatások, kölcsönök igénybevétele</t>
  </si>
  <si>
    <t>Egyéb felhalmozási célú támogatások bevételei</t>
  </si>
  <si>
    <t>Gépjárműadó</t>
  </si>
  <si>
    <t>Egyéb áruhasználati és szolgáltatási adók</t>
  </si>
  <si>
    <t>4.4.</t>
  </si>
  <si>
    <t>5.4.</t>
  </si>
  <si>
    <t>5.5.</t>
  </si>
  <si>
    <t xml:space="preserve">Kiszámlázott általános forgalmi adó </t>
  </si>
  <si>
    <t>Általános forgalmi adó visszatérítése</t>
  </si>
  <si>
    <t>6.3.</t>
  </si>
  <si>
    <t>6.4.</t>
  </si>
  <si>
    <t>Részesedések értékesítése</t>
  </si>
  <si>
    <t>6.5.</t>
  </si>
  <si>
    <t>Részesedések megszűnéséhez kapcsolódó bevételek</t>
  </si>
  <si>
    <t>Működési célú visszatérítendő támogatások, kölcsönök visszatér. ÁH-n kívülről</t>
  </si>
  <si>
    <t>Egyéb működési célú átvett pénzeszköz</t>
  </si>
  <si>
    <t>Felhalm. célú visszatérítendő támogatások, kölcsönök visszatér. ÁH-n kívülről</t>
  </si>
  <si>
    <t>Egyéb felhalmozási célú átvett pénzeszköz</t>
  </si>
  <si>
    <t>10.1.</t>
  </si>
  <si>
    <t>Hosszú lejáratú  hitelek, kölcsönök felvétele</t>
  </si>
  <si>
    <t>10.3.</t>
  </si>
  <si>
    <t>11.1.</t>
  </si>
  <si>
    <t>Forgatási célú belföldi értékpapírok beváltása,  értékesítése</t>
  </si>
  <si>
    <t>11.2.</t>
  </si>
  <si>
    <t>12.1.</t>
  </si>
  <si>
    <t>12.2.</t>
  </si>
  <si>
    <t>13.1.</t>
  </si>
  <si>
    <t>13.2.</t>
  </si>
  <si>
    <t xml:space="preserve">   - Visszatérítendő támogatások, kölcsönök nyújtása ÁH-n kívülre</t>
  </si>
  <si>
    <t>2.1.-ből EU-s forrásból megvalósuló beruházás</t>
  </si>
  <si>
    <t xml:space="preserve">   - Visszatérítendő támogatások, kölcsönök nyújtása ÁH-n belülre</t>
  </si>
  <si>
    <t xml:space="preserve">   - Egyéb felhalmozási célú támogatások ÁH-n belülre</t>
  </si>
  <si>
    <t xml:space="preserve">   - Egyéb felhalmozási célú támogatások államháztartáson kívülre</t>
  </si>
  <si>
    <t xml:space="preserve"> Pénzügyi lízing kiadásai</t>
  </si>
  <si>
    <t>Építményadó</t>
  </si>
  <si>
    <t>Idegenforgalmi adó</t>
  </si>
  <si>
    <t>TISZAÚJVÁROS VÁROS ÖNKORMÁNYZATA</t>
  </si>
  <si>
    <t xml:space="preserve"> - ebből EU-s támogatás</t>
  </si>
  <si>
    <t>Egyéb működési célú támogatások államháztartáson kívülre</t>
  </si>
  <si>
    <t>Egyéb működési célú támogatások ÁH-n belülre</t>
  </si>
  <si>
    <t>- ebből EU-s forrásból megvalósuló beruházás</t>
  </si>
  <si>
    <t>- ebből EU-s forrásból megvalósuló felújítás</t>
  </si>
  <si>
    <t>Egyéb felhalmozási célú támogatások államháztartáson kívülre</t>
  </si>
  <si>
    <t>Egyéb felhalmozási célú támogatások ÁH-n belülre</t>
  </si>
  <si>
    <t xml:space="preserve"> Irányító szervi támogatások folyósítása (működési)</t>
  </si>
  <si>
    <t xml:space="preserve"> Irányító szervi támogatások folyósítása (felhalmozási)</t>
  </si>
  <si>
    <t xml:space="preserve">  Forgatási célú belföldi értékpapírok vásárlása</t>
  </si>
  <si>
    <t xml:space="preserve">  Likviditási célú hitelek, kölcsönök törlesztése pénzügyi vállalkozásnak</t>
  </si>
  <si>
    <t xml:space="preserve">  Rövid lejáratú hitelek, kölcsönök törlesztése</t>
  </si>
  <si>
    <t>I. Működési célú bevételek és kiadások mérlege
(Önkormányzati szinten)</t>
  </si>
  <si>
    <t>Működési célú támogatások államháztartáson belülről</t>
  </si>
  <si>
    <t>II. Felhalmozási célú bevételek és kiadások mérlege
(Önkormányzati szinten)</t>
  </si>
  <si>
    <t>Felhalmozási célú támogatások államháztartáson belülről</t>
  </si>
  <si>
    <t>Felhalmozási bevételek</t>
  </si>
  <si>
    <t>Felhalmozási célú átvett pénzeszközök átvétele</t>
  </si>
  <si>
    <t>Egyéb felhalmozási célú bevételek</t>
  </si>
  <si>
    <t>Pénzügyi lízing kiadásai</t>
  </si>
  <si>
    <t>KÖLTSÉGVETÉSI, FINANSZÍROZÁSI BEVÉTELEK ÉS KIADÁSOK EGYENLEGE</t>
  </si>
  <si>
    <t>BEVÉTELEK ÉS  KIADÁSOK EGYENLEGE</t>
  </si>
  <si>
    <t xml:space="preserve"> - Egyszeri év végi támogatás</t>
  </si>
  <si>
    <t xml:space="preserve"> - Gyermekétkeztetési térítési díjtámogatás</t>
  </si>
  <si>
    <t xml:space="preserve"> - Táboroztatási támogatás</t>
  </si>
  <si>
    <t xml:space="preserve">Működési célú támogatások </t>
  </si>
  <si>
    <t>Működési célú támogatások államháztartáson belülre</t>
  </si>
  <si>
    <t xml:space="preserve">Működési célú támogatások államháztartáson kívülre </t>
  </si>
  <si>
    <t>Tiszaújvárosi Sport-Park Nonprofit Kft. támogatása</t>
  </si>
  <si>
    <t xml:space="preserve">Felhalmozási célú támogatások </t>
  </si>
  <si>
    <t>Felhalmozási célú támogatások államháztartáson belülre</t>
  </si>
  <si>
    <t xml:space="preserve">Felhalmozási célú támogatások államháztartáson kívülre </t>
  </si>
  <si>
    <t>Önkormányzat támogatásai összesen:</t>
  </si>
  <si>
    <t>Intézmények támogatásai összesen:</t>
  </si>
  <si>
    <t>Tiszaújváros Város Önkormányzata támogatásai összesen:</t>
  </si>
  <si>
    <t>Egyéb felhalmozási célú kiadások</t>
  </si>
  <si>
    <t>Épületfenntartás kiadásai</t>
  </si>
  <si>
    <t>Személyi juttatásokból jutalom, céljuttatás</t>
  </si>
  <si>
    <t>Működési célú költségvetési támogatások és kiegészítő támogatások</t>
  </si>
  <si>
    <t>Elszámolásból származó bevételek</t>
  </si>
  <si>
    <t>2.4.-ből EU-s támogatás</t>
  </si>
  <si>
    <t>Közvetített szolgáltatások ellenértéke</t>
  </si>
  <si>
    <t>Biztosító által fizetett kártérítés</t>
  </si>
  <si>
    <t>1.11.</t>
  </si>
  <si>
    <t>Működési bevételek (1.1.+…+1.11.)</t>
  </si>
  <si>
    <t>Vagyoni típusú adók</t>
  </si>
  <si>
    <t>Értékesítési és forgalmi adók</t>
  </si>
  <si>
    <t>Helyi iparűzési adó</t>
  </si>
  <si>
    <t>4.2.1.</t>
  </si>
  <si>
    <t>4.5.</t>
  </si>
  <si>
    <t>Települési támogatás</t>
  </si>
  <si>
    <t>"Sulizsaru" program támogatása</t>
  </si>
  <si>
    <t>"Tiszaújváros jövőjéért" Alapítvány támogatása</t>
  </si>
  <si>
    <t>ifj. Márkus Gábor Alapítvány támogatása</t>
  </si>
  <si>
    <t>Zabos Géza Horgászegyesület támogatása</t>
  </si>
  <si>
    <t>Kiadási jogcímek</t>
  </si>
  <si>
    <t xml:space="preserve">Tiszaújvárosi Napközi Otthonos Óvoda </t>
  </si>
  <si>
    <t>Álláshelyek száma</t>
  </si>
  <si>
    <t>Közfoglalkoztatottak álláshelyeinek száma</t>
  </si>
  <si>
    <t xml:space="preserve">Álláshelyek száma </t>
  </si>
  <si>
    <t xml:space="preserve">Intézmények által megvalósítandó beruházások </t>
  </si>
  <si>
    <t>Intézmények által megvalósítandó felújítások</t>
  </si>
  <si>
    <t>Intézmények által megvalósítandó beruházások és felújítások összesen</t>
  </si>
  <si>
    <t>Tiszaújváros Város Önkormányzata által megvalósítandó beruházások  és felújítások</t>
  </si>
  <si>
    <t>A</t>
  </si>
  <si>
    <t>B</t>
  </si>
  <si>
    <t>C</t>
  </si>
  <si>
    <t>D</t>
  </si>
  <si>
    <t>E</t>
  </si>
  <si>
    <t>Kamatbevételek és más nyereségjellegű bevételek</t>
  </si>
  <si>
    <t>Államháztartáson belüli megelőlegezések folyósítása</t>
  </si>
  <si>
    <t>Államháztartáson belüli megelőlegezések visszafizetése</t>
  </si>
  <si>
    <t>1.1.1.</t>
  </si>
  <si>
    <t>1.5.1.</t>
  </si>
  <si>
    <t>1.5.2.</t>
  </si>
  <si>
    <t>1.5.3.</t>
  </si>
  <si>
    <t>1.5.4.</t>
  </si>
  <si>
    <t>1.5.5.</t>
  </si>
  <si>
    <t>KÖLTSÉGVETÉSI KIADÁSOK ÖSSZESEN (1+2)</t>
  </si>
  <si>
    <t>Hitel-, kölcsöntörlesztés államháztartáson kívülre (4.1. + … + 4.3.)</t>
  </si>
  <si>
    <t>FINANSZÍROZÁSI KIADÁSOK ÖSSZESEN: (4.+…+6.)</t>
  </si>
  <si>
    <t>KIADÁSOK ÖSSZESEN: (3+7)</t>
  </si>
  <si>
    <t>2.2.1.</t>
  </si>
  <si>
    <t>2.1.1.</t>
  </si>
  <si>
    <t>2.3.1.</t>
  </si>
  <si>
    <t>2.3.2.</t>
  </si>
  <si>
    <t>2.3.3.</t>
  </si>
  <si>
    <t>2.3.4.</t>
  </si>
  <si>
    <t>2.4.1.</t>
  </si>
  <si>
    <t>3.4.1.</t>
  </si>
  <si>
    <t>7.2.1.</t>
  </si>
  <si>
    <t>Likviditási célú  hitelek, kölcsönök felvétele</t>
  </si>
  <si>
    <t>12.3.</t>
  </si>
  <si>
    <t xml:space="preserve">Hiány belső finanszírozásának bevételei </t>
  </si>
  <si>
    <t xml:space="preserve">Költségvetési bevételek összesen </t>
  </si>
  <si>
    <t>Költségvetési kiadások összesen</t>
  </si>
  <si>
    <t xml:space="preserve">Működési célú finanszírozási kiadások összesen </t>
  </si>
  <si>
    <t>Működési célú finanszírozási bevételek összesen</t>
  </si>
  <si>
    <t xml:space="preserve">Hiány külső finanszírozásának bevételei </t>
  </si>
  <si>
    <t>Költségvetési bevételek összesen</t>
  </si>
  <si>
    <t xml:space="preserve">Költségvetési kiadások összesen </t>
  </si>
  <si>
    <t xml:space="preserve">Hiány belső finanszírozás bevételei </t>
  </si>
  <si>
    <t>Felhalmozási célú finanszírozási bevételek összesen</t>
  </si>
  <si>
    <t>BEVÉTEL ÖSSZESEN (10+20)</t>
  </si>
  <si>
    <t>KIADÁSOK ÖSSZESEN (10+20)</t>
  </si>
  <si>
    <t>Ebből: EU-s támogatás</t>
  </si>
  <si>
    <t>Ebből: EU-s támogatás (közvetlen)</t>
  </si>
  <si>
    <t>Ebből: EU-s forrásból megvalósuló felújítás</t>
  </si>
  <si>
    <t>Ebből :EU-s forrásból megvalósuló beruházás</t>
  </si>
  <si>
    <t>2.2.2.</t>
  </si>
  <si>
    <t>K506</t>
  </si>
  <si>
    <t>K512</t>
  </si>
  <si>
    <t>K84</t>
  </si>
  <si>
    <t>K89</t>
  </si>
  <si>
    <t xml:space="preserve"> - Életkezdési támogatás</t>
  </si>
  <si>
    <t>Partnervárosok támogatása</t>
  </si>
  <si>
    <t>Tiszaújvárosi Diáksport támogatása</t>
  </si>
  <si>
    <t>2.2.-ból EU-s forrásból megvalósuló felújítás</t>
  </si>
  <si>
    <t>Kulturális stratégia megvalósításának támogatása</t>
  </si>
  <si>
    <t>Államháztartáson belüli megelőlegezések törlesztése</t>
  </si>
  <si>
    <t>Belföldi finanszírozás kiadásai (6.1. + … + 6.5.)</t>
  </si>
  <si>
    <t xml:space="preserve">Belföldi értékpapírok kiadásai </t>
  </si>
  <si>
    <t>Belföldi finanszírozás kiadásai</t>
  </si>
  <si>
    <t xml:space="preserve">Költségvetési maradvány igénybevétele </t>
  </si>
  <si>
    <t xml:space="preserve">Betétek megszüntetése </t>
  </si>
  <si>
    <t>Likviditási célú hitelek, kölcsönök felvétele</t>
  </si>
  <si>
    <t>Forgatási célú belföldi értékpapírok vásárlása</t>
  </si>
  <si>
    <t xml:space="preserve">Pénzeszközök betétként elhelyezése </t>
  </si>
  <si>
    <t>1.5.6.</t>
  </si>
  <si>
    <t>Forintban</t>
  </si>
  <si>
    <t>Témaszám</t>
  </si>
  <si>
    <t>Önkormányzat által megvalósítandó beruházások, felújítások</t>
  </si>
  <si>
    <t>Polgármesteri Hivatal által megvalósítandó beruházások, felújítások</t>
  </si>
  <si>
    <t>Tiszaújvárosi Humánszolgáltató Központ által megvalósítandó beruházások, felújítások</t>
  </si>
  <si>
    <t>Tiszaújváros Városi Rendelőintézet által megvalósítandó beruházások, felújítások</t>
  </si>
  <si>
    <t>7.2.-ből EU-s támogatás (közvetlen)</t>
  </si>
  <si>
    <t xml:space="preserve">Előző év működési költségvetési maradvány igénybevétele </t>
  </si>
  <si>
    <t>Előző év felhalmozási költségvetési maradvány igénybevétele</t>
  </si>
  <si>
    <t xml:space="preserve">  Hosszú lejáratú hitelek, kölcsönök törlesztése pénzügyi vállalkozásnak</t>
  </si>
  <si>
    <t xml:space="preserve"> Pénzeszközök lekötött betétként elhelyezése </t>
  </si>
  <si>
    <t xml:space="preserve"> - Iskolakezdési támogatás</t>
  </si>
  <si>
    <t xml:space="preserve"> - Kábel TV előfizetési díjtámogatás</t>
  </si>
  <si>
    <t xml:space="preserve"> - Hulladékszállítási díjtámogatás</t>
  </si>
  <si>
    <t xml:space="preserve"> - Születési támogatás</t>
  </si>
  <si>
    <t xml:space="preserve"> - Szünidei gyermekétkeztetés</t>
  </si>
  <si>
    <t>Lekötött betétek megszüntetése</t>
  </si>
  <si>
    <t>Felhalmozási célú finanszírozási kiadások összesen</t>
  </si>
  <si>
    <t>Felhalmozási célú átvett pénzeszközök (7.1. + 7.2.)</t>
  </si>
  <si>
    <t>"Zöldülő Tiszaújváros" program feladatai</t>
  </si>
  <si>
    <t>Teljesítés %-a</t>
  </si>
  <si>
    <t>I</t>
  </si>
  <si>
    <t xml:space="preserve">   Felhalmozási költségvetés kiadásai (2.1.+2.2.+2.3.)</t>
  </si>
  <si>
    <t xml:space="preserve"> </t>
  </si>
  <si>
    <t>Energiaracionalizálási és gépészeti feladatok támogatása</t>
  </si>
  <si>
    <t>Tiszaújvárosi Művelődési Központ és Könyvtár</t>
  </si>
  <si>
    <t>F</t>
  </si>
  <si>
    <t>J</t>
  </si>
  <si>
    <t>Éven túli lejáratú belföldi értékpapírok kibocsátása</t>
  </si>
  <si>
    <t xml:space="preserve"> Forgatási célú belföldi értékpapírok vásárlása</t>
  </si>
  <si>
    <t xml:space="preserve"> Éven túli lejáratú belföldi értékpapírok beváltása</t>
  </si>
  <si>
    <t>Tiszaújvárosi Művelődési Központ és Könyvtár által megvalósítandó beruházások, felújítások</t>
  </si>
  <si>
    <t>KÖTELEZŐ FELADATAINAK MÉRLEGE</t>
  </si>
  <si>
    <t xml:space="preserve">   Felhalmozási költségvetés kiadásai (2.1.+2.3.+2.3.)</t>
  </si>
  <si>
    <t>2.3.-ból EU-s forrásból megvalósuló felújítás</t>
  </si>
  <si>
    <t xml:space="preserve">  Hosszú lejáratú hitelek, kölcsönök törlesztése</t>
  </si>
  <si>
    <t xml:space="preserve"> Pénzeszközök betétként elhelyezése </t>
  </si>
  <si>
    <t xml:space="preserve"> Államháztartáson belüli megelőlegezések törlesztése</t>
  </si>
  <si>
    <t>ÖNKÉNT VÁLLALT FELADATAINAK MÉRLEGE</t>
  </si>
  <si>
    <t>ÁLLAMIGAZGATÁSI FELADATOK MÉRLEGE</t>
  </si>
  <si>
    <t>Kötelező feladatok bevételei, kiadásai</t>
  </si>
  <si>
    <t>Önként vállalt feladatok bevételei, kiadásai</t>
  </si>
  <si>
    <t>Államigazgatási feladatok bevételei, kiadásai</t>
  </si>
  <si>
    <t>Beruházási (felhalmozási) kiadások előirányzata beruházásonként</t>
  </si>
  <si>
    <t>Beruházás  megnevezése</t>
  </si>
  <si>
    <t>Teljes költség</t>
  </si>
  <si>
    <t>Kivitelezés kezdési és befejezési éve</t>
  </si>
  <si>
    <t>Tiszaújváros Város Önkormányzata által megvalósítandó beruházások:</t>
  </si>
  <si>
    <t>Tiszaújvárosi Polgármesteri Hivatal által megvalósítandó beruházások:</t>
  </si>
  <si>
    <t>Tiszaújvárosi Intézményműködtető Központ által megvalósítandó beruházások:</t>
  </si>
  <si>
    <t>Tiszaújvárosi Humánszolgáltató Központ által megvalósítandó beruházások:</t>
  </si>
  <si>
    <t>Tiszaújvárosi Napközi Otthonos Óvoda által megvalósítandó beruházások:</t>
  </si>
  <si>
    <t>Tiszaújváros Városi Rendelőintézet által megvalósítandó beruházások:</t>
  </si>
  <si>
    <t>ÖSSZESEN:</t>
  </si>
  <si>
    <t>Felújítási kiadások előirányzata felújításonként</t>
  </si>
  <si>
    <t>Felújítás  megnevezése</t>
  </si>
  <si>
    <t>Tiszaújváros Város Önkormányzata által megvalósítandó felújítások:</t>
  </si>
  <si>
    <t>Tiszaújvárosi Intézményműködtető Központ által megvalósítandó felújítások:</t>
  </si>
  <si>
    <t>Tiszaújváros Városi Rendelőintézet által megvalósítandó felújítások:</t>
  </si>
  <si>
    <t>Sor-szám</t>
  </si>
  <si>
    <t>MEGNEVEZÉS</t>
  </si>
  <si>
    <t>Évek</t>
  </si>
  <si>
    <t>G</t>
  </si>
  <si>
    <t>ÖSSZES KÖTELEZETTSÉG</t>
  </si>
  <si>
    <t>*Az adósságot keletkeztető ügyletekhez történő hozzájárulás részletes szabályairól szóló 353/2011. (XII.31.) Korm. rendelet 2. § (1) bekezdése alapján.</t>
  </si>
  <si>
    <t>Fejlesztési cél leírása</t>
  </si>
  <si>
    <t>Fejlesztés várható kiadása</t>
  </si>
  <si>
    <t>ADÓSSÁGOT KELETKEZTETŐ ÜGYLETEK VÁRHATÓ EGYÜTTES ÖSSZEGE</t>
  </si>
  <si>
    <t>Adatszolgáltatás 
az elismert tartozásállományról</t>
  </si>
  <si>
    <t>Költségvetési szerv neve:</t>
  </si>
  <si>
    <t>…………………………………</t>
  </si>
  <si>
    <t>Költségvetési szerv számlaszáma:</t>
  </si>
  <si>
    <t xml:space="preserve">Éves eredeti kiadási előirányzat: </t>
  </si>
  <si>
    <t>………</t>
  </si>
  <si>
    <t xml:space="preserve"> Ft</t>
  </si>
  <si>
    <t>30 napon túli elismert tartozásállomány összesen:</t>
  </si>
  <si>
    <t xml:space="preserve">Tartozásállomány megnevezése </t>
  </si>
  <si>
    <t>30 nap 
alatti
állomány</t>
  </si>
  <si>
    <t>30-60 nap 
közötti 
állomány</t>
  </si>
  <si>
    <t>60 napon 
túli 
állomány</t>
  </si>
  <si>
    <t>Át-ütemezett</t>
  </si>
  <si>
    <t>Állammal szembeni tartozások</t>
  </si>
  <si>
    <t>Központi költségvetéssel szemben fennálló tartozás</t>
  </si>
  <si>
    <t>Elkülönített állami pénzalapokkal szembeni tartozás</t>
  </si>
  <si>
    <t>TB alapokkal szembeni tartozás</t>
  </si>
  <si>
    <t>Tartozásállomány önkormányzatok és intézmények felé</t>
  </si>
  <si>
    <t>Egyéb tartozásállomány</t>
  </si>
  <si>
    <t>költségvetési szerv vezetője</t>
  </si>
  <si>
    <t xml:space="preserve">Intézmény                                               </t>
  </si>
  <si>
    <t>Vezetői pótlék mértéke a költségvetési törvényben meghatározott pótlékalap százalékában (%)</t>
  </si>
  <si>
    <t>Jogosultak száma (fő)</t>
  </si>
  <si>
    <t>munkakör</t>
  </si>
  <si>
    <t>TISZAÚJVÁROSI INTÉZMÉNYMŰKÖDTETŐ KÖZPONT</t>
  </si>
  <si>
    <t>intézményvezető (magasabb vezető)</t>
  </si>
  <si>
    <t>csoportvezető (vezető)</t>
  </si>
  <si>
    <t>TISZAÚJVÁROSI HUMÁNSZOLGÁLTATÓ  KÖZPONT</t>
  </si>
  <si>
    <t>TISZAÚJVÁROS VÁROSI RENDELŐINTÉZET</t>
  </si>
  <si>
    <t>gazdasági igazgató (magasabb vezető)</t>
  </si>
  <si>
    <t>MAGASABB VEZETŐK, VEZETŐK ÖSSZESEN</t>
  </si>
  <si>
    <t xml:space="preserve">Intézmény </t>
  </si>
  <si>
    <t>Vezetői pótlék mértéke a köznevelési törvény szerint meghatározott illetményalap százalékában (%)</t>
  </si>
  <si>
    <t>Jogosultak száma  (fő)</t>
  </si>
  <si>
    <t>TISZAÚJVÁROSI NAPKÖZI OTTHONOS ÓVODA</t>
  </si>
  <si>
    <t>MAGASABB VEZETŐK, VEZETŐK MINDÖSSZESEN</t>
  </si>
  <si>
    <t>Feltételtől függő pótlékok</t>
  </si>
  <si>
    <t>Idegennyelv  tudási pótlék</t>
  </si>
  <si>
    <t>Szociális ágazati összevont pótlék</t>
  </si>
  <si>
    <t>Bölcsődei pótlék</t>
  </si>
  <si>
    <t>Fokozott fizikai, pszichés megterhelés miatti pótlék</t>
  </si>
  <si>
    <t>Tiszaújvárosi                               Humánszolgáltató Központ</t>
  </si>
  <si>
    <t>Tiszaújvárosi Napközi Otthonos Óvoda</t>
  </si>
  <si>
    <t>AZ   INTÉZMÉNYEKBEN   CÍMPÓTLÉKOKBAN   RÉSZESÜLŐK   SZÁMA  (fő)</t>
  </si>
  <si>
    <t>Főmunkatársi pótlék</t>
  </si>
  <si>
    <t>Tanácsosi pótlék</t>
  </si>
  <si>
    <t>Tiszaújvárosi Humánszolgáltató Központ</t>
  </si>
  <si>
    <t>EU-s projekt neve, azonosítója:</t>
  </si>
  <si>
    <t>Források</t>
  </si>
  <si>
    <t>Saját erő</t>
  </si>
  <si>
    <t>- saját erőből központi támogatás</t>
  </si>
  <si>
    <t>EU-s forrás</t>
  </si>
  <si>
    <t>Társfinanszírozás</t>
  </si>
  <si>
    <t>Hitel</t>
  </si>
  <si>
    <t>Egyéb forrás</t>
  </si>
  <si>
    <t>Források összesen:</t>
  </si>
  <si>
    <t>Kiadások, költségek</t>
  </si>
  <si>
    <t>Személyi jellegű</t>
  </si>
  <si>
    <t>Szolgáltatások igénybe vétele</t>
  </si>
  <si>
    <t xml:space="preserve">  </t>
  </si>
  <si>
    <t>Adminisztratív költségek</t>
  </si>
  <si>
    <t>Fel nem használt előleg visszautalás</t>
  </si>
  <si>
    <t>Támogatott neve</t>
  </si>
  <si>
    <t>Hozzájárulás  (Ft)</t>
  </si>
  <si>
    <t>TISZAÚJVÁROSI MŰVELŐDÉSI KÖZPONT ÉS KÖNYVTÁR</t>
  </si>
  <si>
    <t>Tiszaújvárosi Művelődési Központ és Könyvtár által megvalósítandó beruházások:</t>
  </si>
  <si>
    <t>Számítástechnikai tárgyi eszköz beszerzése</t>
  </si>
  <si>
    <t>Informatikai hardver, szoftver beszerzések</t>
  </si>
  <si>
    <t>Immateriális javak beszerzése</t>
  </si>
  <si>
    <t>Immateriális javak beszerzése, létesítése</t>
  </si>
  <si>
    <t>Informatikai eszközök beszerzése, létesítése</t>
  </si>
  <si>
    <t>Informatikai eszközök beszerzése</t>
  </si>
  <si>
    <t>Egyéb tárgyi eszközök beszerzése</t>
  </si>
  <si>
    <t>Játszótéri elemek cseréje</t>
  </si>
  <si>
    <t>Ivóvíz közmű felújítások</t>
  </si>
  <si>
    <t>Szennyvíz közmű felújítások</t>
  </si>
  <si>
    <t>Tárgyi eszközök beszerzése</t>
  </si>
  <si>
    <t>Bruttó hiány:</t>
  </si>
  <si>
    <t>Bruttó többlet:</t>
  </si>
  <si>
    <t>2023.</t>
  </si>
  <si>
    <t>Államháztartáson belüli megelőlegezések</t>
  </si>
  <si>
    <t>Informatikai infrastruktúra fejlesztése</t>
  </si>
  <si>
    <t>Állami fenntartású köznevelési intézmények támogatása</t>
  </si>
  <si>
    <t>Rövid lejáratú  hitelek, kölcsönök felvétele</t>
  </si>
  <si>
    <t>Váratlan meghibásodások miatt szükséges eszközök beszerzése</t>
  </si>
  <si>
    <t>Tiszaújváros Város Önkormányzata saját bevételeinek részletezése az adósságot keletkeztető  ügyletből származó tárgyévi fizetési kötelezettség megállapításához</t>
  </si>
  <si>
    <t>Az önkormányzati vagyon és az önkormányzatot megillető vagyoni értékű jog értékesítéséből és hasznosításából származó bevétel (tulajdonosi bevétel)</t>
  </si>
  <si>
    <t>Osztalék, koncessziós díj és hozambevétel</t>
  </si>
  <si>
    <t>Tárgyi eszköz és az immateriális jószág, részvény, részesedés, vállalat értékesítéséből vagy privatizációból származó bevétel (ingatlan értékesítés)</t>
  </si>
  <si>
    <t>Kezesség-, illetve garanciavállalással kapcsolatos megtérülés</t>
  </si>
  <si>
    <t>Saját bevételek (01+… .+06)</t>
  </si>
  <si>
    <t>09</t>
  </si>
  <si>
    <t>A számvitelről szóló törvény (a továbbiakban: Szt.) szerinti hitelviszonyt megtestesítő értékpapír forgalomba hozatala a forgalomba hozatal napjától a beváltás napjáig, kamatozó értékpapír esetén annak névértéke, egyéb értékpapír esetén annak vételára</t>
  </si>
  <si>
    <t>Váltó kibocsátása a kibocsátás napjától a beváltás napjáig, és annak a váltóval kiváltott kötelezettséggel megegyező, kamatot nem tartalmazó értéke</t>
  </si>
  <si>
    <t>Az Szt. szerint pénzügyi lízing lízingbevevői félként történő megkötése a lízing futamideje alatt, és a lízingszerződésben kikötött tőkerész hátralévő összege</t>
  </si>
  <si>
    <t>A visszavásárlási kötelezettség kikötésével megkötött adásvételi szerződés eladói félként történő megkötése - ideértve az Szt. szerinti valódi penziós és óvadéki repóügyleteket is - a visszavásárlásig, és a kikötött visszavásárlási ár</t>
  </si>
  <si>
    <t>A szerződésben kapott, legalább háromszázhatvanöt nap időtartamú halasztott fizetés, részletfizetés, és a még ki nem fizetett ellenérték</t>
  </si>
  <si>
    <t>Hitelintézetek által, származékos műveletek különbözeteként az Államadósság Kezelő Központ Zrt.-nél (a továbbiakban: ÁKK Zrt.) elhelyezett fedezeti betétek, és azok összege</t>
  </si>
  <si>
    <t>Hitel, kölcsön felvétele, átvállalása a folyósítás, átvállalás napjától a végtörlesztés napjáig, és annak aktuális tőketartozása (hitelből eredő fizetési kötelezettség)</t>
  </si>
  <si>
    <t>Tiszaújvárosi Rendőrkapitányság támogatása</t>
  </si>
  <si>
    <t>Forgatási célú belföldi értékpapírok beváltása, értékesítése</t>
  </si>
  <si>
    <t>Beruházások, beszerzések, felújítások</t>
  </si>
  <si>
    <t>Települési önkormányzatok egyes köznevelési feladatainak támogatása</t>
  </si>
  <si>
    <t>Települési önkormányzatok egyes szociális, gyermekjóléti feladatainak támogatása</t>
  </si>
  <si>
    <t>Települési önkormányzatok gyermekétkeztetési feladatainak támogatása</t>
  </si>
  <si>
    <t>Befektetési célú belföldi értékpapírok beváltása, értékesítése</t>
  </si>
  <si>
    <t xml:space="preserve"> Befektetési célú belföldi értékpapírok vásárlása</t>
  </si>
  <si>
    <t xml:space="preserve">  Befektetési célú belföldi értékpapírok vásárlása</t>
  </si>
  <si>
    <t>Belföldi értékpapírok kiadásai (5.1. + … + 5.3.)</t>
  </si>
  <si>
    <t xml:space="preserve">  Éven túli lejáratú belföldi értékpapírok beváltása</t>
  </si>
  <si>
    <t>KÖLTSÉGVETÉSI KIADÁSOK ÖSSZESEN (1.+2.)</t>
  </si>
  <si>
    <t>Hitel-, kölcsöntörlesztés államháztartáson kívülre (4.1.+…+4.3.)</t>
  </si>
  <si>
    <t>Belföldi finanszírozás kiadásai (6.1.+…+6.5.)</t>
  </si>
  <si>
    <t>KIADÁSOK ÖSSZESEN: (3.+7.)</t>
  </si>
  <si>
    <t>FINANSZÍROZÁSI KIADÁSOK ÖSSZESEN: (4.+5.+6.)</t>
  </si>
  <si>
    <t>Belföldi értékpapírok kiadásai (5.1.+…+5.3.)</t>
  </si>
  <si>
    <t>Költségvetési bevételek összesen (1.+2.+3.+4.+5.+6.+7.)</t>
  </si>
  <si>
    <t>Működési költségvetés kiadásai (1.1.+1.2.+1.3.+1.4.+1.5.)</t>
  </si>
  <si>
    <t>Felhalmozási költségvetés kiadásai (2.1.+2.2.+2.3.)</t>
  </si>
  <si>
    <t>- Sportlétesítmények használati díja</t>
  </si>
  <si>
    <t>- Sportegyesületek támogatása</t>
  </si>
  <si>
    <t>Sportfejlesztési koncepció megvalósításának támogatása</t>
  </si>
  <si>
    <t>Kisértékű ügyviteli, informatikai eszközök beszerzése, létesítése</t>
  </si>
  <si>
    <t>2.2.-ből EU-s forrásból megvalósuló felújítás</t>
  </si>
  <si>
    <t xml:space="preserve"> - az 1.5.-ből: - Elvonások és befizetések</t>
  </si>
  <si>
    <t>Felhalmozási célú átvett pénzeszközök  (7.1.+7.2.)</t>
  </si>
  <si>
    <t>12.4.</t>
  </si>
  <si>
    <t>12.5.</t>
  </si>
  <si>
    <t>VEZETŐI PÓTLÉKOK/VEZETŐI JUTTATÁSOK</t>
  </si>
  <si>
    <t>45.000</t>
  </si>
  <si>
    <t>35.000</t>
  </si>
  <si>
    <t xml:space="preserve">csoportvezető </t>
  </si>
  <si>
    <t>20.000</t>
  </si>
  <si>
    <t>VEZETŐK ÖSSZESEN</t>
  </si>
  <si>
    <t>Vezetői juttatás mértéke az egyes egészségügyi dolgozók és egészségügyben dolgozók illetmény- vagy bérnövelésének, valamint az ahhoz kapcsolódó támogatás igénybevételének részletes szabályairól szóló 256/2013. (VII. 5.) Korm. rendelet 2/D. § (1) bekezdésében meghatározott pótlékalap %-ában</t>
  </si>
  <si>
    <t xml:space="preserve">   Jogosultak száma                         (fő)</t>
  </si>
  <si>
    <t>AZ INTÉZMÉNYEKBEN PÓTLÉKBAN, JUTTATÁSBAN RÉSZESÜLŐK SZÁMA</t>
  </si>
  <si>
    <t>Magasabb  vezetői pótlék, juttatás</t>
  </si>
  <si>
    <t>Vezetői (vezetői, csoport vezetői) pótlék, juttatás</t>
  </si>
  <si>
    <t>Munkahelyi pótlék</t>
  </si>
  <si>
    <t>Egészségügyi szakdolgozói pótlék</t>
  </si>
  <si>
    <t>Egészségügyi kiegészítő pótlék</t>
  </si>
  <si>
    <t>védőnői területi pótlék</t>
  </si>
  <si>
    <t>pedagógus ágazati szakmai pótlék</t>
  </si>
  <si>
    <t>Pótlékok, juttatások</t>
  </si>
  <si>
    <t>Munka-közösség vezetői pótlék</t>
  </si>
  <si>
    <t>23.</t>
  </si>
  <si>
    <t>Feladat
 megnevezése</t>
  </si>
  <si>
    <t>Feladat 
megnevezése</t>
  </si>
  <si>
    <t>Éven túli lejáratú belföldi értékpapírok beváltása</t>
  </si>
  <si>
    <t>Befektetési célú belföldi értékpapírok vásárlása</t>
  </si>
  <si>
    <t>gyógy-pedagógiai pótlék</t>
  </si>
  <si>
    <t>Kazinczy Ferenc Református Általános Iskola és Óvoda</t>
  </si>
  <si>
    <t>Borsod Állatvédő Alapítvány támogatása</t>
  </si>
  <si>
    <t>Önkormányzati tulajdonú lakótelek megvásárlásához támogatás nyújtása - vissza nem térítendő</t>
  </si>
  <si>
    <t>Triatlon nemzetközi verseny jogdíja</t>
  </si>
  <si>
    <t>Triatlon napok rendezvényeinek támogatása</t>
  </si>
  <si>
    <t>Módosított előirányzat a …../2023. (II…..)  rendelet szerint</t>
  </si>
  <si>
    <t>Változás a 2022. ../2022. (II.14.) rendelethez képest</t>
  </si>
  <si>
    <t>Polgármesteri Hivatal által megvalósítandó felújítások</t>
  </si>
  <si>
    <t>Közfoglalkoztatottak álláshelyeinek szám</t>
  </si>
  <si>
    <t>Vezetői bérpótlék mértéke a munka törvénykönyvéről szóló  2012. évi I.  Törvény 139. § (2) bekezdését figyelembe véve (Ft)</t>
  </si>
  <si>
    <t>igazgató</t>
  </si>
  <si>
    <t>igazgató-helyettes</t>
  </si>
  <si>
    <t>szakmai igazgató-helyettes</t>
  </si>
  <si>
    <t>1.12.</t>
  </si>
  <si>
    <t>1.13.</t>
  </si>
  <si>
    <t>Felhalmozási célú támogatások államháztartáson belülről (2.1.+…+2.4.)</t>
  </si>
  <si>
    <t>Közhatalmi bevételek (3.1.+3.2.+3.3.+3.4.+3.5.)</t>
  </si>
  <si>
    <t>3.1.1.</t>
  </si>
  <si>
    <t>3.2.1.</t>
  </si>
  <si>
    <t>3.4.2.</t>
  </si>
  <si>
    <t>3.5.</t>
  </si>
  <si>
    <t>4.6.</t>
  </si>
  <si>
    <t>4.7.</t>
  </si>
  <si>
    <t>4.8.</t>
  </si>
  <si>
    <t>4.9.</t>
  </si>
  <si>
    <t>4.10.</t>
  </si>
  <si>
    <t>4.11.</t>
  </si>
  <si>
    <t>Felhalmozási bevételek (5.1.+…+5.5.)</t>
  </si>
  <si>
    <t>6.2.1.</t>
  </si>
  <si>
    <t>Belföldi értékpapírok bevételei (10.1.+…+10.3.)</t>
  </si>
  <si>
    <t>Maradvány igénybevétele (11.1. + 11.2.)</t>
  </si>
  <si>
    <t>Belföldi finanszírozás bevételei (12.1.+…+12.3.)</t>
  </si>
  <si>
    <t>FINANSZÍROZÁSI BEVÉTELEK ÖSSZESEN: (9.+10.+11.+12.)</t>
  </si>
  <si>
    <t>1.5.7.</t>
  </si>
  <si>
    <t>1.5.7.1.</t>
  </si>
  <si>
    <t xml:space="preserve">                             Általános tartalék</t>
  </si>
  <si>
    <t>1.5.7.2.</t>
  </si>
  <si>
    <t xml:space="preserve">                             Céltartalék</t>
  </si>
  <si>
    <t>1.5.7.2.1.</t>
  </si>
  <si>
    <t>1.5.7.2.2.</t>
  </si>
  <si>
    <t>Működési célú támogatások államháztartáson belülről (1.8.+…+1.12.)</t>
  </si>
  <si>
    <t>Önkormányzat működési támogatásai (1.1.+…+1.7.)</t>
  </si>
  <si>
    <t xml:space="preserve">Tiszaújváros Város Önkormányzata adósságot keletkeztető ügyletekből és kezességvállalásokból fennálló kötelezettségei </t>
  </si>
  <si>
    <t xml:space="preserve">3. </t>
  </si>
  <si>
    <t>Működési bevételek (4.1.+…+4.11.)</t>
  </si>
  <si>
    <t>Működési célú átvett pénzeszközök (6.1. + 6.2.)</t>
  </si>
  <si>
    <t>KÖLTSÉGVETÉSI BEVÉTELEK ÖSSZESEN: (1+2.+3.+4.+5.+6.+7.)</t>
  </si>
  <si>
    <t>Hitel-, kölcsönfelvétel államháztartáson kívülről  (9.1.+ … +9.3.)</t>
  </si>
  <si>
    <t>2024.</t>
  </si>
  <si>
    <t>Ebből:  Önkormányzatok működési támogatásai</t>
  </si>
  <si>
    <t>igazgató (magasabb vezető)</t>
  </si>
  <si>
    <t>gazdasági igazgató-helyettes (magasabb vezető)</t>
  </si>
  <si>
    <t>üzemeltetési igazgató-helyettes (magasabb vezető)</t>
  </si>
  <si>
    <t>BEVÉTELEK ÖSSZESEN: (8.+13.)</t>
  </si>
  <si>
    <t xml:space="preserve">                          - Pályázati céltartalék</t>
  </si>
  <si>
    <t>2025.</t>
  </si>
  <si>
    <t>Részletező kód</t>
  </si>
  <si>
    <t xml:space="preserve">Tiszaújvárosi Városgazda Nonprofit Kft. támogatása </t>
  </si>
  <si>
    <t>10.2.</t>
  </si>
  <si>
    <t>Összesen
(F=B+C+D+E)</t>
  </si>
  <si>
    <t>6.2.-ből EU-s támogatás (közvetlen)</t>
  </si>
  <si>
    <t>1.12.-ből EU-s támogatás</t>
  </si>
  <si>
    <t>- Egyéb működési célú támogatások államháztartáson kívülre</t>
  </si>
  <si>
    <t>- Egyéb működési célú támogatások ÁH-n belülre</t>
  </si>
  <si>
    <t>- Visszatérítendő támogatások, kölcsönök nyújtása ÁH-n belülre</t>
  </si>
  <si>
    <t>- Szolidaritási hozzájárulás</t>
  </si>
  <si>
    <t xml:space="preserve">                           -Működési céltartalék</t>
  </si>
  <si>
    <t>- Tartalékok (1.5.7.1.+1.5.7.2.)</t>
  </si>
  <si>
    <t>- Visszatérítendő támogatások, kölcsönök nyújtása ÁH-n kívülre</t>
  </si>
  <si>
    <t>Költségvetési hiány, többlet ( költségvetési bevételek 8. sor - költségvetési kiadások 3. sor) (+/-)</t>
  </si>
  <si>
    <t>Finanszírozási bevételek, kiadások egyenlege (finanszírozási bevételek 13. sor - finanszírozási kiadások 7. sor) (+/-)</t>
  </si>
  <si>
    <t>BEVÉTELEK ÖSSZESEN (14. sor) - KIADÁSOK ÖSSZESEN (8. sor)</t>
  </si>
  <si>
    <t xml:space="preserve"> - az 1.5.-ből:    - Elvonások és befizetések</t>
  </si>
  <si>
    <t>Hosszú lejáratú hitelek, kölcsönök törlesztése</t>
  </si>
  <si>
    <t>Likviditási célú hitelek, kölcsönök törlesztése pénzügyi vállalkozásnak</t>
  </si>
  <si>
    <t>Rövid lejáratú hitelek, kölcsönök törlesztése</t>
  </si>
  <si>
    <t xml:space="preserve"> Rövid lejáratú hitelek, kölcsönök törlesztése</t>
  </si>
  <si>
    <t xml:space="preserve"> Likviditási célú hitelek, kölcsönök törlesztése pénzügyi vállalkozásnak</t>
  </si>
  <si>
    <t xml:space="preserve"> Hosszú lejáratú hitelek, kölcsönök törlesztése</t>
  </si>
  <si>
    <t>08</t>
  </si>
  <si>
    <t>Fizetési kötelezettség (08+…+14)</t>
  </si>
  <si>
    <t>Európai uniós támogatással megvalósuló projektek</t>
  </si>
  <si>
    <t>bevételei, kiadásai, hozzájárulások</t>
  </si>
  <si>
    <t>2023. ÉVI KÖLTSÉGVETÉSÉNEK ÖSSZEVONT MÉRLEGE</t>
  </si>
  <si>
    <t>2023. évi teljesítés              2023.06.30-ig</t>
  </si>
  <si>
    <t>2023. évi teljesítés              2023.09.30-ig</t>
  </si>
  <si>
    <t>2023. évi teljesítés              2023.12.31-ig</t>
  </si>
  <si>
    <t>Tiszaújváros Város Önkormányzata 2023. évi adósságot keletkeztető fejlesztési céljai</t>
  </si>
  <si>
    <t>2023. év</t>
  </si>
  <si>
    <t>2023. előtt</t>
  </si>
  <si>
    <t>Önkormányzaton kívüli EU-s projektekhez történő hozzájárulás 2023. évi előirányzat</t>
  </si>
  <si>
    <t>2023. ÉVI KÖLTSÉGVETÉS</t>
  </si>
  <si>
    <t>2023. évi előirányzat</t>
  </si>
  <si>
    <t>Felhasználás          2022. 12.31-ig</t>
  </si>
  <si>
    <t xml:space="preserve">                          2023. év utáni szükséglet
</t>
  </si>
  <si>
    <t>Felhasználás       2022.12.31-ig</t>
  </si>
  <si>
    <t xml:space="preserve">2023. év utáni szükséglet
</t>
  </si>
  <si>
    <t>2026.</t>
  </si>
  <si>
    <t>Tiszaújváros, 2023. .......................... hó ..... nap</t>
  </si>
  <si>
    <t>BEVÉTEL ÖSSZESEN (11.+14.)</t>
  </si>
  <si>
    <t>KIADÁSOK ÖSSZESEN (11.+14.)</t>
  </si>
  <si>
    <t>Ezüsthíd Gondozóházzal szemben pihenőpark kialakítása</t>
  </si>
  <si>
    <t>Szent István út melletti közterületen kameraoszlopok és térfigyelő kamerák elhelyezése, régebbi kamerahely optikai kábellel történő hálózatba kötése</t>
  </si>
  <si>
    <t>Betonfedlapos csapadékvízelvezetők átalakítása</t>
  </si>
  <si>
    <t xml:space="preserve">Mátyás király út 22-34. sz társasház nyugati oldalán található járda felújítása </t>
  </si>
  <si>
    <t>Széchenyi út mindkét oldalán parkoló építése</t>
  </si>
  <si>
    <t>Belvíz, csapadékvíz átemelő szívattyútelepek működtetése,
 karbantartása</t>
  </si>
  <si>
    <t>Lakossági veszélyes hulladék megsemmisítése</t>
  </si>
  <si>
    <t xml:space="preserve">Egyéb működési célú pénzeszköz átadás áht.-on belülre </t>
  </si>
  <si>
    <t>Technikai távfelügyelet reknstrukciója</t>
  </si>
  <si>
    <t>Tárgyi eszköz beszerzés</t>
  </si>
  <si>
    <t>Tanuszoda alagsori helyiségeinek felújítása</t>
  </si>
  <si>
    <t>Városközponti tó rézsűvédelme</t>
  </si>
  <si>
    <t>Műszaki tervezés (beruházás)</t>
  </si>
  <si>
    <t>Műszaki tervezés (felújítás)</t>
  </si>
  <si>
    <t>intézményvezető-helyettes (magasabb vezető)</t>
  </si>
  <si>
    <t>szakmai vezető (vezető)</t>
  </si>
  <si>
    <t>általános intézményvezető-helyettes (magasabb vezető)</t>
  </si>
  <si>
    <t>főigazgató (magasabb vezető)</t>
  </si>
  <si>
    <t>orvos igazgató (magasabb vezető)</t>
  </si>
  <si>
    <t>intézeti vezető ápoló (vezető)</t>
  </si>
  <si>
    <t>Bírság-, pótlék- és díjbevétel (előrehozott adó, helyi iparűzési adónemben: - Ft, egyéb közhatalmi bevétel: 15.000.000 Ft)</t>
  </si>
  <si>
    <t>2023-2023</t>
  </si>
  <si>
    <t>óvónők bérkülönbözete</t>
  </si>
  <si>
    <t>Zúzalékos földút felújítása Szemere és Kőszegi Gy. úton</t>
  </si>
  <si>
    <t>EFOP-2.2.19-17 -2017-00039 "a Tiszaújváros Városi Rendelőintézet járóbeteg szakellátó szolgáltatásainak fejlesztése új eszközök beszerzésén keresztül”</t>
  </si>
  <si>
    <t>2022. évi népszámlálás lebonyolítására folyósított támogatás fel nem használt részének visszautalása</t>
  </si>
  <si>
    <t>Tiszaújvárosi Művelődési Központ és Könyvtár támogatásai összesen:</t>
  </si>
  <si>
    <t>Jelzőrendszeres házi segítségényújtás előző évi finanszírozásának elszámolásából adódó visszafizetési kötelezettség</t>
  </si>
  <si>
    <t>Fiatalok lakás, lakóház vásárlásának támogatása  - vissza nem térítendő</t>
  </si>
  <si>
    <t>2022-2023</t>
  </si>
  <si>
    <t>Működési célú támogatások  államháztartáson belülre az Intézményeknél</t>
  </si>
  <si>
    <t>-</t>
  </si>
  <si>
    <t>2021-2023</t>
  </si>
  <si>
    <t>Közterület-felügyelet részére eszközök beszerzése</t>
  </si>
  <si>
    <t>EFOP-2.2.19-17-2017-00039 kódszámú pályázat keretében eszközök beszerzése</t>
  </si>
  <si>
    <t>Helyi adóból és a települési adóból származó bevétel (építményadó: 650.000.000 Ft, helyi iparűzési adó: 3.200.000.000 Ft, idegenforgalmi adó: 12.000.000 Ft)</t>
  </si>
  <si>
    <t>18. melléklet a 2/2023. (II.14.) önkormányzati rendelethez</t>
  </si>
  <si>
    <t>19. melléklet a 2/2023. (II.14.) önkormányzati rendelethez</t>
  </si>
  <si>
    <t>20. melléklet a 2/2023. (II.14.) önkormányzati rendelethez</t>
  </si>
  <si>
    <t>21. melléklet a 2/2023. (II.14.) önkormányzati rendelethez</t>
  </si>
  <si>
    <t>24. melléklet a 2/2023. (II.14.) önkormányzati rendelethez</t>
  </si>
  <si>
    <t>26. melléklet a 2/2023. (II.14.) önkormányzati rendelethez</t>
  </si>
  <si>
    <t>27. melléklet a 2/2023. (II.14.) önkormányzati rendelethez</t>
  </si>
  <si>
    <t>28. melléklet a 2/2023. (II.14.) önkormányzati rendelethez</t>
  </si>
  <si>
    <t>29. melléklet a 2/2023. (II.14.) önkormányzati rendelethez</t>
  </si>
  <si>
    <t>30. melléklet a 2/2023. (II.14.) önkormányzati rendelethez</t>
  </si>
  <si>
    <t>31. melléklet a 2/2023. (II.14.) önkormányzati rendelethez</t>
  </si>
  <si>
    <t>32. melléklet a 2/2023. (II.14.) önkormányzati rendelethez</t>
  </si>
  <si>
    <t>33. melléklet a 2/2023. (II.14.) önkormányzati rendelethez</t>
  </si>
  <si>
    <t>34. melléklet a 2/2023. (II.14.) önkormányzati rendelethez</t>
  </si>
  <si>
    <t>2023. évi eredeti előirányzat
2/2023. (II.14.)</t>
  </si>
  <si>
    <t>"</t>
  </si>
  <si>
    <t>H</t>
  </si>
  <si>
    <t>"16. melléklet a 2/2023. (II.14.) önkormányzati rendelethez</t>
  </si>
  <si>
    <t>"17. melléklet a 2/2023. (II.14.) önkormányzati rendelethez</t>
  </si>
  <si>
    <t>"26. melléklet a 2/2023. (II.14.) önkormányzati rendelethez</t>
  </si>
  <si>
    <t>"27. melléklet a 2/2023. (II.14.) önkormányzati rendelethez</t>
  </si>
  <si>
    <t>"28. melléklet a 2/2023. (II.14.) önkormányzati rendelethez</t>
  </si>
  <si>
    <t>"29. melléklet a 2/2023. (II.14.) önkormányzati rendelethez</t>
  </si>
  <si>
    <t>"30. melléklet a 2/2023. (II.14.) önkormányzati rendelethez</t>
  </si>
  <si>
    <t>"31. melléklet a 2/2023. (II.14.) önkormányzati rendelethez</t>
  </si>
  <si>
    <t>"32. melléklet a 2/2023. (II.14.) önkormányzati rendelethez</t>
  </si>
  <si>
    <t>"33. melléklet a 2/2023. (II.14.) önkormányzati rendelethez</t>
  </si>
  <si>
    <t>"34. melléklet a 2/2023. (II.14.) önkormányzati rendelethez</t>
  </si>
  <si>
    <t>Rendezvényszekrények 3x200 Amperrel történő betáplálásának végleges kialakítása</t>
  </si>
  <si>
    <t>Nőgyógyászati ultrahang készülék beszerzése</t>
  </si>
  <si>
    <t>Kültéri fitnesz parkok szabványossági átalakítása</t>
  </si>
  <si>
    <t>Deák téri uszodába szivattyú beszerzése</t>
  </si>
  <si>
    <t>Civil és segélyszervezetek támogatása</t>
  </si>
  <si>
    <t>Bartók Béla 2-6. szám alatti lakóépületek északi oldalán található járda felújítása</t>
  </si>
  <si>
    <t>Kültéri fitnesz eszközökhöz kihelyezendő információs táblák beszerzése</t>
  </si>
  <si>
    <t>Hamvas Béla Könyvtár épületében energiatakarékos kazáncsere</t>
  </si>
  <si>
    <t>Lévai-Vörösmarty összekötő út építése</t>
  </si>
  <si>
    <t>Police Caritas Alapítvány támogatása</t>
  </si>
  <si>
    <t>B.-A.-Z. Vármegyei Rendőr-főkapitányság támogatása</t>
  </si>
  <si>
    <t>"Életmentés Alapítvány Borsod-Abaúj-Zemplén Megye" támogatása</t>
  </si>
  <si>
    <t>Mezőkövesdi Tankerületi Központ támogatása</t>
  </si>
  <si>
    <t>Miskolci Tankerületi Központ támogatása</t>
  </si>
  <si>
    <t>Szerencsi Szakképzési Centrum támogatása</t>
  </si>
  <si>
    <t>2022-2022</t>
  </si>
  <si>
    <t>Bérfejlesztésre biztosított támogatás elszámolásából adódó visszafizetési kötelezettség</t>
  </si>
  <si>
    <t xml:space="preserve">Tiszaújvárosi Városgazda Nonprofit Kft. részére történő eszközbeszerzések </t>
  </si>
  <si>
    <t>"Tűzoltók a lakosság biztonságáért" Alapítvány támogatása</t>
  </si>
  <si>
    <t>Tiszaújvárosi Katasztrófavédelmi Kirendeltsége támogatása</t>
  </si>
  <si>
    <t>Árpád út 14. mögötti parkolóba csapadékvíz elnyelő akna beépítése</t>
  </si>
  <si>
    <t>Közterület-felügyelők részére hordozható testkamera és kiegészítők</t>
  </si>
  <si>
    <t>Tiszaújvárosi Városháza korszerűsítése</t>
  </si>
  <si>
    <t>Tiszaújvárosi Református Temetőben kandelláberek cseréje</t>
  </si>
  <si>
    <t>Arthroszkópos toronyhoz eszközök beszerzése</t>
  </si>
  <si>
    <t>Techikai eszközök és hangszer beszerzése</t>
  </si>
  <si>
    <t>Módosított előirányzat a 14/2023.  (VI.29.)  rendelet szerint</t>
  </si>
  <si>
    <t>Változás a 14/2023. (VI.29.) rendelethez képest</t>
  </si>
  <si>
    <t>K</t>
  </si>
  <si>
    <t>"22. melléklet a 2/2023. (II.14.) önkormányzati rendelethez</t>
  </si>
  <si>
    <t>"23. melléklet a 2/2023. (II.14.) önkormányzati rendelethez</t>
  </si>
  <si>
    <t>Caracalla Thalasso kád</t>
  </si>
  <si>
    <t>Tiszaszederkényi városrészben posta partneri program keretében megvalósítandó postai szolgáltatások biztosítására támogatás</t>
  </si>
  <si>
    <t>Tiszaújvárosi Polgármesteri Hivatal támogatásai összesen:</t>
  </si>
  <si>
    <t>Tiszaújvárosi Napközi Otthonos Óvoda támogatásai összesen:</t>
  </si>
  <si>
    <t>önként</t>
  </si>
  <si>
    <t>kötelező</t>
  </si>
  <si>
    <t>államig</t>
  </si>
  <si>
    <t>ÖNK.Össz</t>
  </si>
  <si>
    <t>bevétel változás</t>
  </si>
  <si>
    <t>kiadás változás</t>
  </si>
  <si>
    <t>önkorm. önként+kötelező+államig.</t>
  </si>
  <si>
    <t>önkorm. össz. (4. melléklet)</t>
  </si>
  <si>
    <t xml:space="preserve">Egyházak támogatása </t>
  </si>
  <si>
    <t xml:space="preserve">Dokumentumok beszerzése </t>
  </si>
  <si>
    <t>Korábbi évek megszűnt adónemei</t>
  </si>
  <si>
    <t xml:space="preserve">"Fess ésszel" a környezetért komplex tehetségprogram elnevezésű pályázati összeg fel nem használt részének visszautalása </t>
  </si>
  <si>
    <t xml:space="preserve">TOP_PLUSZ-1.2.3-21-BO1-2022-00009  Lévai utat és Vörösmarty utat összekötő gyűjtőút építése </t>
  </si>
  <si>
    <t>TOP_PLUSZ-2.1.1-21-BO1-2022-00007 A tiszaújvárosi Városháza energetikai korszerűsítése</t>
  </si>
  <si>
    <t>"25. melléklet a 2/2023. (II.14.) önkormányzati rendelethez</t>
  </si>
  <si>
    <t>Módosított előirányzat a 18/2023. (IX.26.)  rendelet szerint</t>
  </si>
  <si>
    <t>16. melléklet a 18/2023. (IX.26.) önkormányzati rendelethez</t>
  </si>
  <si>
    <t>17. melléklet a 18/2023. (IX.26.) önkormányzati rendelethez</t>
  </si>
  <si>
    <t>18. melléklet a 18/2023. (IX.26.) önkormányzati rendelethez</t>
  </si>
  <si>
    <t>19. melléklet a 18/2023. (IX.26.) önkormányzati rendelethez</t>
  </si>
  <si>
    <t>20. melléklet a 18/2023. (IX.26.) önkormányzati rendelethez</t>
  </si>
  <si>
    <t>21. melléklet a 18/2023. (IX.26.) önkormányzati rendelethez</t>
  </si>
  <si>
    <t>22. melléklet a 18/2023. (IX.26.) önkormányzati rendelethez</t>
  </si>
  <si>
    <t>23. melléklet a 18/2023. (IX.26.) önkormányzati rendelethez</t>
  </si>
  <si>
    <t>24. melléklet a 18/2023. (IX.26.) önkormányzati rendelethez</t>
  </si>
  <si>
    <t>25. melléklet a 18/2023. (IX.26.) önkormányzati rendelethez</t>
  </si>
  <si>
    <t>26. melléklet a 18/2023. (IX.26.) önkormányzati rendelethez</t>
  </si>
  <si>
    <t>27. melléklet a 18/2023. (IX.26.) önkormányzati rendelethez</t>
  </si>
  <si>
    <t>28. melléklet a 18/2023. (IX.26.) önkormányzati rendelethez</t>
  </si>
  <si>
    <t>29. melléklet a 18/2023. (IX.26.) önkormányzati rendelethez</t>
  </si>
  <si>
    <t>1. melléklet</t>
  </si>
  <si>
    <t xml:space="preserve">1. melléklet </t>
  </si>
  <si>
    <t>2. melléklet</t>
  </si>
  <si>
    <t xml:space="preserve">3. melléklet </t>
  </si>
  <si>
    <t xml:space="preserve">4. melléklet </t>
  </si>
  <si>
    <t xml:space="preserve">5. melléklet </t>
  </si>
  <si>
    <t>6. melléklet</t>
  </si>
  <si>
    <t xml:space="preserve">7. melléklet </t>
  </si>
  <si>
    <t>8. melléklet</t>
  </si>
  <si>
    <t>9. melléklet</t>
  </si>
  <si>
    <t>10. melléklet</t>
  </si>
  <si>
    <t xml:space="preserve">11. melléklet </t>
  </si>
  <si>
    <t xml:space="preserve">12. melléklet </t>
  </si>
  <si>
    <t xml:space="preserve">13. melléklet </t>
  </si>
  <si>
    <t>14. melléklet</t>
  </si>
  <si>
    <t xml:space="preserve">15. melléklet </t>
  </si>
  <si>
    <t xml:space="preserve"> 2023. évi beruházási, felújítási előirányzatok és teljesítések</t>
  </si>
  <si>
    <t xml:space="preserve"> 2023. évi ellátottak pénzbeli juttatásai előirányzata és teljesítése</t>
  </si>
  <si>
    <t xml:space="preserve"> 2023. évi támogatások előirányzata és teljesítése</t>
  </si>
  <si>
    <t>2023. évi városüzemeltetési kiadások előirányzata és teljesítése</t>
  </si>
  <si>
    <t>Módosított előirányzat 2023.09.30-án</t>
  </si>
  <si>
    <t>L</t>
  </si>
  <si>
    <t>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</si>
</sst>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F_t_-;\-* #,##0.00\ _F_t_-;_-* &quot;-&quot;??\ _F_t_-;_-@_-"/>
    <numFmt numFmtId="164" formatCode="#,###"/>
    <numFmt numFmtId="165" formatCode="_-* #,##0\ _F_t_-;\-* #,##0\ _F_t_-;_-* &quot;-&quot;??\ _F_t_-;_-@_-"/>
    <numFmt numFmtId="166" formatCode="0.0000"/>
    <numFmt numFmtId="167" formatCode="0&quot;.&quot;"/>
    <numFmt numFmtId="168" formatCode="_-* #,##0\ &quot;Ft&quot;_-;\-* #,##0\ &quot;Ft&quot;_-;_-* &quot;-&quot;??\ &quot;Ft&quot;_-;_-@_-"/>
    <numFmt numFmtId="169" formatCode="#,###.00"/>
  </numFmts>
  <fonts count="113" x14ac:knownFonts="1">
    <font>
      <sz val="10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Times New Roman CE"/>
      <charset val="238"/>
    </font>
    <font>
      <sz val="11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1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9"/>
      <name val="Times New Roman CE"/>
      <family val="1"/>
      <charset val="238"/>
    </font>
    <font>
      <i/>
      <sz val="12"/>
      <name val="Times New Roman CE"/>
      <family val="1"/>
      <charset val="238"/>
    </font>
    <font>
      <i/>
      <sz val="10"/>
      <name val="Times New Roman CE"/>
      <family val="1"/>
      <charset val="238"/>
    </font>
    <font>
      <i/>
      <sz val="11"/>
      <name val="Times New Roman CE"/>
      <family val="1"/>
      <charset val="238"/>
    </font>
    <font>
      <sz val="12"/>
      <name val="Times New Roman CE"/>
      <charset val="238"/>
    </font>
    <font>
      <u/>
      <sz val="12"/>
      <color indexed="12"/>
      <name val="Times New Roman CE"/>
      <charset val="238"/>
    </font>
    <font>
      <u/>
      <sz val="12"/>
      <color indexed="36"/>
      <name val="Times New Roman CE"/>
      <charset val="238"/>
    </font>
    <font>
      <sz val="10"/>
      <name val="Times New Roman CE"/>
      <family val="1"/>
      <charset val="238"/>
    </font>
    <font>
      <b/>
      <sz val="8"/>
      <name val="Times New Roman CE"/>
      <family val="1"/>
      <charset val="238"/>
    </font>
    <font>
      <sz val="13"/>
      <name val="Times New Roman CE"/>
      <family val="1"/>
      <charset val="238"/>
    </font>
    <font>
      <b/>
      <sz val="13"/>
      <name val="Times New Roman CE"/>
      <family val="1"/>
      <charset val="238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9"/>
      <name val="Times New Roman CE"/>
      <charset val="238"/>
    </font>
    <font>
      <b/>
      <sz val="11"/>
      <name val="Times New Roman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i/>
      <sz val="10"/>
      <name val="Times New Roman CE"/>
      <family val="1"/>
      <charset val="238"/>
    </font>
    <font>
      <sz val="12"/>
      <name val="Times New Roman CE"/>
      <family val="1"/>
      <charset val="238"/>
    </font>
    <font>
      <sz val="8"/>
      <name val="Times New Roman CE"/>
      <family val="1"/>
      <charset val="238"/>
    </font>
    <font>
      <sz val="8"/>
      <name val="Times New Roman CE"/>
      <charset val="238"/>
    </font>
    <font>
      <b/>
      <sz val="8"/>
      <name val="Times New Roman CE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i/>
      <sz val="8"/>
      <name val="Times New Roman CE"/>
      <charset val="238"/>
    </font>
    <font>
      <b/>
      <sz val="9"/>
      <name val="Times New Roman"/>
      <family val="1"/>
      <charset val="238"/>
    </font>
    <font>
      <sz val="9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</font>
    <font>
      <b/>
      <sz val="9"/>
      <color indexed="8"/>
      <name val="Times New Roman"/>
      <family val="1"/>
      <charset val="238"/>
    </font>
    <font>
      <b/>
      <i/>
      <sz val="11"/>
      <name val="Times New Roman CE"/>
      <charset val="238"/>
    </font>
    <font>
      <b/>
      <i/>
      <sz val="10"/>
      <name val="Times New Roman CE"/>
      <charset val="238"/>
    </font>
    <font>
      <b/>
      <sz val="11"/>
      <name val="Times New Roman CE"/>
      <charset val="238"/>
    </font>
    <font>
      <sz val="11"/>
      <name val="Times New Roman"/>
      <family val="1"/>
      <charset val="238"/>
    </font>
    <font>
      <sz val="11"/>
      <color indexed="8"/>
      <name val="Times New Roman"/>
      <family val="1"/>
      <charset val="238"/>
    </font>
    <font>
      <sz val="12"/>
      <name val="Times New Roman"/>
      <family val="1"/>
      <charset val="238"/>
    </font>
    <font>
      <sz val="13"/>
      <name val="Times New Roman"/>
      <family val="1"/>
      <charset val="238"/>
    </font>
    <font>
      <sz val="10"/>
      <name val="Times New Roman"/>
      <family val="1"/>
      <charset val="238"/>
    </font>
    <font>
      <sz val="11"/>
      <name val="Times New Roman CE"/>
      <charset val="238"/>
    </font>
    <font>
      <b/>
      <i/>
      <sz val="11"/>
      <name val="Times New Roman CE"/>
      <family val="1"/>
      <charset val="238"/>
    </font>
    <font>
      <sz val="9"/>
      <name val="Times New Roman CE"/>
      <family val="1"/>
      <charset val="238"/>
    </font>
    <font>
      <sz val="8"/>
      <name val="Times New Roman"/>
      <family val="1"/>
    </font>
    <font>
      <b/>
      <i/>
      <sz val="10"/>
      <name val="Times New Roman"/>
      <family val="1"/>
      <charset val="238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8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sz val="10"/>
      <color rgb="FFFF0000"/>
      <name val="Times New Roman CE"/>
      <family val="1"/>
      <charset val="238"/>
    </font>
    <font>
      <b/>
      <sz val="14"/>
      <name val="Times New Roman CE"/>
      <family val="1"/>
      <charset val="238"/>
    </font>
    <font>
      <sz val="13"/>
      <name val="Times New Roman CE"/>
      <charset val="238"/>
    </font>
    <font>
      <b/>
      <i/>
      <sz val="8"/>
      <name val="Times New Roman CE"/>
      <charset val="238"/>
    </font>
    <font>
      <sz val="10"/>
      <color theme="1"/>
      <name val="Times New Roman"/>
      <family val="1"/>
      <charset val="238"/>
    </font>
    <font>
      <sz val="9"/>
      <name val="Times New Roman CE"/>
      <charset val="238"/>
    </font>
    <font>
      <b/>
      <i/>
      <sz val="12"/>
      <name val="Times New Roman CE"/>
      <charset val="238"/>
    </font>
    <font>
      <b/>
      <sz val="13"/>
      <name val="Times New Roman CE"/>
      <charset val="238"/>
    </font>
    <font>
      <b/>
      <sz val="15"/>
      <name val="Times New Roman CE"/>
      <family val="1"/>
      <charset val="238"/>
    </font>
    <font>
      <b/>
      <sz val="11"/>
      <color indexed="8"/>
      <name val="Times New Roman"/>
      <family val="1"/>
      <charset val="238"/>
    </font>
    <font>
      <sz val="11"/>
      <color rgb="FF222222"/>
      <name val="Times New Roman"/>
      <family val="1"/>
      <charset val="238"/>
    </font>
    <font>
      <sz val="12"/>
      <color rgb="FFFF0000"/>
      <name val="Times New Roman CE"/>
      <family val="1"/>
      <charset val="238"/>
    </font>
    <font>
      <b/>
      <i/>
      <sz val="9"/>
      <name val="Times New Roman CE"/>
      <family val="1"/>
      <charset val="238"/>
    </font>
    <font>
      <b/>
      <i/>
      <sz val="9"/>
      <name val="Times New Roman"/>
      <family val="1"/>
      <charset val="238"/>
    </font>
    <font>
      <b/>
      <sz val="8"/>
      <color indexed="8"/>
      <name val="Times New Roman"/>
      <family val="1"/>
      <charset val="238"/>
    </font>
    <font>
      <i/>
      <sz val="8"/>
      <name val="Times New Roman CE"/>
      <family val="1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Arial"/>
      <family val="2"/>
      <charset val="238"/>
    </font>
    <font>
      <i/>
      <sz val="8"/>
      <name val="Times New Roman"/>
      <family val="1"/>
      <charset val="238"/>
    </font>
    <font>
      <i/>
      <sz val="12"/>
      <name val="Times New Roman CE"/>
      <charset val="238"/>
    </font>
    <font>
      <b/>
      <sz val="12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12"/>
      <color indexed="8"/>
      <name val="Times New Roman CE"/>
      <charset val="238"/>
    </font>
    <font>
      <sz val="12"/>
      <color theme="1"/>
      <name val="Times New Roman"/>
      <family val="1"/>
      <charset val="238"/>
    </font>
    <font>
      <b/>
      <sz val="13"/>
      <color rgb="FFFF0000"/>
      <name val="Times New Roman CE"/>
      <family val="1"/>
      <charset val="238"/>
    </font>
    <font>
      <b/>
      <sz val="14"/>
      <color rgb="FFFF0000"/>
      <name val="Times New Roman CE"/>
      <family val="1"/>
      <charset val="238"/>
    </font>
    <font>
      <sz val="13"/>
      <color rgb="FFFF0000"/>
      <name val="Times New Roman CE"/>
      <family val="1"/>
      <charset val="238"/>
    </font>
    <font>
      <strike/>
      <sz val="10"/>
      <name val="Times New Roman CE"/>
      <charset val="238"/>
    </font>
    <font>
      <b/>
      <sz val="6"/>
      <color rgb="FF000000"/>
      <name val="Arial"/>
      <family val="2"/>
      <charset val="238"/>
    </font>
    <font>
      <b/>
      <sz val="9"/>
      <color indexed="10"/>
      <name val="Times New Roman CE"/>
      <charset val="238"/>
    </font>
    <font>
      <sz val="10"/>
      <color rgb="FFFF0000"/>
      <name val="Times New Roman CE"/>
      <charset val="238"/>
    </font>
    <font>
      <b/>
      <sz val="9"/>
      <color indexed="81"/>
      <name val="Segoe UI"/>
      <family val="2"/>
      <charset val="238"/>
    </font>
    <font>
      <i/>
      <sz val="9"/>
      <name val="Times New Roman CE"/>
      <charset val="238"/>
    </font>
    <font>
      <sz val="9"/>
      <color indexed="81"/>
      <name val="Segoe UI"/>
      <family val="2"/>
      <charset val="238"/>
    </font>
  </fonts>
  <fills count="24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83">
    <xf numFmtId="0" fontId="0" fillId="0" borderId="0"/>
    <xf numFmtId="0" fontId="25" fillId="3" borderId="0" applyNumberFormat="0" applyBorder="0" applyAlignment="0" applyProtection="0"/>
    <xf numFmtId="0" fontId="2" fillId="3" borderId="0" applyNumberFormat="0" applyBorder="0" applyAlignment="0" applyProtection="0"/>
    <xf numFmtId="0" fontId="25" fillId="4" borderId="0" applyNumberFormat="0" applyBorder="0" applyAlignment="0" applyProtection="0"/>
    <xf numFmtId="0" fontId="2" fillId="4" borderId="0" applyNumberFormat="0" applyBorder="0" applyAlignment="0" applyProtection="0"/>
    <xf numFmtId="0" fontId="25" fillId="5" borderId="0" applyNumberFormat="0" applyBorder="0" applyAlignment="0" applyProtection="0"/>
    <xf numFmtId="0" fontId="2" fillId="5" borderId="0" applyNumberFormat="0" applyBorder="0" applyAlignment="0" applyProtection="0"/>
    <xf numFmtId="0" fontId="25" fillId="3" borderId="0" applyNumberFormat="0" applyBorder="0" applyAlignment="0" applyProtection="0"/>
    <xf numFmtId="0" fontId="2" fillId="3" borderId="0" applyNumberFormat="0" applyBorder="0" applyAlignment="0" applyProtection="0"/>
    <xf numFmtId="0" fontId="25" fillId="6" borderId="0" applyNumberFormat="0" applyBorder="0" applyAlignment="0" applyProtection="0"/>
    <xf numFmtId="0" fontId="2" fillId="6" borderId="0" applyNumberFormat="0" applyBorder="0" applyAlignment="0" applyProtection="0"/>
    <xf numFmtId="0" fontId="25" fillId="5" borderId="0" applyNumberFormat="0" applyBorder="0" applyAlignment="0" applyProtection="0"/>
    <xf numFmtId="0" fontId="2" fillId="5" borderId="0" applyNumberFormat="0" applyBorder="0" applyAlignment="0" applyProtection="0"/>
    <xf numFmtId="0" fontId="25" fillId="7" borderId="0" applyNumberFormat="0" applyBorder="0" applyAlignment="0" applyProtection="0"/>
    <xf numFmtId="0" fontId="2" fillId="7" borderId="0" applyNumberFormat="0" applyBorder="0" applyAlignment="0" applyProtection="0"/>
    <xf numFmtId="0" fontId="25" fillId="4" borderId="0" applyNumberFormat="0" applyBorder="0" applyAlignment="0" applyProtection="0"/>
    <xf numFmtId="0" fontId="2" fillId="4" borderId="0" applyNumberFormat="0" applyBorder="0" applyAlignment="0" applyProtection="0"/>
    <xf numFmtId="0" fontId="25" fillId="8" borderId="0" applyNumberFormat="0" applyBorder="0" applyAlignment="0" applyProtection="0"/>
    <xf numFmtId="0" fontId="2" fillId="8" borderId="0" applyNumberFormat="0" applyBorder="0" applyAlignment="0" applyProtection="0"/>
    <xf numFmtId="0" fontId="25" fillId="7" borderId="0" applyNumberFormat="0" applyBorder="0" applyAlignment="0" applyProtection="0"/>
    <xf numFmtId="0" fontId="2" fillId="7" borderId="0" applyNumberFormat="0" applyBorder="0" applyAlignment="0" applyProtection="0"/>
    <xf numFmtId="0" fontId="25" fillId="9" borderId="0" applyNumberFormat="0" applyBorder="0" applyAlignment="0" applyProtection="0"/>
    <xf numFmtId="0" fontId="2" fillId="9" borderId="0" applyNumberFormat="0" applyBorder="0" applyAlignment="0" applyProtection="0"/>
    <xf numFmtId="0" fontId="25" fillId="8" borderId="0" applyNumberFormat="0" applyBorder="0" applyAlignment="0" applyProtection="0"/>
    <xf numFmtId="0" fontId="2" fillId="8" borderId="0" applyNumberFormat="0" applyBorder="0" applyAlignment="0" applyProtection="0"/>
    <xf numFmtId="0" fontId="26" fillId="2" borderId="0" applyNumberFormat="0" applyBorder="0" applyAlignment="0" applyProtection="0"/>
    <xf numFmtId="0" fontId="26" fillId="4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2" borderId="0" applyNumberFormat="0" applyBorder="0" applyAlignment="0" applyProtection="0"/>
    <xf numFmtId="0" fontId="26" fillId="4" borderId="0" applyNumberFormat="0" applyBorder="0" applyAlignment="0" applyProtection="0"/>
    <xf numFmtId="0" fontId="27" fillId="8" borderId="1" applyNumberFormat="0" applyAlignment="0" applyProtection="0"/>
    <xf numFmtId="0" fontId="28" fillId="0" borderId="0" applyNumberFormat="0" applyFill="0" applyBorder="0" applyAlignment="0" applyProtection="0"/>
    <xf numFmtId="0" fontId="29" fillId="0" borderId="2" applyNumberFormat="0" applyFill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31" fillId="0" borderId="0" applyNumberFormat="0" applyFill="0" applyBorder="0" applyAlignment="0" applyProtection="0"/>
    <xf numFmtId="0" fontId="32" fillId="10" borderId="5" applyNumberFormat="0" applyAlignment="0" applyProtection="0"/>
    <xf numFmtId="0" fontId="33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34" fillId="0" borderId="6" applyNumberFormat="0" applyFill="0" applyAlignment="0" applyProtection="0"/>
    <xf numFmtId="0" fontId="3" fillId="5" borderId="7" applyNumberFormat="0" applyFont="0" applyAlignment="0" applyProtection="0"/>
    <xf numFmtId="0" fontId="35" fillId="11" borderId="0" applyNumberFormat="0" applyBorder="0" applyAlignment="0" applyProtection="0"/>
    <xf numFmtId="0" fontId="36" fillId="12" borderId="8" applyNumberFormat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  <xf numFmtId="0" fontId="38" fillId="0" borderId="9" applyNumberFormat="0" applyFill="0" applyAlignment="0" applyProtection="0"/>
    <xf numFmtId="0" fontId="39" fillId="13" borderId="0" applyNumberFormat="0" applyBorder="0" applyAlignment="0" applyProtection="0"/>
    <xf numFmtId="0" fontId="40" fillId="8" borderId="0" applyNumberFormat="0" applyBorder="0" applyAlignment="0" applyProtection="0"/>
    <xf numFmtId="0" fontId="41" fillId="12" borderId="1" applyNumberFormat="0" applyAlignment="0" applyProtection="0"/>
    <xf numFmtId="43" fontId="3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76" fillId="0" borderId="0" applyFill="0"/>
    <xf numFmtId="0" fontId="2" fillId="14" borderId="0" applyNumberFormat="0" applyBorder="0" applyAlignment="0" applyProtection="0"/>
    <xf numFmtId="0" fontId="2" fillId="13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7" fillId="3" borderId="1" applyNumberFormat="0" applyAlignment="0" applyProtection="0"/>
    <xf numFmtId="0" fontId="90" fillId="0" borderId="0" applyNumberFormat="0" applyFill="0" applyBorder="0" applyAlignment="0" applyProtection="0"/>
    <xf numFmtId="0" fontId="91" fillId="0" borderId="99" applyNumberFormat="0" applyFill="0" applyAlignment="0" applyProtection="0"/>
    <xf numFmtId="0" fontId="92" fillId="0" borderId="3" applyNumberFormat="0" applyFill="0" applyAlignment="0" applyProtection="0"/>
    <xf numFmtId="0" fontId="93" fillId="0" borderId="100" applyNumberFormat="0" applyFill="0" applyAlignment="0" applyProtection="0"/>
    <xf numFmtId="0" fontId="9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76" fillId="5" borderId="7" applyNumberFormat="0" applyFont="0" applyAlignment="0" applyProtection="0"/>
    <xf numFmtId="0" fontId="36" fillId="7" borderId="8" applyNumberFormat="0" applyAlignment="0" applyProtection="0"/>
    <xf numFmtId="0" fontId="94" fillId="0" borderId="0"/>
    <xf numFmtId="0" fontId="94" fillId="0" borderId="0"/>
    <xf numFmtId="0" fontId="94" fillId="0" borderId="0"/>
    <xf numFmtId="0" fontId="38" fillId="0" borderId="101" applyNumberFormat="0" applyFill="0" applyAlignment="0" applyProtection="0"/>
    <xf numFmtId="0" fontId="41" fillId="7" borderId="1" applyNumberFormat="0" applyAlignment="0" applyProtection="0"/>
  </cellStyleXfs>
  <cellXfs count="1934">
    <xf numFmtId="0" fontId="0" fillId="0" borderId="0" xfId="0"/>
    <xf numFmtId="0" fontId="19" fillId="0" borderId="0" xfId="0" applyFont="1" applyAlignment="1">
      <alignment horizontal="right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justify"/>
    </xf>
    <xf numFmtId="0" fontId="20" fillId="0" borderId="0" xfId="0" applyFont="1" applyAlignment="1">
      <alignment horizontal="justify"/>
    </xf>
    <xf numFmtId="0" fontId="20" fillId="0" borderId="11" xfId="0" applyFont="1" applyBorder="1" applyAlignment="1">
      <alignment horizontal="center" wrapText="1"/>
    </xf>
    <xf numFmtId="0" fontId="20" fillId="0" borderId="12" xfId="0" applyFont="1" applyBorder="1" applyAlignment="1">
      <alignment horizontal="center" wrapText="1"/>
    </xf>
    <xf numFmtId="0" fontId="19" fillId="0" borderId="13" xfId="0" applyFont="1" applyBorder="1" applyAlignment="1">
      <alignment horizontal="justify" vertical="top" wrapText="1"/>
    </xf>
    <xf numFmtId="0" fontId="19" fillId="0" borderId="12" xfId="0" applyFont="1" applyBorder="1" applyAlignment="1">
      <alignment horizontal="center" vertical="top" wrapText="1"/>
    </xf>
    <xf numFmtId="0" fontId="20" fillId="0" borderId="13" xfId="0" applyFont="1" applyBorder="1" applyAlignment="1">
      <alignment horizontal="justify" vertical="top" wrapText="1"/>
    </xf>
    <xf numFmtId="0" fontId="20" fillId="0" borderId="12" xfId="0" applyFont="1" applyBorder="1" applyAlignment="1">
      <alignment horizontal="center" vertical="top" wrapText="1"/>
    </xf>
    <xf numFmtId="0" fontId="15" fillId="0" borderId="0" xfId="0" applyFont="1"/>
    <xf numFmtId="49" fontId="44" fillId="0" borderId="20" xfId="47" applyNumberFormat="1" applyFont="1" applyBorder="1" applyAlignment="1">
      <alignment horizontal="center" vertical="center" wrapText="1"/>
    </xf>
    <xf numFmtId="49" fontId="44" fillId="0" borderId="27" xfId="47" applyNumberFormat="1" applyFont="1" applyBorder="1" applyAlignment="1">
      <alignment horizontal="center" vertical="center" wrapText="1"/>
    </xf>
    <xf numFmtId="0" fontId="16" fillId="0" borderId="10" xfId="47" applyFont="1" applyBorder="1" applyAlignment="1">
      <alignment horizontal="center" vertical="center" wrapText="1"/>
    </xf>
    <xf numFmtId="0" fontId="16" fillId="0" borderId="15" xfId="47" applyFont="1" applyBorder="1" applyAlignment="1">
      <alignment vertical="center" wrapText="1"/>
    </xf>
    <xf numFmtId="164" fontId="44" fillId="0" borderId="28" xfId="47" applyNumberFormat="1" applyFont="1" applyBorder="1" applyAlignment="1" applyProtection="1">
      <alignment horizontal="right" vertical="center" wrapText="1" indent="1"/>
      <protection locked="0"/>
    </xf>
    <xf numFmtId="0" fontId="44" fillId="0" borderId="13" xfId="47" applyFont="1" applyBorder="1" applyAlignment="1">
      <alignment horizontal="left" vertical="center" wrapText="1" indent="1"/>
    </xf>
    <xf numFmtId="164" fontId="0" fillId="0" borderId="0" xfId="0" applyNumberFormat="1" applyAlignment="1">
      <alignment vertical="center" wrapText="1"/>
    </xf>
    <xf numFmtId="164" fontId="0" fillId="0" borderId="0" xfId="0" applyNumberFormat="1" applyAlignment="1">
      <alignment horizontal="center" vertical="center" wrapText="1"/>
    </xf>
    <xf numFmtId="164" fontId="8" fillId="0" borderId="10" xfId="0" applyNumberFormat="1" applyFont="1" applyBorder="1" applyAlignment="1">
      <alignment horizontal="center" vertical="center" wrapText="1"/>
    </xf>
    <xf numFmtId="164" fontId="8" fillId="0" borderId="15" xfId="0" applyNumberFormat="1" applyFont="1" applyBorder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 wrapText="1"/>
    </xf>
    <xf numFmtId="164" fontId="45" fillId="0" borderId="28" xfId="47" applyNumberFormat="1" applyFont="1" applyBorder="1" applyAlignment="1" applyProtection="1">
      <alignment horizontal="right" vertical="center" wrapText="1" indent="1"/>
      <protection locked="0"/>
    </xf>
    <xf numFmtId="164" fontId="43" fillId="0" borderId="0" xfId="0" applyNumberFormat="1" applyFont="1" applyAlignment="1">
      <alignment vertical="center" wrapText="1"/>
    </xf>
    <xf numFmtId="0" fontId="0" fillId="0" borderId="0" xfId="0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0" borderId="0" xfId="0" applyAlignment="1">
      <alignment horizontal="right" vertical="center" wrapText="1" indent="1"/>
    </xf>
    <xf numFmtId="164" fontId="16" fillId="0" borderId="16" xfId="47" applyNumberFormat="1" applyFont="1" applyBorder="1" applyAlignment="1">
      <alignment horizontal="right" vertical="center" wrapText="1" indent="1"/>
    </xf>
    <xf numFmtId="3" fontId="5" fillId="0" borderId="15" xfId="0" applyNumberFormat="1" applyFont="1" applyBorder="1"/>
    <xf numFmtId="3" fontId="5" fillId="0" borderId="16" xfId="0" applyNumberFormat="1" applyFont="1" applyBorder="1"/>
    <xf numFmtId="0" fontId="10" fillId="0" borderId="0" xfId="0" applyFont="1" applyAlignment="1">
      <alignment vertical="center" wrapText="1"/>
    </xf>
    <xf numFmtId="164" fontId="8" fillId="0" borderId="16" xfId="0" applyNumberFormat="1" applyFont="1" applyBorder="1" applyAlignment="1">
      <alignment horizontal="center" vertical="center" wrapText="1"/>
    </xf>
    <xf numFmtId="164" fontId="45" fillId="0" borderId="28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26" xfId="0" applyNumberFormat="1" applyFont="1" applyBorder="1" applyAlignment="1" applyProtection="1">
      <alignment horizontal="right" vertical="center" wrapText="1" indent="1"/>
      <protection locked="0"/>
    </xf>
    <xf numFmtId="0" fontId="0" fillId="0" borderId="0" xfId="0" applyAlignment="1">
      <alignment horizontal="left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36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8" fillId="0" borderId="38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6" fillId="0" borderId="15" xfId="0" applyFont="1" applyBorder="1" applyAlignment="1">
      <alignment horizontal="left" vertical="center" wrapText="1" indent="1"/>
    </xf>
    <xf numFmtId="164" fontId="46" fillId="0" borderId="16" xfId="0" applyNumberFormat="1" applyFont="1" applyBorder="1" applyAlignment="1">
      <alignment horizontal="right" vertical="center" wrapText="1" indent="1"/>
    </xf>
    <xf numFmtId="49" fontId="45" fillId="0" borderId="39" xfId="0" applyNumberFormat="1" applyFont="1" applyBorder="1" applyAlignment="1">
      <alignment horizontal="center" vertical="center" wrapText="1"/>
    </xf>
    <xf numFmtId="0" fontId="44" fillId="0" borderId="35" xfId="47" applyFont="1" applyBorder="1" applyAlignment="1">
      <alignment horizontal="left" vertical="center" wrapText="1" indent="1"/>
    </xf>
    <xf numFmtId="164" fontId="44" fillId="0" borderId="40" xfId="0" applyNumberFormat="1" applyFont="1" applyBorder="1" applyAlignment="1" applyProtection="1">
      <alignment horizontal="right" vertical="center" wrapText="1" indent="1"/>
      <protection locked="0"/>
    </xf>
    <xf numFmtId="0" fontId="44" fillId="0" borderId="41" xfId="47" applyFont="1" applyBorder="1" applyAlignment="1">
      <alignment horizontal="left" vertical="center" wrapText="1" indent="1"/>
    </xf>
    <xf numFmtId="164" fontId="44" fillId="0" borderId="42" xfId="0" applyNumberFormat="1" applyFont="1" applyBorder="1" applyAlignment="1" applyProtection="1">
      <alignment horizontal="right" vertical="center" wrapText="1" indent="1"/>
      <protection locked="0"/>
    </xf>
    <xf numFmtId="0" fontId="4" fillId="0" borderId="0" xfId="0" applyFont="1" applyAlignment="1">
      <alignment vertical="center" wrapText="1"/>
    </xf>
    <xf numFmtId="0" fontId="46" fillId="0" borderId="10" xfId="0" applyFont="1" applyBorder="1" applyAlignment="1">
      <alignment horizontal="center" vertical="center" wrapText="1"/>
    </xf>
    <xf numFmtId="0" fontId="46" fillId="0" borderId="15" xfId="47" applyFont="1" applyBorder="1" applyAlignment="1">
      <alignment horizontal="left" vertical="center" wrapText="1" indent="1"/>
    </xf>
    <xf numFmtId="164" fontId="46" fillId="0" borderId="16" xfId="0" applyNumberFormat="1" applyFont="1" applyBorder="1" applyAlignment="1" applyProtection="1">
      <alignment horizontal="right" vertical="center" wrapText="1" indent="1"/>
      <protection locked="0"/>
    </xf>
    <xf numFmtId="49" fontId="45" fillId="0" borderId="20" xfId="0" applyNumberFormat="1" applyFont="1" applyBorder="1" applyAlignment="1">
      <alignment horizontal="center" vertical="center" wrapText="1"/>
    </xf>
    <xf numFmtId="0" fontId="45" fillId="0" borderId="13" xfId="47" applyFont="1" applyBorder="1" applyAlignment="1">
      <alignment horizontal="left" vertical="center" wrapText="1" indent="1"/>
    </xf>
    <xf numFmtId="164" fontId="45" fillId="0" borderId="42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31" xfId="0" applyNumberFormat="1" applyFont="1" applyBorder="1" applyAlignment="1" applyProtection="1">
      <alignment horizontal="right" vertical="center" wrapText="1" indent="1"/>
      <protection locked="0"/>
    </xf>
    <xf numFmtId="0" fontId="45" fillId="0" borderId="43" xfId="47" applyFont="1" applyBorder="1" applyAlignment="1">
      <alignment horizontal="left" vertical="center" wrapText="1" indent="1"/>
    </xf>
    <xf numFmtId="0" fontId="48" fillId="0" borderId="10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 indent="1"/>
    </xf>
    <xf numFmtId="164" fontId="16" fillId="0" borderId="0" xfId="0" applyNumberFormat="1" applyFont="1" applyAlignment="1">
      <alignment horizontal="right" vertical="center" wrapText="1" indent="1"/>
    </xf>
    <xf numFmtId="0" fontId="8" fillId="0" borderId="15" xfId="0" applyFont="1" applyBorder="1" applyAlignment="1">
      <alignment horizontal="left" vertical="center" wrapText="1" indent="1"/>
    </xf>
    <xf numFmtId="164" fontId="16" fillId="0" borderId="16" xfId="0" applyNumberFormat="1" applyFont="1" applyBorder="1" applyAlignment="1">
      <alignment horizontal="right" vertical="center" wrapText="1" indent="1"/>
    </xf>
    <xf numFmtId="0" fontId="5" fillId="0" borderId="10" xfId="0" applyFont="1" applyBorder="1" applyAlignment="1">
      <alignment horizontal="left" vertical="center"/>
    </xf>
    <xf numFmtId="0" fontId="5" fillId="0" borderId="44" xfId="0" applyFont="1" applyBorder="1" applyAlignment="1">
      <alignment vertical="center" wrapText="1"/>
    </xf>
    <xf numFmtId="49" fontId="45" fillId="0" borderId="27" xfId="0" applyNumberFormat="1" applyFont="1" applyBorder="1" applyAlignment="1">
      <alignment horizontal="center" vertical="center" wrapText="1"/>
    </xf>
    <xf numFmtId="0" fontId="16" fillId="0" borderId="15" xfId="47" applyFont="1" applyBorder="1" applyAlignment="1">
      <alignment horizontal="left" vertical="center" wrapText="1" indent="1"/>
    </xf>
    <xf numFmtId="0" fontId="47" fillId="0" borderId="13" xfId="0" applyFont="1" applyBorder="1" applyAlignment="1">
      <alignment horizontal="left" wrapText="1" indent="1"/>
    </xf>
    <xf numFmtId="164" fontId="46" fillId="0" borderId="16" xfId="47" applyNumberFormat="1" applyFont="1" applyBorder="1" applyAlignment="1">
      <alignment horizontal="right" vertical="center" wrapText="1" indent="1"/>
    </xf>
    <xf numFmtId="164" fontId="44" fillId="0" borderId="28" xfId="47" applyNumberFormat="1" applyFont="1" applyBorder="1" applyAlignment="1">
      <alignment horizontal="right" vertical="center" wrapText="1" indent="1"/>
    </xf>
    <xf numFmtId="0" fontId="16" fillId="0" borderId="25" xfId="47" applyFont="1" applyBorder="1" applyAlignment="1">
      <alignment horizontal="center" vertical="center" wrapText="1"/>
    </xf>
    <xf numFmtId="164" fontId="16" fillId="0" borderId="48" xfId="47" applyNumberFormat="1" applyFont="1" applyBorder="1" applyAlignment="1">
      <alignment horizontal="right" vertical="center" wrapText="1" indent="1"/>
    </xf>
    <xf numFmtId="164" fontId="44" fillId="0" borderId="40" xfId="47" applyNumberFormat="1" applyFont="1" applyBorder="1" applyAlignment="1" applyProtection="1">
      <alignment horizontal="right" vertical="center" wrapText="1" indent="1"/>
      <protection locked="0"/>
    </xf>
    <xf numFmtId="16" fontId="0" fillId="0" borderId="0" xfId="0" applyNumberFormat="1" applyAlignment="1">
      <alignment vertical="center" wrapText="1"/>
    </xf>
    <xf numFmtId="0" fontId="48" fillId="0" borderId="47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right" vertical="center" wrapText="1" indent="1"/>
    </xf>
    <xf numFmtId="49" fontId="45" fillId="0" borderId="30" xfId="0" applyNumberFormat="1" applyFont="1" applyBorder="1" applyAlignment="1">
      <alignment horizontal="center" vertical="center" wrapText="1"/>
    </xf>
    <xf numFmtId="0" fontId="44" fillId="0" borderId="24" xfId="47" applyFont="1" applyBorder="1" applyAlignment="1">
      <alignment horizontal="left" vertical="center" wrapText="1" indent="4"/>
    </xf>
    <xf numFmtId="164" fontId="7" fillId="0" borderId="0" xfId="0" applyNumberFormat="1" applyFont="1" applyAlignment="1">
      <alignment horizontal="centerContinuous" vertical="center" wrapText="1"/>
    </xf>
    <xf numFmtId="164" fontId="0" fillId="0" borderId="0" xfId="0" applyNumberFormat="1" applyAlignment="1">
      <alignment horizontal="centerContinuous" vertical="center"/>
    </xf>
    <xf numFmtId="164" fontId="44" fillId="0" borderId="49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15" xfId="0" applyNumberFormat="1" applyFont="1" applyBorder="1" applyAlignment="1">
      <alignment horizontal="right" vertical="center" wrapText="1" indent="1"/>
    </xf>
    <xf numFmtId="164" fontId="44" fillId="0" borderId="50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50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24" xfId="0" applyNumberFormat="1" applyFont="1" applyBorder="1" applyAlignment="1" applyProtection="1">
      <alignment horizontal="right" vertical="center" wrapText="1" indent="1"/>
      <protection locked="0"/>
    </xf>
    <xf numFmtId="164" fontId="8" fillId="0" borderId="0" xfId="0" applyNumberFormat="1" applyFont="1" applyAlignment="1">
      <alignment horizontal="center" vertical="center" wrapText="1"/>
    </xf>
    <xf numFmtId="0" fontId="22" fillId="0" borderId="15" xfId="0" applyFont="1" applyBorder="1" applyAlignment="1">
      <alignment vertical="center" wrapText="1"/>
    </xf>
    <xf numFmtId="0" fontId="47" fillId="0" borderId="35" xfId="0" applyFont="1" applyBorder="1" applyAlignment="1">
      <alignment horizontal="left" wrapText="1" indent="1"/>
    </xf>
    <xf numFmtId="164" fontId="45" fillId="0" borderId="40" xfId="0" applyNumberFormat="1" applyFont="1" applyBorder="1" applyAlignment="1" applyProtection="1">
      <alignment horizontal="right" vertical="center" wrapText="1" indent="1"/>
      <protection locked="0"/>
    </xf>
    <xf numFmtId="164" fontId="16" fillId="0" borderId="15" xfId="0" applyNumberFormat="1" applyFont="1" applyBorder="1" applyAlignment="1">
      <alignment horizontal="center" vertical="center" wrapText="1"/>
    </xf>
    <xf numFmtId="0" fontId="44" fillId="0" borderId="13" xfId="47" applyFont="1" applyBorder="1" applyAlignment="1">
      <alignment horizontal="left" vertical="center" wrapText="1" indent="2"/>
    </xf>
    <xf numFmtId="49" fontId="44" fillId="0" borderId="25" xfId="47" applyNumberFormat="1" applyFont="1" applyBorder="1" applyAlignment="1">
      <alignment horizontal="center" vertical="center" wrapText="1"/>
    </xf>
    <xf numFmtId="0" fontId="46" fillId="0" borderId="15" xfId="47" applyFont="1" applyBorder="1" applyAlignment="1">
      <alignment vertical="center" wrapText="1"/>
    </xf>
    <xf numFmtId="164" fontId="8" fillId="0" borderId="32" xfId="0" applyNumberFormat="1" applyFont="1" applyBorder="1" applyAlignment="1">
      <alignment horizontal="centerContinuous" vertical="center" wrapText="1"/>
    </xf>
    <xf numFmtId="0" fontId="45" fillId="0" borderId="43" xfId="47" quotePrefix="1" applyFont="1" applyBorder="1" applyAlignment="1">
      <alignment horizontal="left" vertical="center" wrapText="1" indent="3"/>
    </xf>
    <xf numFmtId="0" fontId="45" fillId="0" borderId="24" xfId="47" quotePrefix="1" applyFont="1" applyBorder="1" applyAlignment="1">
      <alignment horizontal="left" vertical="center" wrapText="1" indent="4"/>
    </xf>
    <xf numFmtId="3" fontId="15" fillId="0" borderId="41" xfId="0" applyNumberFormat="1" applyFont="1" applyBorder="1"/>
    <xf numFmtId="3" fontId="15" fillId="0" borderId="0" xfId="0" applyNumberFormat="1" applyFont="1"/>
    <xf numFmtId="3" fontId="5" fillId="0" borderId="0" xfId="0" applyNumberFormat="1" applyFont="1"/>
    <xf numFmtId="164" fontId="45" fillId="0" borderId="49" xfId="0" applyNumberFormat="1" applyFont="1" applyBorder="1" applyAlignment="1" applyProtection="1">
      <alignment horizontal="right" vertical="center" wrapText="1" indent="1"/>
      <protection locked="0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 indent="1"/>
    </xf>
    <xf numFmtId="3" fontId="15" fillId="0" borderId="32" xfId="0" applyNumberFormat="1" applyFont="1" applyBorder="1"/>
    <xf numFmtId="164" fontId="11" fillId="0" borderId="0" xfId="0" applyNumberFormat="1" applyFont="1" applyAlignment="1">
      <alignment vertical="center" wrapText="1"/>
    </xf>
    <xf numFmtId="164" fontId="16" fillId="0" borderId="16" xfId="0" applyNumberFormat="1" applyFont="1" applyBorder="1" applyAlignment="1">
      <alignment horizontal="center" vertical="center" wrapText="1"/>
    </xf>
    <xf numFmtId="164" fontId="16" fillId="0" borderId="15" xfId="47" applyNumberFormat="1" applyFont="1" applyBorder="1" applyAlignment="1">
      <alignment horizontal="right" vertical="center" wrapText="1" indent="1"/>
    </xf>
    <xf numFmtId="164" fontId="44" fillId="0" borderId="13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13" xfId="47" applyNumberFormat="1" applyFont="1" applyBorder="1" applyAlignment="1">
      <alignment horizontal="right" vertical="center" wrapText="1" indent="1"/>
    </xf>
    <xf numFmtId="164" fontId="45" fillId="0" borderId="13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35" xfId="47" applyNumberFormat="1" applyFont="1" applyBorder="1" applyAlignment="1" applyProtection="1">
      <alignment horizontal="right" vertical="center" wrapText="1" indent="1"/>
      <protection locked="0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164" fontId="45" fillId="0" borderId="41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41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13" xfId="0" applyNumberFormat="1" applyFont="1" applyBorder="1" applyAlignment="1" applyProtection="1">
      <alignment horizontal="right" vertical="center" wrapText="1" indent="1"/>
      <protection locked="0"/>
    </xf>
    <xf numFmtId="3" fontId="15" fillId="0" borderId="13" xfId="0" applyNumberFormat="1" applyFont="1" applyBorder="1"/>
    <xf numFmtId="3" fontId="60" fillId="0" borderId="35" xfId="0" applyNumberFormat="1" applyFont="1" applyBorder="1" applyAlignment="1">
      <alignment vertical="center"/>
    </xf>
    <xf numFmtId="0" fontId="16" fillId="0" borderId="0" xfId="0" applyFont="1" applyAlignment="1">
      <alignment horizontal="center" vertical="center" wrapText="1"/>
    </xf>
    <xf numFmtId="0" fontId="8" fillId="0" borderId="48" xfId="0" applyFont="1" applyBorder="1" applyAlignment="1">
      <alignment horizontal="center" vertical="center" wrapText="1"/>
    </xf>
    <xf numFmtId="164" fontId="46" fillId="0" borderId="44" xfId="0" applyNumberFormat="1" applyFont="1" applyBorder="1" applyAlignment="1">
      <alignment horizontal="right" vertical="center" wrapText="1" indent="1"/>
    </xf>
    <xf numFmtId="164" fontId="44" fillId="0" borderId="35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44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15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35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58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24" xfId="0" applyNumberFormat="1" applyFont="1" applyBorder="1" applyAlignment="1" applyProtection="1">
      <alignment horizontal="right" vertical="center" wrapText="1" indent="1"/>
      <protection locked="0"/>
    </xf>
    <xf numFmtId="164" fontId="16" fillId="0" borderId="44" xfId="0" applyNumberFormat="1" applyFont="1" applyBorder="1" applyAlignment="1">
      <alignment horizontal="right" vertical="center" wrapText="1" indent="1"/>
    </xf>
    <xf numFmtId="164" fontId="16" fillId="0" borderId="15" xfId="0" applyNumberFormat="1" applyFont="1" applyBorder="1" applyAlignment="1">
      <alignment horizontal="right" vertical="center" wrapText="1" indent="1"/>
    </xf>
    <xf numFmtId="3" fontId="5" fillId="0" borderId="15" xfId="0" applyNumberFormat="1" applyFont="1" applyBorder="1" applyAlignment="1" applyProtection="1">
      <alignment horizontal="right" vertical="center" wrapText="1" indent="1"/>
      <protection locked="0"/>
    </xf>
    <xf numFmtId="2" fontId="16" fillId="0" borderId="16" xfId="0" applyNumberFormat="1" applyFont="1" applyBorder="1" applyAlignment="1">
      <alignment horizontal="center" vertical="center" wrapText="1"/>
    </xf>
    <xf numFmtId="2" fontId="16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right" vertical="center" wrapText="1" indent="1"/>
    </xf>
    <xf numFmtId="2" fontId="0" fillId="0" borderId="0" xfId="0" applyNumberFormat="1" applyAlignment="1">
      <alignment vertical="center" wrapText="1"/>
    </xf>
    <xf numFmtId="2" fontId="8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right" vertical="center" wrapText="1" indent="1"/>
    </xf>
    <xf numFmtId="164" fontId="45" fillId="0" borderId="24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69" xfId="0" applyNumberFormat="1" applyFont="1" applyBorder="1" applyAlignment="1">
      <alignment horizontal="right" vertical="center" wrapText="1" indent="1"/>
    </xf>
    <xf numFmtId="2" fontId="8" fillId="0" borderId="0" xfId="0" applyNumberFormat="1" applyFont="1" applyAlignment="1">
      <alignment vertical="center"/>
    </xf>
    <xf numFmtId="2" fontId="16" fillId="0" borderId="69" xfId="0" applyNumberFormat="1" applyFont="1" applyBorder="1" applyAlignment="1">
      <alignment horizontal="right" vertical="center" wrapText="1" indent="1"/>
    </xf>
    <xf numFmtId="164" fontId="44" fillId="0" borderId="24" xfId="47" applyNumberFormat="1" applyFont="1" applyBorder="1" applyAlignment="1" applyProtection="1">
      <alignment horizontal="right" vertical="center" wrapText="1" indent="1"/>
      <protection locked="0"/>
    </xf>
    <xf numFmtId="4" fontId="0" fillId="0" borderId="0" xfId="0" applyNumberFormat="1" applyAlignment="1">
      <alignment horizontal="centerContinuous" vertical="center"/>
    </xf>
    <xf numFmtId="4" fontId="8" fillId="0" borderId="16" xfId="0" applyNumberFormat="1" applyFont="1" applyBorder="1" applyAlignment="1">
      <alignment horizontal="center" vertical="center" wrapText="1"/>
    </xf>
    <xf numFmtId="4" fontId="0" fillId="0" borderId="0" xfId="0" applyNumberFormat="1" applyAlignment="1">
      <alignment vertical="center" wrapText="1"/>
    </xf>
    <xf numFmtId="0" fontId="7" fillId="0" borderId="32" xfId="0" applyFont="1" applyBorder="1" applyAlignment="1">
      <alignment vertical="center"/>
    </xf>
    <xf numFmtId="0" fontId="5" fillId="0" borderId="32" xfId="0" applyFont="1" applyBorder="1" applyAlignment="1">
      <alignment vertical="center"/>
    </xf>
    <xf numFmtId="0" fontId="7" fillId="0" borderId="32" xfId="0" applyFont="1" applyBorder="1" applyAlignment="1">
      <alignment horizontal="center" vertical="center" wrapText="1"/>
    </xf>
    <xf numFmtId="0" fontId="11" fillId="0" borderId="32" xfId="0" applyFont="1" applyBorder="1" applyAlignment="1">
      <alignment vertical="center" wrapText="1"/>
    </xf>
    <xf numFmtId="0" fontId="4" fillId="0" borderId="32" xfId="0" applyFont="1" applyBorder="1" applyAlignment="1">
      <alignment vertical="center" wrapText="1"/>
    </xf>
    <xf numFmtId="0" fontId="10" fillId="0" borderId="32" xfId="0" applyFont="1" applyBorder="1" applyAlignment="1">
      <alignment vertical="center" wrapText="1"/>
    </xf>
    <xf numFmtId="0" fontId="0" fillId="0" borderId="32" xfId="0" applyBorder="1" applyAlignment="1">
      <alignment vertical="center" wrapText="1"/>
    </xf>
    <xf numFmtId="164" fontId="4" fillId="0" borderId="32" xfId="0" applyNumberFormat="1" applyFont="1" applyBorder="1" applyAlignment="1">
      <alignment vertical="center" wrapText="1"/>
    </xf>
    <xf numFmtId="164" fontId="46" fillId="0" borderId="17" xfId="0" applyNumberFormat="1" applyFont="1" applyBorder="1" applyAlignment="1" applyProtection="1">
      <alignment horizontal="right" vertical="center" wrapText="1" indent="1"/>
      <protection locked="0"/>
    </xf>
    <xf numFmtId="2" fontId="46" fillId="0" borderId="17" xfId="0" applyNumberFormat="1" applyFont="1" applyBorder="1" applyAlignment="1" applyProtection="1">
      <alignment horizontal="right" vertical="center" wrapText="1" indent="1"/>
      <protection locked="0"/>
    </xf>
    <xf numFmtId="3" fontId="15" fillId="0" borderId="35" xfId="0" applyNumberFormat="1" applyFont="1" applyBorder="1"/>
    <xf numFmtId="164" fontId="0" fillId="0" borderId="0" xfId="0" applyNumberFormat="1" applyAlignment="1">
      <alignment vertical="center" textRotation="180" wrapText="1"/>
    </xf>
    <xf numFmtId="0" fontId="0" fillId="0" borderId="0" xfId="0" applyAlignment="1">
      <alignment horizontal="right" vertical="center" wrapText="1"/>
    </xf>
    <xf numFmtId="0" fontId="51" fillId="0" borderId="0" xfId="0" applyFont="1" applyAlignment="1" applyProtection="1">
      <alignment vertical="top"/>
      <protection locked="0"/>
    </xf>
    <xf numFmtId="0" fontId="7" fillId="0" borderId="45" xfId="0" applyFont="1" applyBorder="1"/>
    <xf numFmtId="164" fontId="8" fillId="0" borderId="44" xfId="0" applyNumberFormat="1" applyFont="1" applyBorder="1" applyAlignment="1">
      <alignment horizontal="center" vertical="center" wrapText="1"/>
    </xf>
    <xf numFmtId="0" fontId="51" fillId="0" borderId="0" xfId="0" applyFont="1" applyAlignment="1" applyProtection="1">
      <alignment horizontal="right" vertical="top"/>
      <protection locked="0"/>
    </xf>
    <xf numFmtId="0" fontId="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left" vertical="center" wrapText="1"/>
    </xf>
    <xf numFmtId="164" fontId="65" fillId="0" borderId="0" xfId="0" applyNumberFormat="1" applyFont="1" applyAlignment="1">
      <alignment vertical="center" wrapText="1"/>
    </xf>
    <xf numFmtId="0" fontId="42" fillId="0" borderId="0" xfId="0" applyFont="1" applyAlignment="1">
      <alignment horizontal="right"/>
    </xf>
    <xf numFmtId="49" fontId="44" fillId="0" borderId="30" xfId="47" applyNumberFormat="1" applyFont="1" applyBorder="1" applyAlignment="1">
      <alignment horizontal="center" vertical="center" wrapText="1"/>
    </xf>
    <xf numFmtId="0" fontId="44" fillId="0" borderId="24" xfId="47" applyFont="1" applyBorder="1" applyAlignment="1">
      <alignment horizontal="left" vertical="center" wrapText="1" indent="1"/>
    </xf>
    <xf numFmtId="3" fontId="5" fillId="0" borderId="16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33" xfId="0" applyNumberFormat="1" applyFont="1" applyBorder="1" applyAlignment="1">
      <alignment horizontal="right" vertical="center" wrapText="1" indent="1"/>
    </xf>
    <xf numFmtId="164" fontId="16" fillId="0" borderId="33" xfId="0" applyNumberFormat="1" applyFont="1" applyBorder="1" applyAlignment="1">
      <alignment horizontal="right" vertical="center" wrapText="1" indent="1"/>
    </xf>
    <xf numFmtId="164" fontId="45" fillId="0" borderId="79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4" xfId="0" applyNumberFormat="1" applyFont="1" applyBorder="1" applyAlignment="1" applyProtection="1">
      <alignment horizontal="right" vertical="center" wrapText="1" indent="1"/>
      <protection locked="0"/>
    </xf>
    <xf numFmtId="0" fontId="8" fillId="0" borderId="16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164" fontId="16" fillId="0" borderId="44" xfId="0" applyNumberFormat="1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164" fontId="16" fillId="0" borderId="81" xfId="47" applyNumberFormat="1" applyFont="1" applyBorder="1" applyAlignment="1">
      <alignment horizontal="right" vertical="center" wrapText="1" indent="1"/>
    </xf>
    <xf numFmtId="164" fontId="44" fillId="0" borderId="70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12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44" xfId="47" applyNumberFormat="1" applyFont="1" applyBorder="1" applyAlignment="1">
      <alignment horizontal="right" vertical="center" wrapText="1" indent="1"/>
    </xf>
    <xf numFmtId="164" fontId="46" fillId="0" borderId="44" xfId="47" applyNumberFormat="1" applyFont="1" applyBorder="1" applyAlignment="1">
      <alignment horizontal="right" vertical="center" wrapText="1" indent="1"/>
    </xf>
    <xf numFmtId="164" fontId="44" fillId="0" borderId="77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12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58" xfId="0" applyNumberFormat="1" applyFont="1" applyBorder="1" applyAlignment="1" applyProtection="1">
      <alignment horizontal="right" vertical="center" wrapText="1" indent="1"/>
      <protection locked="0"/>
    </xf>
    <xf numFmtId="0" fontId="8" fillId="0" borderId="81" xfId="0" applyFont="1" applyBorder="1" applyAlignment="1">
      <alignment horizontal="center" vertical="center" wrapText="1"/>
    </xf>
    <xf numFmtId="164" fontId="44" fillId="0" borderId="70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7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0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6" xfId="0" applyNumberFormat="1" applyFont="1" applyBorder="1" applyAlignment="1" applyProtection="1">
      <alignment horizontal="right" vertical="center" wrapText="1" indent="1"/>
      <protection locked="0"/>
    </xf>
    <xf numFmtId="3" fontId="5" fillId="0" borderId="44" xfId="0" applyNumberFormat="1" applyFont="1" applyBorder="1"/>
    <xf numFmtId="0" fontId="46" fillId="0" borderId="37" xfId="0" applyFont="1" applyBorder="1" applyAlignment="1">
      <alignment horizontal="center" vertical="center" wrapText="1"/>
    </xf>
    <xf numFmtId="49" fontId="45" fillId="0" borderId="36" xfId="0" applyNumberFormat="1" applyFont="1" applyBorder="1" applyAlignment="1">
      <alignment horizontal="center" vertical="center" wrapText="1"/>
    </xf>
    <xf numFmtId="3" fontId="60" fillId="0" borderId="70" xfId="0" applyNumberFormat="1" applyFont="1" applyBorder="1" applyAlignment="1">
      <alignment vertical="center"/>
    </xf>
    <xf numFmtId="164" fontId="44" fillId="0" borderId="12" xfId="47" applyNumberFormat="1" applyFont="1" applyBorder="1" applyAlignment="1">
      <alignment horizontal="right" vertical="center" wrapText="1" indent="1"/>
    </xf>
    <xf numFmtId="164" fontId="45" fillId="0" borderId="12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76" xfId="47" applyNumberFormat="1" applyFont="1" applyBorder="1" applyAlignment="1">
      <alignment horizontal="right" vertical="center" wrapText="1" indent="1"/>
    </xf>
    <xf numFmtId="164" fontId="5" fillId="0" borderId="0" xfId="0" applyNumberFormat="1" applyFont="1" applyAlignment="1">
      <alignment vertical="center" wrapText="1"/>
    </xf>
    <xf numFmtId="0" fontId="4" fillId="0" borderId="0" xfId="47" applyFont="1"/>
    <xf numFmtId="164" fontId="6" fillId="0" borderId="0" xfId="47" applyNumberFormat="1" applyFont="1" applyAlignment="1">
      <alignment horizontal="center" vertical="center" wrapText="1"/>
    </xf>
    <xf numFmtId="164" fontId="6" fillId="0" borderId="0" xfId="47" applyNumberFormat="1" applyFont="1" applyAlignment="1">
      <alignment horizontal="centerContinuous" vertical="center"/>
    </xf>
    <xf numFmtId="0" fontId="64" fillId="0" borderId="0" xfId="0" applyFont="1"/>
    <xf numFmtId="164" fontId="24" fillId="0" borderId="0" xfId="47" applyNumberFormat="1" applyFont="1" applyAlignment="1">
      <alignment horizontal="center" vertical="center" wrapText="1"/>
    </xf>
    <xf numFmtId="164" fontId="24" fillId="0" borderId="0" xfId="47" applyNumberFormat="1" applyFont="1" applyAlignment="1">
      <alignment horizontal="centerContinuous" vertical="center"/>
    </xf>
    <xf numFmtId="0" fontId="67" fillId="0" borderId="0" xfId="0" applyFont="1" applyAlignment="1">
      <alignment horizontal="right"/>
    </xf>
    <xf numFmtId="0" fontId="70" fillId="0" borderId="0" xfId="47" applyFont="1"/>
    <xf numFmtId="0" fontId="71" fillId="0" borderId="39" xfId="47" applyFont="1" applyBorder="1" applyAlignment="1">
      <alignment horizontal="center" vertical="center" wrapText="1"/>
    </xf>
    <xf numFmtId="0" fontId="71" fillId="0" borderId="35" xfId="47" applyFont="1" applyBorder="1" applyAlignment="1">
      <alignment horizontal="center" vertical="center" wrapText="1"/>
    </xf>
    <xf numFmtId="0" fontId="71" fillId="0" borderId="40" xfId="47" applyFont="1" applyBorder="1" applyAlignment="1">
      <alignment horizontal="center" vertical="center" wrapText="1"/>
    </xf>
    <xf numFmtId="0" fontId="66" fillId="0" borderId="10" xfId="47" applyFont="1" applyBorder="1" applyAlignment="1">
      <alignment horizontal="center" vertical="center"/>
    </xf>
    <xf numFmtId="0" fontId="66" fillId="0" borderId="15" xfId="47" applyFont="1" applyBorder="1" applyAlignment="1">
      <alignment horizontal="center" vertical="center"/>
    </xf>
    <xf numFmtId="0" fontId="66" fillId="0" borderId="16" xfId="47" applyFont="1" applyBorder="1" applyAlignment="1">
      <alignment horizontal="center" vertical="center"/>
    </xf>
    <xf numFmtId="0" fontId="72" fillId="0" borderId="0" xfId="0" applyFont="1"/>
    <xf numFmtId="0" fontId="53" fillId="0" borderId="0" xfId="0" applyFont="1"/>
    <xf numFmtId="0" fontId="43" fillId="0" borderId="0" xfId="0" applyFont="1" applyProtection="1">
      <protection locked="0"/>
    </xf>
    <xf numFmtId="0" fontId="0" fillId="0" borderId="0" xfId="0" applyProtection="1">
      <protection locked="0"/>
    </xf>
    <xf numFmtId="0" fontId="53" fillId="0" borderId="0" xfId="0" applyFont="1" applyProtection="1">
      <protection locked="0"/>
    </xf>
    <xf numFmtId="0" fontId="72" fillId="0" borderId="0" xfId="0" applyFont="1" applyProtection="1">
      <protection locked="0"/>
    </xf>
    <xf numFmtId="0" fontId="63" fillId="0" borderId="0" xfId="0" applyFont="1"/>
    <xf numFmtId="0" fontId="68" fillId="0" borderId="10" xfId="0" applyFont="1" applyBorder="1" applyAlignment="1">
      <alignment horizontal="center" vertical="center" wrapText="1"/>
    </xf>
    <xf numFmtId="0" fontId="68" fillId="0" borderId="15" xfId="0" applyFont="1" applyBorder="1" applyAlignment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9" fillId="0" borderId="20" xfId="0" applyFont="1" applyBorder="1" applyAlignment="1">
      <alignment horizontal="center" vertical="center"/>
    </xf>
    <xf numFmtId="0" fontId="69" fillId="0" borderId="13" xfId="0" applyFont="1" applyBorder="1" applyAlignment="1">
      <alignment vertical="center" wrapText="1"/>
    </xf>
    <xf numFmtId="164" fontId="70" fillId="0" borderId="13" xfId="0" applyNumberFormat="1" applyFont="1" applyBorder="1" applyAlignment="1" applyProtection="1">
      <alignment vertical="center"/>
      <protection locked="0"/>
    </xf>
    <xf numFmtId="164" fontId="24" fillId="0" borderId="28" xfId="0" applyNumberFormat="1" applyFont="1" applyBorder="1" applyAlignment="1">
      <alignment vertical="center"/>
    </xf>
    <xf numFmtId="0" fontId="69" fillId="0" borderId="18" xfId="0" applyFont="1" applyBorder="1" applyAlignment="1">
      <alignment horizontal="center" vertical="center"/>
    </xf>
    <xf numFmtId="0" fontId="69" fillId="0" borderId="21" xfId="0" applyFont="1" applyBorder="1" applyAlignment="1">
      <alignment vertical="center" wrapText="1"/>
    </xf>
    <xf numFmtId="164" fontId="70" fillId="0" borderId="21" xfId="0" applyNumberFormat="1" applyFont="1" applyBorder="1" applyAlignment="1" applyProtection="1">
      <alignment vertical="center"/>
      <protection locked="0"/>
    </xf>
    <xf numFmtId="164" fontId="24" fillId="0" borderId="26" xfId="0" applyNumberFormat="1" applyFont="1" applyBorder="1" applyAlignment="1">
      <alignment vertical="center"/>
    </xf>
    <xf numFmtId="0" fontId="69" fillId="0" borderId="19" xfId="0" applyFont="1" applyBorder="1" applyAlignment="1">
      <alignment horizontal="center" vertical="center"/>
    </xf>
    <xf numFmtId="0" fontId="69" fillId="0" borderId="23" xfId="0" applyFont="1" applyBorder="1" applyAlignment="1">
      <alignment vertical="center" wrapText="1"/>
    </xf>
    <xf numFmtId="164" fontId="70" fillId="0" borderId="23" xfId="0" applyNumberFormat="1" applyFont="1" applyBorder="1" applyAlignment="1" applyProtection="1">
      <alignment vertical="center"/>
      <protection locked="0"/>
    </xf>
    <xf numFmtId="164" fontId="24" fillId="0" borderId="29" xfId="0" applyNumberFormat="1" applyFont="1" applyBorder="1" applyAlignment="1">
      <alignment vertical="center"/>
    </xf>
    <xf numFmtId="0" fontId="24" fillId="0" borderId="10" xfId="0" applyFont="1" applyBorder="1" applyAlignment="1">
      <alignment horizontal="center" vertical="center"/>
    </xf>
    <xf numFmtId="0" fontId="24" fillId="0" borderId="15" xfId="0" applyFont="1" applyBorder="1" applyAlignment="1">
      <alignment vertical="center" wrapText="1"/>
    </xf>
    <xf numFmtId="164" fontId="24" fillId="0" borderId="15" xfId="0" applyNumberFormat="1" applyFont="1" applyBorder="1" applyAlignment="1">
      <alignment vertical="center"/>
    </xf>
    <xf numFmtId="164" fontId="24" fillId="0" borderId="16" xfId="0" applyNumberFormat="1" applyFont="1" applyBorder="1" applyAlignment="1">
      <alignment vertical="center"/>
    </xf>
    <xf numFmtId="0" fontId="5" fillId="0" borderId="0" xfId="0" applyFont="1"/>
    <xf numFmtId="0" fontId="73" fillId="0" borderId="0" xfId="0" applyFont="1" applyAlignment="1">
      <alignment horizontal="center"/>
    </xf>
    <xf numFmtId="0" fontId="21" fillId="0" borderId="0" xfId="0" applyFont="1" applyAlignment="1">
      <alignment vertical="center"/>
    </xf>
    <xf numFmtId="0" fontId="23" fillId="0" borderId="25" xfId="0" applyFont="1" applyBorder="1" applyAlignment="1">
      <alignment vertical="center"/>
    </xf>
    <xf numFmtId="0" fontId="23" fillId="0" borderId="38" xfId="0" applyFont="1" applyBorder="1" applyAlignment="1">
      <alignment horizontal="center" vertical="center"/>
    </xf>
    <xf numFmtId="0" fontId="23" fillId="0" borderId="48" xfId="0" applyFont="1" applyBorder="1" applyAlignment="1">
      <alignment horizontal="center" vertical="center"/>
    </xf>
    <xf numFmtId="49" fontId="45" fillId="0" borderId="39" xfId="0" applyNumberFormat="1" applyFont="1" applyBorder="1" applyAlignment="1">
      <alignment vertical="center"/>
    </xf>
    <xf numFmtId="3" fontId="45" fillId="0" borderId="35" xfId="0" applyNumberFormat="1" applyFont="1" applyBorder="1" applyAlignment="1" applyProtection="1">
      <alignment vertical="center"/>
      <protection locked="0"/>
    </xf>
    <xf numFmtId="3" fontId="46" fillId="0" borderId="40" xfId="0" applyNumberFormat="1" applyFont="1" applyBorder="1" applyAlignment="1">
      <alignment vertical="center"/>
    </xf>
    <xf numFmtId="49" fontId="49" fillId="0" borderId="18" xfId="0" quotePrefix="1" applyNumberFormat="1" applyFont="1" applyBorder="1" applyAlignment="1">
      <alignment horizontal="left" vertical="center" indent="1"/>
    </xf>
    <xf numFmtId="3" fontId="49" fillId="0" borderId="21" xfId="0" applyNumberFormat="1" applyFont="1" applyBorder="1" applyAlignment="1" applyProtection="1">
      <alignment vertical="center"/>
      <protection locked="0"/>
    </xf>
    <xf numFmtId="3" fontId="77" fillId="0" borderId="26" xfId="0" applyNumberFormat="1" applyFont="1" applyBorder="1" applyAlignment="1">
      <alignment vertical="center"/>
    </xf>
    <xf numFmtId="49" fontId="45" fillId="0" borderId="18" xfId="0" applyNumberFormat="1" applyFont="1" applyBorder="1" applyAlignment="1">
      <alignment vertical="center"/>
    </xf>
    <xf numFmtId="3" fontId="45" fillId="0" borderId="21" xfId="0" applyNumberFormat="1" applyFont="1" applyBorder="1" applyAlignment="1" applyProtection="1">
      <alignment vertical="center"/>
      <protection locked="0"/>
    </xf>
    <xf numFmtId="3" fontId="46" fillId="0" borderId="26" xfId="0" applyNumberFormat="1" applyFont="1" applyBorder="1" applyAlignment="1">
      <alignment vertical="center"/>
    </xf>
    <xf numFmtId="49" fontId="45" fillId="0" borderId="19" xfId="0" applyNumberFormat="1" applyFont="1" applyBorder="1" applyAlignment="1" applyProtection="1">
      <alignment vertical="center"/>
      <protection locked="0"/>
    </xf>
    <xf numFmtId="3" fontId="45" fillId="0" borderId="23" xfId="0" applyNumberFormat="1" applyFont="1" applyBorder="1" applyAlignment="1" applyProtection="1">
      <alignment vertical="center"/>
      <protection locked="0"/>
    </xf>
    <xf numFmtId="49" fontId="23" fillId="0" borderId="10" xfId="0" applyNumberFormat="1" applyFont="1" applyBorder="1" applyAlignment="1">
      <alignment vertical="center"/>
    </xf>
    <xf numFmtId="3" fontId="46" fillId="0" borderId="15" xfId="0" applyNumberFormat="1" applyFont="1" applyBorder="1" applyAlignment="1">
      <alignment vertical="center"/>
    </xf>
    <xf numFmtId="3" fontId="46" fillId="0" borderId="16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49" fontId="45" fillId="0" borderId="18" xfId="0" applyNumberFormat="1" applyFont="1" applyBorder="1" applyAlignment="1">
      <alignment horizontal="left" vertical="center"/>
    </xf>
    <xf numFmtId="49" fontId="45" fillId="0" borderId="18" xfId="0" applyNumberFormat="1" applyFont="1" applyBorder="1" applyAlignment="1" applyProtection="1">
      <alignment vertical="center"/>
      <protection locked="0"/>
    </xf>
    <xf numFmtId="49" fontId="23" fillId="0" borderId="0" xfId="0" applyNumberFormat="1" applyFont="1" applyAlignment="1">
      <alignment vertical="center"/>
    </xf>
    <xf numFmtId="3" fontId="45" fillId="0" borderId="0" xfId="0" applyNumberFormat="1" applyFont="1" applyAlignment="1">
      <alignment vertical="center"/>
    </xf>
    <xf numFmtId="0" fontId="42" fillId="0" borderId="0" xfId="0" applyFont="1"/>
    <xf numFmtId="164" fontId="50" fillId="0" borderId="16" xfId="0" quotePrefix="1" applyNumberFormat="1" applyFont="1" applyBorder="1" applyAlignment="1">
      <alignment horizontal="right" vertical="center" wrapText="1" indent="1"/>
    </xf>
    <xf numFmtId="164" fontId="46" fillId="0" borderId="16" xfId="47" applyNumberFormat="1" applyFont="1" applyBorder="1" applyAlignment="1" applyProtection="1">
      <alignment horizontal="right" vertical="center" wrapText="1" indent="1"/>
      <protection locked="0"/>
    </xf>
    <xf numFmtId="0" fontId="8" fillId="0" borderId="33" xfId="0" applyFont="1" applyBorder="1" applyAlignment="1">
      <alignment vertical="center" wrapText="1"/>
    </xf>
    <xf numFmtId="0" fontId="44" fillId="0" borderId="69" xfId="0" applyFont="1" applyBorder="1" applyAlignment="1">
      <alignment horizontal="center" vertical="center" wrapText="1"/>
    </xf>
    <xf numFmtId="0" fontId="8" fillId="0" borderId="69" xfId="0" applyFont="1" applyBorder="1" applyAlignment="1">
      <alignment horizontal="left" vertical="center" wrapText="1" indent="1"/>
    </xf>
    <xf numFmtId="0" fontId="46" fillId="0" borderId="16" xfId="0" applyFont="1" applyBorder="1" applyAlignment="1">
      <alignment horizontal="left" vertical="center" wrapText="1" indent="1"/>
    </xf>
    <xf numFmtId="0" fontId="44" fillId="0" borderId="40" xfId="47" applyFont="1" applyBorder="1" applyAlignment="1">
      <alignment horizontal="left" vertical="center" wrapText="1" indent="1"/>
    </xf>
    <xf numFmtId="0" fontId="44" fillId="0" borderId="26" xfId="47" applyFont="1" applyBorder="1" applyAlignment="1">
      <alignment horizontal="left" vertical="center" wrapText="1" indent="1"/>
    </xf>
    <xf numFmtId="0" fontId="47" fillId="0" borderId="28" xfId="0" applyFont="1" applyBorder="1" applyAlignment="1">
      <alignment horizontal="left" wrapText="1" indent="1"/>
    </xf>
    <xf numFmtId="0" fontId="47" fillId="0" borderId="26" xfId="0" applyFont="1" applyBorder="1" applyAlignment="1">
      <alignment horizontal="left" wrapText="1" indent="1"/>
    </xf>
    <xf numFmtId="0" fontId="44" fillId="0" borderId="42" xfId="47" applyFont="1" applyBorder="1" applyAlignment="1">
      <alignment horizontal="left" vertical="center" wrapText="1" indent="1"/>
    </xf>
    <xf numFmtId="0" fontId="44" fillId="0" borderId="28" xfId="47" applyFont="1" applyBorder="1" applyAlignment="1">
      <alignment horizontal="left" vertical="center" wrapText="1" indent="1"/>
    </xf>
    <xf numFmtId="0" fontId="44" fillId="0" borderId="26" xfId="47" applyFont="1" applyBorder="1" applyAlignment="1">
      <alignment horizontal="left" vertical="center" wrapText="1" indent="3"/>
    </xf>
    <xf numFmtId="0" fontId="46" fillId="0" borderId="16" xfId="47" applyFont="1" applyBorder="1" applyAlignment="1">
      <alignment horizontal="left" vertical="center" wrapText="1" indent="1"/>
    </xf>
    <xf numFmtId="0" fontId="45" fillId="0" borderId="28" xfId="47" applyFont="1" applyBorder="1" applyAlignment="1">
      <alignment horizontal="left" vertical="center" wrapText="1" indent="1"/>
    </xf>
    <xf numFmtId="0" fontId="45" fillId="0" borderId="26" xfId="47" applyFont="1" applyBorder="1" applyAlignment="1">
      <alignment horizontal="left" vertical="center" wrapText="1" indent="1"/>
    </xf>
    <xf numFmtId="0" fontId="45" fillId="0" borderId="46" xfId="47" quotePrefix="1" applyFont="1" applyBorder="1" applyAlignment="1">
      <alignment horizontal="left" vertical="center" wrapText="1" indent="3"/>
    </xf>
    <xf numFmtId="0" fontId="45" fillId="0" borderId="46" xfId="47" applyFont="1" applyBorder="1" applyAlignment="1">
      <alignment horizontal="left" vertical="center" wrapText="1" indent="1"/>
    </xf>
    <xf numFmtId="0" fontId="44" fillId="0" borderId="55" xfId="47" quotePrefix="1" applyFont="1" applyBorder="1" applyAlignment="1">
      <alignment horizontal="left" vertical="center" wrapText="1" indent="4"/>
    </xf>
    <xf numFmtId="0" fontId="46" fillId="0" borderId="33" xfId="47" applyFont="1" applyBorder="1" applyAlignment="1">
      <alignment horizontal="left" vertical="center" wrapText="1" indent="1"/>
    </xf>
    <xf numFmtId="0" fontId="47" fillId="0" borderId="40" xfId="0" applyFont="1" applyBorder="1" applyAlignment="1">
      <alignment horizontal="left" wrapText="1" indent="1"/>
    </xf>
    <xf numFmtId="0" fontId="47" fillId="0" borderId="29" xfId="0" applyFont="1" applyBorder="1" applyAlignment="1">
      <alignment horizontal="left" wrapText="1" indent="1"/>
    </xf>
    <xf numFmtId="0" fontId="45" fillId="0" borderId="74" xfId="47" quotePrefix="1" applyFont="1" applyBorder="1" applyAlignment="1">
      <alignment horizontal="left" vertical="center" wrapText="1" indent="4"/>
    </xf>
    <xf numFmtId="0" fontId="45" fillId="0" borderId="42" xfId="47" applyFont="1" applyBorder="1" applyAlignment="1">
      <alignment horizontal="left" vertical="center" wrapText="1" indent="1"/>
    </xf>
    <xf numFmtId="0" fontId="7" fillId="0" borderId="71" xfId="0" applyFont="1" applyBorder="1" applyAlignment="1">
      <alignment vertical="center"/>
    </xf>
    <xf numFmtId="0" fontId="7" fillId="0" borderId="73" xfId="0" applyFont="1" applyBorder="1" applyAlignment="1">
      <alignment vertical="center"/>
    </xf>
    <xf numFmtId="164" fontId="5" fillId="0" borderId="10" xfId="0" applyNumberFormat="1" applyFont="1" applyBorder="1" applyAlignment="1">
      <alignment horizontal="center" vertical="center" wrapText="1"/>
    </xf>
    <xf numFmtId="164" fontId="5" fillId="0" borderId="15" xfId="0" applyNumberFormat="1" applyFont="1" applyBorder="1" applyAlignment="1">
      <alignment horizontal="center" vertical="center" wrapText="1"/>
    </xf>
    <xf numFmtId="164" fontId="5" fillId="0" borderId="16" xfId="0" applyNumberFormat="1" applyFont="1" applyBorder="1" applyAlignment="1">
      <alignment horizontal="center" vertical="center" wrapText="1"/>
    </xf>
    <xf numFmtId="164" fontId="15" fillId="0" borderId="13" xfId="0" applyNumberFormat="1" applyFont="1" applyBorder="1" applyAlignment="1" applyProtection="1">
      <alignment vertical="center" wrapText="1"/>
      <protection locked="0"/>
    </xf>
    <xf numFmtId="164" fontId="15" fillId="0" borderId="24" xfId="0" applyNumberFormat="1" applyFont="1" applyBorder="1" applyAlignment="1" applyProtection="1">
      <alignment vertical="center" wrapText="1"/>
      <protection locked="0"/>
    </xf>
    <xf numFmtId="164" fontId="5" fillId="0" borderId="10" xfId="0" applyNumberFormat="1" applyFont="1" applyBorder="1" applyAlignment="1">
      <alignment horizontal="left" vertical="center" wrapText="1"/>
    </xf>
    <xf numFmtId="164" fontId="5" fillId="0" borderId="15" xfId="0" applyNumberFormat="1" applyFont="1" applyBorder="1" applyAlignment="1">
      <alignment vertical="center" wrapText="1"/>
    </xf>
    <xf numFmtId="164" fontId="15" fillId="0" borderId="0" xfId="0" applyNumberFormat="1" applyFont="1" applyAlignment="1">
      <alignment vertical="center" wrapText="1"/>
    </xf>
    <xf numFmtId="164" fontId="15" fillId="0" borderId="85" xfId="0" applyNumberFormat="1" applyFont="1" applyBorder="1" applyAlignment="1" applyProtection="1">
      <alignment vertical="center" wrapText="1"/>
      <protection locked="0"/>
    </xf>
    <xf numFmtId="3" fontId="15" fillId="0" borderId="88" xfId="0" applyNumberFormat="1" applyFont="1" applyBorder="1"/>
    <xf numFmtId="164" fontId="62" fillId="0" borderId="85" xfId="0" applyNumberFormat="1" applyFont="1" applyBorder="1" applyAlignment="1" applyProtection="1">
      <alignment vertical="center" wrapText="1"/>
      <protection locked="0"/>
    </xf>
    <xf numFmtId="164" fontId="15" fillId="0" borderId="88" xfId="0" applyNumberFormat="1" applyFont="1" applyBorder="1" applyAlignment="1">
      <alignment vertical="center" wrapText="1"/>
    </xf>
    <xf numFmtId="3" fontId="15" fillId="0" borderId="87" xfId="0" applyNumberFormat="1" applyFont="1" applyBorder="1"/>
    <xf numFmtId="3" fontId="15" fillId="0" borderId="90" xfId="0" applyNumberFormat="1" applyFont="1" applyBorder="1"/>
    <xf numFmtId="3" fontId="15" fillId="0" borderId="85" xfId="0" applyNumberFormat="1" applyFont="1" applyBorder="1"/>
    <xf numFmtId="164" fontId="15" fillId="0" borderId="41" xfId="0" applyNumberFormat="1" applyFont="1" applyBorder="1" applyAlignment="1" applyProtection="1">
      <alignment vertical="center" wrapText="1"/>
      <protection locked="0"/>
    </xf>
    <xf numFmtId="0" fontId="68" fillId="0" borderId="15" xfId="47" applyFont="1" applyBorder="1" applyAlignment="1">
      <alignment horizontal="left" vertical="center" wrapText="1"/>
    </xf>
    <xf numFmtId="165" fontId="52" fillId="0" borderId="16" xfId="52" applyNumberFormat="1" applyFont="1" applyFill="1" applyBorder="1" applyAlignment="1" applyProtection="1">
      <alignment horizontal="center"/>
    </xf>
    <xf numFmtId="0" fontId="48" fillId="0" borderId="10" xfId="47" applyFont="1" applyBorder="1" applyAlignment="1">
      <alignment horizontal="center" vertical="center"/>
    </xf>
    <xf numFmtId="0" fontId="66" fillId="0" borderId="39" xfId="47" applyFont="1" applyBorder="1" applyAlignment="1">
      <alignment horizontal="center"/>
    </xf>
    <xf numFmtId="0" fontId="66" fillId="0" borderId="18" xfId="47" applyFont="1" applyBorder="1" applyAlignment="1">
      <alignment horizontal="center"/>
    </xf>
    <xf numFmtId="0" fontId="66" fillId="0" borderId="19" xfId="47" applyFont="1" applyBorder="1" applyAlignment="1">
      <alignment horizontal="center"/>
    </xf>
    <xf numFmtId="3" fontId="60" fillId="0" borderId="34" xfId="0" applyNumberFormat="1" applyFont="1" applyBorder="1" applyAlignment="1">
      <alignment horizontal="center" vertical="center" wrapText="1"/>
    </xf>
    <xf numFmtId="3" fontId="60" fillId="0" borderId="90" xfId="0" applyNumberFormat="1" applyFont="1" applyBorder="1" applyAlignment="1">
      <alignment horizontal="center" vertical="center" wrapText="1"/>
    </xf>
    <xf numFmtId="3" fontId="60" fillId="0" borderId="90" xfId="0" applyNumberFormat="1" applyFont="1" applyBorder="1" applyAlignment="1">
      <alignment horizontal="center" vertical="center"/>
    </xf>
    <xf numFmtId="3" fontId="60" fillId="0" borderId="36" xfId="0" applyNumberFormat="1" applyFont="1" applyBorder="1" applyAlignment="1">
      <alignment horizontal="center" vertical="center"/>
    </xf>
    <xf numFmtId="164" fontId="45" fillId="0" borderId="92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88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92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92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88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88" xfId="47" applyNumberFormat="1" applyFont="1" applyBorder="1" applyAlignment="1" applyProtection="1">
      <alignment horizontal="right" vertical="center" wrapText="1" indent="1"/>
      <protection locked="0"/>
    </xf>
    <xf numFmtId="49" fontId="45" fillId="0" borderId="84" xfId="0" applyNumberFormat="1" applyFont="1" applyBorder="1" applyAlignment="1">
      <alignment horizontal="center" vertical="center" wrapText="1"/>
    </xf>
    <xf numFmtId="0" fontId="44" fillId="0" borderId="85" xfId="47" applyFont="1" applyBorder="1" applyAlignment="1">
      <alignment horizontal="left" vertical="center" wrapText="1" indent="1"/>
    </xf>
    <xf numFmtId="164" fontId="44" fillId="0" borderId="85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88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86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87" xfId="0" applyNumberFormat="1" applyFont="1" applyBorder="1" applyAlignment="1" applyProtection="1">
      <alignment horizontal="right" vertical="center" wrapText="1" indent="1"/>
      <protection locked="0"/>
    </xf>
    <xf numFmtId="0" fontId="44" fillId="0" borderId="85" xfId="47" applyFont="1" applyBorder="1" applyAlignment="1">
      <alignment horizontal="left" vertical="center" wrapText="1" indent="3"/>
    </xf>
    <xf numFmtId="0" fontId="45" fillId="0" borderId="85" xfId="47" applyFont="1" applyBorder="1" applyAlignment="1">
      <alignment horizontal="left" vertical="center" wrapText="1" indent="1"/>
    </xf>
    <xf numFmtId="0" fontId="44" fillId="0" borderId="85" xfId="47" quotePrefix="1" applyFont="1" applyBorder="1" applyAlignment="1">
      <alignment horizontal="left" vertical="center" wrapText="1" indent="4"/>
    </xf>
    <xf numFmtId="164" fontId="46" fillId="0" borderId="86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85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92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93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93" xfId="0" applyNumberFormat="1" applyFont="1" applyBorder="1" applyAlignment="1" applyProtection="1">
      <alignment horizontal="right" vertical="center" wrapText="1" indent="1"/>
      <protection locked="0"/>
    </xf>
    <xf numFmtId="164" fontId="8" fillId="0" borderId="0" xfId="0" applyNumberFormat="1" applyFont="1" applyAlignment="1">
      <alignment horizontal="right" vertical="center" indent="1"/>
    </xf>
    <xf numFmtId="164" fontId="3" fillId="0" borderId="0" xfId="0" applyNumberFormat="1" applyFont="1" applyAlignment="1">
      <alignment horizontal="right" vertical="center" wrapText="1" indent="1"/>
    </xf>
    <xf numFmtId="0" fontId="47" fillId="0" borderId="85" xfId="0" applyFont="1" applyBorder="1" applyAlignment="1">
      <alignment horizontal="left" wrapText="1" indent="1"/>
    </xf>
    <xf numFmtId="0" fontId="47" fillId="0" borderId="86" xfId="0" applyFont="1" applyBorder="1" applyAlignment="1">
      <alignment horizontal="left" wrapText="1" indent="1"/>
    </xf>
    <xf numFmtId="0" fontId="48" fillId="0" borderId="15" xfId="0" applyFont="1" applyBorder="1" applyAlignment="1">
      <alignment horizontal="left" vertical="center" wrapText="1" indent="1"/>
    </xf>
    <xf numFmtId="0" fontId="16" fillId="0" borderId="47" xfId="47" applyFont="1" applyBorder="1" applyAlignment="1">
      <alignment horizontal="center" vertical="center" wrapText="1"/>
    </xf>
    <xf numFmtId="164" fontId="48" fillId="0" borderId="44" xfId="0" quotePrefix="1" applyNumberFormat="1" applyFont="1" applyBorder="1" applyAlignment="1">
      <alignment horizontal="right" vertical="center" wrapText="1" indent="1"/>
    </xf>
    <xf numFmtId="0" fontId="50" fillId="0" borderId="43" xfId="0" applyFont="1" applyBorder="1" applyAlignment="1">
      <alignment horizontal="left" vertical="center" wrapText="1" indent="1"/>
    </xf>
    <xf numFmtId="0" fontId="44" fillId="0" borderId="85" xfId="47" applyFont="1" applyBorder="1" applyAlignment="1">
      <alignment horizontal="left" vertical="center" wrapText="1" indent="6"/>
    </xf>
    <xf numFmtId="0" fontId="44" fillId="0" borderId="86" xfId="47" applyFont="1" applyBorder="1" applyAlignment="1">
      <alignment horizontal="left" vertical="center" wrapText="1" indent="2"/>
    </xf>
    <xf numFmtId="0" fontId="44" fillId="0" borderId="85" xfId="47" applyFont="1" applyBorder="1" applyAlignment="1">
      <alignment horizontal="left" indent="4"/>
    </xf>
    <xf numFmtId="0" fontId="44" fillId="0" borderId="86" xfId="47" applyFont="1" applyBorder="1" applyAlignment="1">
      <alignment horizontal="left" vertical="center" wrapText="1" indent="1"/>
    </xf>
    <xf numFmtId="0" fontId="0" fillId="0" borderId="0" xfId="0" applyAlignment="1">
      <alignment horizontal="right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48" xfId="0" applyFont="1" applyBorder="1" applyAlignment="1">
      <alignment horizontal="center" vertical="center" wrapText="1"/>
    </xf>
    <xf numFmtId="0" fontId="7" fillId="0" borderId="81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3" fontId="7" fillId="0" borderId="43" xfId="0" applyNumberFormat="1" applyFont="1" applyBorder="1" applyAlignment="1">
      <alignment horizontal="right" vertical="center" wrapText="1"/>
    </xf>
    <xf numFmtId="0" fontId="51" fillId="0" borderId="0" xfId="0" applyFont="1" applyAlignment="1" applyProtection="1">
      <alignment horizontal="right" vertical="center"/>
      <protection locked="0"/>
    </xf>
    <xf numFmtId="164" fontId="42" fillId="0" borderId="0" xfId="0" applyNumberFormat="1" applyFont="1" applyAlignment="1">
      <alignment horizontal="right" vertical="center" wrapText="1"/>
    </xf>
    <xf numFmtId="0" fontId="15" fillId="0" borderId="20" xfId="0" applyFont="1" applyBorder="1" applyAlignment="1">
      <alignment vertical="center" wrapText="1"/>
    </xf>
    <xf numFmtId="3" fontId="15" fillId="0" borderId="85" xfId="0" applyNumberFormat="1" applyFont="1" applyBorder="1" applyAlignment="1">
      <alignment vertical="center"/>
    </xf>
    <xf numFmtId="164" fontId="82" fillId="0" borderId="0" xfId="47" applyNumberFormat="1" applyFont="1" applyAlignment="1">
      <alignment vertical="center" wrapText="1"/>
    </xf>
    <xf numFmtId="0" fontId="59" fillId="0" borderId="0" xfId="53" applyFont="1"/>
    <xf numFmtId="0" fontId="59" fillId="0" borderId="0" xfId="53" applyFont="1" applyProtection="1">
      <protection locked="0"/>
    </xf>
    <xf numFmtId="0" fontId="83" fillId="0" borderId="10" xfId="53" applyFont="1" applyBorder="1" applyAlignment="1">
      <alignment horizontal="center" vertical="center" wrapText="1"/>
    </xf>
    <xf numFmtId="0" fontId="83" fillId="0" borderId="16" xfId="53" applyFont="1" applyBorder="1" applyAlignment="1">
      <alignment horizontal="center" vertical="center" wrapText="1"/>
    </xf>
    <xf numFmtId="49" fontId="59" fillId="0" borderId="20" xfId="53" applyNumberFormat="1" applyFont="1" applyBorder="1" applyAlignment="1">
      <alignment horizontal="center" vertical="center" wrapText="1"/>
    </xf>
    <xf numFmtId="3" fontId="59" fillId="0" borderId="28" xfId="53" applyNumberFormat="1" applyFont="1" applyBorder="1" applyAlignment="1" applyProtection="1">
      <alignment horizontal="right" vertical="center" wrapText="1" indent="1"/>
      <protection locked="0"/>
    </xf>
    <xf numFmtId="49" fontId="59" fillId="0" borderId="84" xfId="53" applyNumberFormat="1" applyFont="1" applyBorder="1" applyAlignment="1">
      <alignment horizontal="center" vertical="center" wrapText="1"/>
    </xf>
    <xf numFmtId="3" fontId="59" fillId="0" borderId="88" xfId="53" applyNumberFormat="1" applyFont="1" applyBorder="1" applyAlignment="1" applyProtection="1">
      <alignment horizontal="right" vertical="center" wrapText="1" indent="1"/>
      <protection locked="0"/>
    </xf>
    <xf numFmtId="0" fontId="58" fillId="0" borderId="30" xfId="53" applyFont="1" applyBorder="1" applyAlignment="1">
      <alignment vertical="center" wrapText="1"/>
    </xf>
    <xf numFmtId="49" fontId="83" fillId="0" borderId="10" xfId="53" applyNumberFormat="1" applyFont="1" applyBorder="1" applyAlignment="1">
      <alignment horizontal="center" vertical="center" wrapText="1"/>
    </xf>
    <xf numFmtId="0" fontId="83" fillId="0" borderId="10" xfId="53" applyFont="1" applyBorder="1" applyAlignment="1">
      <alignment horizontal="left" vertical="center" wrapText="1"/>
    </xf>
    <xf numFmtId="164" fontId="6" fillId="0" borderId="33" xfId="47" applyNumberFormat="1" applyFont="1" applyBorder="1" applyAlignment="1">
      <alignment horizontal="right" vertical="center" wrapText="1" indent="1"/>
    </xf>
    <xf numFmtId="0" fontId="59" fillId="0" borderId="20" xfId="53" applyFont="1" applyBorder="1" applyAlignment="1">
      <alignment horizontal="left" vertical="center" wrapText="1"/>
    </xf>
    <xf numFmtId="0" fontId="59" fillId="0" borderId="84" xfId="53" applyFont="1" applyBorder="1" applyAlignment="1">
      <alignment horizontal="center" vertical="center" wrapText="1"/>
    </xf>
    <xf numFmtId="0" fontId="84" fillId="0" borderId="90" xfId="53" applyFont="1" applyBorder="1" applyAlignment="1">
      <alignment vertical="center" wrapText="1"/>
    </xf>
    <xf numFmtId="3" fontId="59" fillId="0" borderId="87" xfId="53" applyNumberFormat="1" applyFont="1" applyBorder="1" applyAlignment="1" applyProtection="1">
      <alignment horizontal="right" vertical="center" wrapText="1" indent="1"/>
      <protection locked="0"/>
    </xf>
    <xf numFmtId="0" fontId="59" fillId="0" borderId="30" xfId="53" applyFont="1" applyBorder="1" applyAlignment="1">
      <alignment horizontal="center" vertical="center" wrapText="1"/>
    </xf>
    <xf numFmtId="0" fontId="84" fillId="0" borderId="36" xfId="53" applyFont="1" applyBorder="1" applyAlignment="1">
      <alignment vertical="center" wrapText="1"/>
    </xf>
    <xf numFmtId="3" fontId="59" fillId="0" borderId="46" xfId="53" applyNumberFormat="1" applyFont="1" applyBorder="1" applyAlignment="1" applyProtection="1">
      <alignment horizontal="right" vertical="center" wrapText="1" indent="1"/>
      <protection locked="0"/>
    </xf>
    <xf numFmtId="0" fontId="59" fillId="0" borderId="0" xfId="53" applyFont="1" applyAlignment="1">
      <alignment horizontal="right"/>
    </xf>
    <xf numFmtId="3" fontId="78" fillId="0" borderId="85" xfId="0" applyNumberFormat="1" applyFont="1" applyBorder="1" applyAlignment="1">
      <alignment horizontal="right" vertical="center" wrapText="1"/>
    </xf>
    <xf numFmtId="49" fontId="49" fillId="0" borderId="84" xfId="0" quotePrefix="1" applyNumberFormat="1" applyFont="1" applyBorder="1" applyAlignment="1">
      <alignment horizontal="left" vertical="center" indent="1"/>
    </xf>
    <xf numFmtId="3" fontId="49" fillId="0" borderId="85" xfId="0" applyNumberFormat="1" applyFont="1" applyBorder="1" applyAlignment="1" applyProtection="1">
      <alignment vertical="center"/>
      <protection locked="0"/>
    </xf>
    <xf numFmtId="3" fontId="77" fillId="0" borderId="88" xfId="0" applyNumberFormat="1" applyFont="1" applyBorder="1" applyAlignment="1">
      <alignment vertical="center"/>
    </xf>
    <xf numFmtId="49" fontId="45" fillId="0" borderId="84" xfId="0" applyNumberFormat="1" applyFont="1" applyBorder="1" applyAlignment="1">
      <alignment vertical="center"/>
    </xf>
    <xf numFmtId="3" fontId="45" fillId="0" borderId="85" xfId="0" applyNumberFormat="1" applyFont="1" applyBorder="1" applyAlignment="1" applyProtection="1">
      <alignment vertical="center"/>
      <protection locked="0"/>
    </xf>
    <xf numFmtId="3" fontId="46" fillId="0" borderId="88" xfId="0" applyNumberFormat="1" applyFont="1" applyBorder="1" applyAlignment="1">
      <alignment vertical="center"/>
    </xf>
    <xf numFmtId="49" fontId="45" fillId="0" borderId="89" xfId="0" applyNumberFormat="1" applyFont="1" applyBorder="1" applyAlignment="1" applyProtection="1">
      <alignment vertical="center"/>
      <protection locked="0"/>
    </xf>
    <xf numFmtId="3" fontId="45" fillId="0" borderId="86" xfId="0" applyNumberFormat="1" applyFont="1" applyBorder="1" applyAlignment="1" applyProtection="1">
      <alignment vertical="center"/>
      <protection locked="0"/>
    </xf>
    <xf numFmtId="49" fontId="45" fillId="0" borderId="84" xfId="0" applyNumberFormat="1" applyFont="1" applyBorder="1" applyAlignment="1">
      <alignment horizontal="left" vertical="center"/>
    </xf>
    <xf numFmtId="49" fontId="45" fillId="0" borderId="84" xfId="0" applyNumberFormat="1" applyFont="1" applyBorder="1" applyAlignment="1" applyProtection="1">
      <alignment vertical="center"/>
      <protection locked="0"/>
    </xf>
    <xf numFmtId="3" fontId="59" fillId="0" borderId="31" xfId="53" applyNumberFormat="1" applyFont="1" applyBorder="1" applyAlignment="1" applyProtection="1">
      <alignment horizontal="right" vertical="center" wrapText="1" indent="1"/>
      <protection locked="0"/>
    </xf>
    <xf numFmtId="3" fontId="59" fillId="0" borderId="42" xfId="54" applyNumberFormat="1" applyFont="1" applyFill="1" applyBorder="1" applyAlignment="1" applyProtection="1">
      <alignment horizontal="right" vertical="center" wrapText="1" indent="1"/>
      <protection locked="0"/>
    </xf>
    <xf numFmtId="164" fontId="44" fillId="0" borderId="85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85" xfId="47" applyNumberFormat="1" applyFont="1" applyBorder="1" applyAlignment="1" applyProtection="1">
      <alignment horizontal="right" vertical="center" wrapText="1" indent="1"/>
      <protection locked="0"/>
    </xf>
    <xf numFmtId="164" fontId="65" fillId="0" borderId="0" xfId="0" applyNumberFormat="1" applyFont="1" applyAlignment="1">
      <alignment horizontal="center" vertical="center" wrapText="1"/>
    </xf>
    <xf numFmtId="164" fontId="65" fillId="0" borderId="14" xfId="0" applyNumberFormat="1" applyFont="1" applyBorder="1" applyAlignment="1">
      <alignment horizontal="center" vertical="center" wrapText="1"/>
    </xf>
    <xf numFmtId="164" fontId="65" fillId="0" borderId="52" xfId="0" applyNumberFormat="1" applyFont="1" applyBorder="1" applyAlignment="1">
      <alignment horizontal="center" vertical="center" wrapText="1"/>
    </xf>
    <xf numFmtId="49" fontId="65" fillId="0" borderId="20" xfId="47" applyNumberFormat="1" applyFont="1" applyBorder="1" applyAlignment="1">
      <alignment horizontal="center" vertical="center" wrapText="1"/>
    </xf>
    <xf numFmtId="164" fontId="8" fillId="0" borderId="17" xfId="0" applyNumberFormat="1" applyFont="1" applyBorder="1" applyAlignment="1">
      <alignment horizontal="center" vertical="center" wrapText="1"/>
    </xf>
    <xf numFmtId="164" fontId="65" fillId="0" borderId="51" xfId="0" applyNumberFormat="1" applyFont="1" applyBorder="1" applyAlignment="1">
      <alignment horizontal="center" vertical="center" wrapText="1"/>
    </xf>
    <xf numFmtId="49" fontId="65" fillId="0" borderId="52" xfId="47" applyNumberFormat="1" applyFont="1" applyBorder="1" applyAlignment="1">
      <alignment horizontal="center" vertical="center" wrapText="1"/>
    </xf>
    <xf numFmtId="49" fontId="65" fillId="0" borderId="67" xfId="47" applyNumberFormat="1" applyFont="1" applyBorder="1" applyAlignment="1">
      <alignment horizontal="center" vertical="center" wrapText="1"/>
    </xf>
    <xf numFmtId="49" fontId="65" fillId="0" borderId="52" xfId="0" applyNumberFormat="1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3" fontId="5" fillId="0" borderId="37" xfId="0" applyNumberFormat="1" applyFont="1" applyBorder="1"/>
    <xf numFmtId="0" fontId="22" fillId="0" borderId="0" xfId="0" applyFont="1"/>
    <xf numFmtId="164" fontId="0" fillId="0" borderId="85" xfId="0" applyNumberFormat="1" applyBorder="1" applyAlignment="1">
      <alignment horizontal="right" vertical="center" wrapText="1"/>
    </xf>
    <xf numFmtId="164" fontId="5" fillId="0" borderId="40" xfId="0" applyNumberFormat="1" applyFont="1" applyBorder="1" applyAlignment="1">
      <alignment horizontal="center" vertical="center" wrapText="1"/>
    </xf>
    <xf numFmtId="164" fontId="5" fillId="0" borderId="88" xfId="0" applyNumberFormat="1" applyFont="1" applyBorder="1" applyAlignment="1">
      <alignment horizontal="center" vertical="center" wrapText="1"/>
    </xf>
    <xf numFmtId="0" fontId="69" fillId="0" borderId="38" xfId="47" applyFont="1" applyBorder="1" applyProtection="1">
      <protection locked="0"/>
    </xf>
    <xf numFmtId="165" fontId="69" fillId="0" borderId="48" xfId="52" applyNumberFormat="1" applyFont="1" applyFill="1" applyBorder="1" applyProtection="1">
      <protection locked="0"/>
    </xf>
    <xf numFmtId="0" fontId="69" fillId="0" borderId="85" xfId="47" applyFont="1" applyBorder="1" applyProtection="1">
      <protection locked="0"/>
    </xf>
    <xf numFmtId="165" fontId="69" fillId="0" borderId="88" xfId="52" applyNumberFormat="1" applyFont="1" applyFill="1" applyBorder="1" applyProtection="1">
      <protection locked="0"/>
    </xf>
    <xf numFmtId="0" fontId="69" fillId="0" borderId="13" xfId="47" applyFont="1" applyBorder="1" applyProtection="1">
      <protection locked="0"/>
    </xf>
    <xf numFmtId="165" fontId="69" fillId="0" borderId="28" xfId="52" applyNumberFormat="1" applyFont="1" applyFill="1" applyBorder="1" applyProtection="1">
      <protection locked="0"/>
    </xf>
    <xf numFmtId="0" fontId="58" fillId="0" borderId="84" xfId="53" applyFont="1" applyBorder="1" applyAlignment="1">
      <alignment horizontal="justify" vertical="center" wrapText="1"/>
    </xf>
    <xf numFmtId="0" fontId="58" fillId="0" borderId="84" xfId="53" applyFont="1" applyBorder="1" applyAlignment="1">
      <alignment vertical="center" wrapText="1"/>
    </xf>
    <xf numFmtId="164" fontId="44" fillId="0" borderId="88" xfId="47" applyNumberFormat="1" applyFont="1" applyBorder="1" applyAlignment="1" applyProtection="1">
      <alignment horizontal="right" vertical="center" wrapText="1"/>
      <protection locked="0"/>
    </xf>
    <xf numFmtId="0" fontId="22" fillId="0" borderId="0" xfId="0" applyFont="1" applyAlignment="1">
      <alignment horizontal="center" vertical="center" wrapText="1"/>
    </xf>
    <xf numFmtId="0" fontId="16" fillId="0" borderId="15" xfId="47" applyFont="1" applyBorder="1" applyAlignment="1">
      <alignment horizontal="left" vertical="center" wrapText="1"/>
    </xf>
    <xf numFmtId="164" fontId="16" fillId="0" borderId="16" xfId="47" applyNumberFormat="1" applyFont="1" applyBorder="1" applyAlignment="1">
      <alignment horizontal="right" vertical="center" wrapText="1"/>
    </xf>
    <xf numFmtId="164" fontId="16" fillId="0" borderId="44" xfId="47" applyNumberFormat="1" applyFont="1" applyBorder="1" applyAlignment="1">
      <alignment horizontal="right" vertical="center" wrapText="1"/>
    </xf>
    <xf numFmtId="164" fontId="16" fillId="0" borderId="15" xfId="47" applyNumberFormat="1" applyFont="1" applyBorder="1" applyAlignment="1">
      <alignment horizontal="right" vertical="center" wrapText="1"/>
    </xf>
    <xf numFmtId="0" fontId="47" fillId="0" borderId="13" xfId="0" applyFont="1" applyBorder="1" applyAlignment="1">
      <alignment horizontal="left" vertical="center" wrapText="1"/>
    </xf>
    <xf numFmtId="164" fontId="44" fillId="0" borderId="12" xfId="47" applyNumberFormat="1" applyFont="1" applyBorder="1" applyAlignment="1" applyProtection="1">
      <alignment horizontal="right" vertical="center" wrapText="1"/>
      <protection locked="0"/>
    </xf>
    <xf numFmtId="164" fontId="44" fillId="0" borderId="13" xfId="47" applyNumberFormat="1" applyFont="1" applyBorder="1" applyAlignment="1" applyProtection="1">
      <alignment horizontal="right" vertical="center" wrapText="1"/>
      <protection locked="0"/>
    </xf>
    <xf numFmtId="0" fontId="47" fillId="0" borderId="85" xfId="0" applyFont="1" applyBorder="1" applyAlignment="1">
      <alignment horizontal="left" vertical="center" wrapText="1"/>
    </xf>
    <xf numFmtId="0" fontId="47" fillId="0" borderId="86" xfId="0" applyFont="1" applyBorder="1" applyAlignment="1">
      <alignment horizontal="left" vertical="center" wrapText="1"/>
    </xf>
    <xf numFmtId="164" fontId="16" fillId="0" borderId="0" xfId="47" applyNumberFormat="1" applyFont="1" applyAlignment="1">
      <alignment horizontal="right" vertical="center" wrapText="1"/>
    </xf>
    <xf numFmtId="0" fontId="48" fillId="0" borderId="15" xfId="0" applyFont="1" applyBorder="1" applyAlignment="1">
      <alignment horizontal="left" vertical="center" wrapText="1"/>
    </xf>
    <xf numFmtId="164" fontId="44" fillId="0" borderId="92" xfId="47" applyNumberFormat="1" applyFont="1" applyBorder="1" applyAlignment="1" applyProtection="1">
      <alignment horizontal="right" vertical="center" wrapText="1"/>
      <protection locked="0"/>
    </xf>
    <xf numFmtId="164" fontId="44" fillId="0" borderId="93" xfId="47" applyNumberFormat="1" applyFont="1" applyBorder="1" applyAlignment="1" applyProtection="1">
      <alignment horizontal="right" vertical="center" wrapText="1"/>
      <protection locked="0"/>
    </xf>
    <xf numFmtId="164" fontId="46" fillId="0" borderId="16" xfId="47" applyNumberFormat="1" applyFont="1" applyBorder="1" applyAlignment="1">
      <alignment horizontal="right" vertical="center" wrapText="1"/>
    </xf>
    <xf numFmtId="164" fontId="46" fillId="0" borderId="44" xfId="47" applyNumberFormat="1" applyFont="1" applyBorder="1" applyAlignment="1">
      <alignment horizontal="right" vertical="center" wrapText="1"/>
    </xf>
    <xf numFmtId="164" fontId="46" fillId="0" borderId="15" xfId="47" applyNumberFormat="1" applyFont="1" applyBorder="1" applyAlignment="1">
      <alignment horizontal="right" vertical="center" wrapText="1"/>
    </xf>
    <xf numFmtId="164" fontId="44" fillId="0" borderId="12" xfId="47" applyNumberFormat="1" applyFont="1" applyBorder="1" applyAlignment="1">
      <alignment horizontal="right" vertical="center" wrapText="1"/>
    </xf>
    <xf numFmtId="164" fontId="44" fillId="0" borderId="13" xfId="47" applyNumberFormat="1" applyFont="1" applyBorder="1" applyAlignment="1">
      <alignment horizontal="right" vertical="center" wrapText="1"/>
    </xf>
    <xf numFmtId="164" fontId="45" fillId="0" borderId="92" xfId="47" applyNumberFormat="1" applyFont="1" applyBorder="1" applyAlignment="1" applyProtection="1">
      <alignment horizontal="right" vertical="center" wrapText="1"/>
      <protection locked="0"/>
    </xf>
    <xf numFmtId="164" fontId="45" fillId="0" borderId="12" xfId="47" applyNumberFormat="1" applyFont="1" applyBorder="1" applyAlignment="1" applyProtection="1">
      <alignment horizontal="right" vertical="center" wrapText="1"/>
      <protection locked="0"/>
    </xf>
    <xf numFmtId="164" fontId="45" fillId="0" borderId="13" xfId="47" applyNumberFormat="1" applyFont="1" applyBorder="1" applyAlignment="1" applyProtection="1">
      <alignment horizontal="right" vertical="center" wrapText="1"/>
      <protection locked="0"/>
    </xf>
    <xf numFmtId="164" fontId="45" fillId="0" borderId="93" xfId="47" applyNumberFormat="1" applyFont="1" applyBorder="1" applyAlignment="1" applyProtection="1">
      <alignment horizontal="right" vertical="center" wrapText="1"/>
      <protection locked="0"/>
    </xf>
    <xf numFmtId="0" fontId="16" fillId="0" borderId="43" xfId="47" applyFont="1" applyBorder="1" applyAlignment="1">
      <alignment horizontal="left" vertical="center" wrapText="1"/>
    </xf>
    <xf numFmtId="164" fontId="45" fillId="0" borderId="85" xfId="47" applyNumberFormat="1" applyFont="1" applyBorder="1" applyAlignment="1" applyProtection="1">
      <alignment horizontal="right" vertical="center" wrapText="1"/>
      <protection locked="0"/>
    </xf>
    <xf numFmtId="0" fontId="45" fillId="0" borderId="13" xfId="47" applyFont="1" applyBorder="1" applyAlignment="1">
      <alignment horizontal="left" vertical="center" wrapText="1"/>
    </xf>
    <xf numFmtId="0" fontId="48" fillId="0" borderId="15" xfId="0" applyFont="1" applyBorder="1" applyAlignment="1">
      <alignment vertical="center" wrapText="1"/>
    </xf>
    <xf numFmtId="0" fontId="48" fillId="0" borderId="43" xfId="0" applyFont="1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3" fontId="16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2" fontId="3" fillId="0" borderId="0" xfId="0" applyNumberFormat="1" applyFont="1" applyAlignment="1">
      <alignment horizontal="right" vertical="center" wrapText="1"/>
    </xf>
    <xf numFmtId="164" fontId="16" fillId="0" borderId="48" xfId="47" applyNumberFormat="1" applyFont="1" applyBorder="1" applyAlignment="1">
      <alignment horizontal="right" vertical="center" wrapText="1"/>
    </xf>
    <xf numFmtId="164" fontId="16" fillId="0" borderId="81" xfId="47" applyNumberFormat="1" applyFont="1" applyBorder="1" applyAlignment="1">
      <alignment horizontal="right" vertical="center" wrapText="1"/>
    </xf>
    <xf numFmtId="164" fontId="16" fillId="0" borderId="38" xfId="47" applyNumberFormat="1" applyFont="1" applyBorder="1" applyAlignment="1">
      <alignment horizontal="right" vertical="center" wrapText="1"/>
    </xf>
    <xf numFmtId="164" fontId="44" fillId="0" borderId="70" xfId="47" applyNumberFormat="1" applyFont="1" applyBorder="1" applyAlignment="1" applyProtection="1">
      <alignment horizontal="right" vertical="center" wrapText="1"/>
      <protection locked="0"/>
    </xf>
    <xf numFmtId="164" fontId="44" fillId="0" borderId="35" xfId="47" applyNumberFormat="1" applyFont="1" applyBorder="1" applyAlignment="1" applyProtection="1">
      <alignment horizontal="right" vertical="center" wrapText="1"/>
      <protection locked="0"/>
    </xf>
    <xf numFmtId="2" fontId="44" fillId="0" borderId="40" xfId="47" applyNumberFormat="1" applyFont="1" applyBorder="1" applyAlignment="1" applyProtection="1">
      <alignment horizontal="right" vertical="center" wrapText="1"/>
      <protection locked="0"/>
    </xf>
    <xf numFmtId="2" fontId="44" fillId="0" borderId="26" xfId="47" applyNumberFormat="1" applyFont="1" applyBorder="1" applyAlignment="1" applyProtection="1">
      <alignment horizontal="right" vertical="center" wrapText="1"/>
      <protection locked="0"/>
    </xf>
    <xf numFmtId="2" fontId="44" fillId="0" borderId="29" xfId="47" applyNumberFormat="1" applyFont="1" applyBorder="1" applyAlignment="1" applyProtection="1">
      <alignment horizontal="right" vertical="center" wrapText="1"/>
      <protection locked="0"/>
    </xf>
    <xf numFmtId="2" fontId="45" fillId="0" borderId="26" xfId="47" applyNumberFormat="1" applyFont="1" applyBorder="1" applyAlignment="1">
      <alignment horizontal="right" vertical="center" wrapText="1"/>
    </xf>
    <xf numFmtId="0" fontId="44" fillId="0" borderId="13" xfId="47" applyFont="1" applyBorder="1" applyAlignment="1">
      <alignment horizontal="left" vertical="center" wrapText="1"/>
    </xf>
    <xf numFmtId="2" fontId="44" fillId="0" borderId="28" xfId="47" applyNumberFormat="1" applyFont="1" applyBorder="1" applyAlignment="1" applyProtection="1">
      <alignment horizontal="right" vertical="center" wrapText="1"/>
      <protection locked="0"/>
    </xf>
    <xf numFmtId="2" fontId="16" fillId="0" borderId="16" xfId="47" applyNumberFormat="1" applyFont="1" applyBorder="1" applyAlignment="1">
      <alignment horizontal="right" vertical="center" wrapText="1"/>
    </xf>
    <xf numFmtId="0" fontId="46" fillId="0" borderId="15" xfId="47" applyFont="1" applyBorder="1" applyAlignment="1">
      <alignment horizontal="left" vertical="center" wrapText="1"/>
    </xf>
    <xf numFmtId="0" fontId="44" fillId="0" borderId="41" xfId="47" applyFont="1" applyBorder="1" applyAlignment="1">
      <alignment horizontal="left" vertical="center" wrapText="1"/>
    </xf>
    <xf numFmtId="164" fontId="44" fillId="0" borderId="85" xfId="47" applyNumberFormat="1" applyFont="1" applyBorder="1" applyAlignment="1" applyProtection="1">
      <alignment horizontal="right" vertical="center" wrapText="1"/>
      <protection locked="0"/>
    </xf>
    <xf numFmtId="2" fontId="44" fillId="0" borderId="88" xfId="47" applyNumberFormat="1" applyFont="1" applyBorder="1" applyAlignment="1" applyProtection="1">
      <alignment horizontal="right" vertical="center" wrapText="1"/>
      <protection locked="0"/>
    </xf>
    <xf numFmtId="2" fontId="46" fillId="0" borderId="16" xfId="47" applyNumberFormat="1" applyFont="1" applyBorder="1" applyAlignment="1">
      <alignment horizontal="right" vertical="center" wrapText="1"/>
    </xf>
    <xf numFmtId="164" fontId="48" fillId="0" borderId="16" xfId="0" quotePrefix="1" applyNumberFormat="1" applyFont="1" applyBorder="1" applyAlignment="1">
      <alignment horizontal="right" vertical="center" wrapText="1"/>
    </xf>
    <xf numFmtId="164" fontId="48" fillId="0" borderId="44" xfId="0" quotePrefix="1" applyNumberFormat="1" applyFont="1" applyBorder="1" applyAlignment="1">
      <alignment horizontal="right" vertical="center" wrapText="1"/>
    </xf>
    <xf numFmtId="164" fontId="48" fillId="0" borderId="15" xfId="0" quotePrefix="1" applyNumberFormat="1" applyFont="1" applyBorder="1" applyAlignment="1">
      <alignment horizontal="right" vertical="center" wrapText="1"/>
    </xf>
    <xf numFmtId="2" fontId="48" fillId="0" borderId="16" xfId="0" quotePrefix="1" applyNumberFormat="1" applyFont="1" applyBorder="1" applyAlignment="1">
      <alignment horizontal="right" vertical="center" wrapText="1"/>
    </xf>
    <xf numFmtId="0" fontId="50" fillId="0" borderId="43" xfId="0" applyFont="1" applyBorder="1" applyAlignment="1">
      <alignment horizontal="left" vertical="center" wrapText="1"/>
    </xf>
    <xf numFmtId="0" fontId="3" fillId="0" borderId="45" xfId="0" applyFont="1" applyBorder="1" applyAlignment="1">
      <alignment horizontal="right" vertical="center" wrapText="1"/>
    </xf>
    <xf numFmtId="2" fontId="3" fillId="0" borderId="45" xfId="0" applyNumberFormat="1" applyFont="1" applyBorder="1" applyAlignment="1">
      <alignment horizontal="right" vertical="center" wrapText="1"/>
    </xf>
    <xf numFmtId="3" fontId="16" fillId="0" borderId="44" xfId="0" applyNumberFormat="1" applyFont="1" applyBorder="1" applyAlignment="1" applyProtection="1">
      <alignment horizontal="right" vertical="center" wrapText="1"/>
      <protection locked="0"/>
    </xf>
    <xf numFmtId="3" fontId="16" fillId="0" borderId="15" xfId="0" applyNumberFormat="1" applyFont="1" applyBorder="1" applyAlignment="1" applyProtection="1">
      <alignment horizontal="right" vertical="center" wrapText="1"/>
      <protection locked="0"/>
    </xf>
    <xf numFmtId="2" fontId="16" fillId="0" borderId="16" xfId="0" applyNumberFormat="1" applyFont="1" applyBorder="1" applyAlignment="1" applyProtection="1">
      <alignment horizontal="right" vertical="center" wrapText="1"/>
      <protection locked="0"/>
    </xf>
    <xf numFmtId="3" fontId="16" fillId="0" borderId="0" xfId="0" applyNumberFormat="1" applyFont="1" applyAlignment="1" applyProtection="1">
      <alignment horizontal="right" vertical="center" wrapText="1"/>
      <protection locked="0"/>
    </xf>
    <xf numFmtId="164" fontId="46" fillId="0" borderId="0" xfId="0" applyNumberFormat="1" applyFont="1" applyAlignment="1">
      <alignment horizontal="right" vertical="center" wrapText="1"/>
    </xf>
    <xf numFmtId="2" fontId="16" fillId="0" borderId="0" xfId="0" applyNumberFormat="1" applyFont="1" applyAlignment="1" applyProtection="1">
      <alignment horizontal="right" vertical="center" wrapText="1"/>
      <protection locked="0"/>
    </xf>
    <xf numFmtId="0" fontId="12" fillId="0" borderId="0" xfId="47" applyAlignment="1">
      <alignment vertical="center"/>
    </xf>
    <xf numFmtId="0" fontId="12" fillId="0" borderId="0" xfId="47" applyAlignment="1">
      <alignment horizontal="right" vertical="center"/>
    </xf>
    <xf numFmtId="2" fontId="12" fillId="0" borderId="0" xfId="47" applyNumberFormat="1" applyAlignment="1">
      <alignment horizontal="right" vertical="center"/>
    </xf>
    <xf numFmtId="164" fontId="16" fillId="0" borderId="0" xfId="0" applyNumberFormat="1" applyFont="1" applyAlignment="1">
      <alignment horizontal="right" vertical="center" wrapText="1"/>
    </xf>
    <xf numFmtId="2" fontId="16" fillId="0" borderId="0" xfId="0" applyNumberFormat="1" applyFont="1" applyAlignment="1">
      <alignment horizontal="right" vertical="center" wrapText="1"/>
    </xf>
    <xf numFmtId="2" fontId="16" fillId="0" borderId="0" xfId="47" applyNumberFormat="1" applyFont="1" applyAlignment="1">
      <alignment horizontal="right" vertical="center" wrapText="1"/>
    </xf>
    <xf numFmtId="0" fontId="47" fillId="0" borderId="86" xfId="0" applyFont="1" applyBorder="1" applyAlignment="1">
      <alignment horizontal="left" vertical="center" wrapText="1" indent="1"/>
    </xf>
    <xf numFmtId="0" fontId="54" fillId="0" borderId="44" xfId="0" applyFont="1" applyBorder="1" applyAlignment="1">
      <alignment horizontal="left" wrapText="1" indent="1"/>
    </xf>
    <xf numFmtId="3" fontId="15" fillId="0" borderId="43" xfId="0" applyNumberFormat="1" applyFont="1" applyBorder="1"/>
    <xf numFmtId="3" fontId="0" fillId="0" borderId="13" xfId="0" applyNumberFormat="1" applyBorder="1"/>
    <xf numFmtId="3" fontId="60" fillId="0" borderId="85" xfId="0" applyNumberFormat="1" applyFont="1" applyBorder="1" applyAlignment="1">
      <alignment vertical="center"/>
    </xf>
    <xf numFmtId="3" fontId="61" fillId="0" borderId="85" xfId="0" applyNumberFormat="1" applyFont="1" applyBorder="1" applyAlignment="1">
      <alignment vertical="center"/>
    </xf>
    <xf numFmtId="3" fontId="61" fillId="0" borderId="24" xfId="0" applyNumberFormat="1" applyFont="1" applyBorder="1" applyAlignment="1">
      <alignment vertical="center"/>
    </xf>
    <xf numFmtId="164" fontId="45" fillId="0" borderId="94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86" xfId="47" applyNumberFormat="1" applyFont="1" applyBorder="1" applyAlignment="1" applyProtection="1">
      <alignment horizontal="right" vertical="center" wrapText="1" indent="1"/>
      <protection locked="0"/>
    </xf>
    <xf numFmtId="164" fontId="65" fillId="0" borderId="67" xfId="0" applyNumberFormat="1" applyFont="1" applyBorder="1" applyAlignment="1">
      <alignment horizontal="center" vertical="center" wrapText="1"/>
    </xf>
    <xf numFmtId="164" fontId="65" fillId="0" borderId="90" xfId="0" applyNumberFormat="1" applyFont="1" applyBorder="1" applyAlignment="1">
      <alignment horizontal="center" vertical="center" wrapText="1"/>
    </xf>
    <xf numFmtId="164" fontId="8" fillId="0" borderId="37" xfId="0" applyNumberFormat="1" applyFont="1" applyBorder="1" applyAlignment="1">
      <alignment horizontal="left" vertical="center" wrapText="1" indent="1"/>
    </xf>
    <xf numFmtId="164" fontId="65" fillId="0" borderId="67" xfId="0" applyNumberFormat="1" applyFont="1" applyBorder="1" applyAlignment="1">
      <alignment horizontal="left" vertical="center" wrapText="1" indent="1"/>
    </xf>
    <xf numFmtId="164" fontId="65" fillId="0" borderId="90" xfId="0" applyNumberFormat="1" applyFont="1" applyBorder="1" applyAlignment="1">
      <alignment horizontal="left" vertical="center" wrapText="1" indent="1"/>
    </xf>
    <xf numFmtId="164" fontId="43" fillId="0" borderId="0" xfId="0" applyNumberFormat="1" applyFont="1" applyAlignment="1">
      <alignment horizontal="right" vertical="center" wrapText="1"/>
    </xf>
    <xf numFmtId="0" fontId="7" fillId="0" borderId="0" xfId="0" applyFont="1" applyAlignment="1">
      <alignment horizontal="right" vertical="center"/>
    </xf>
    <xf numFmtId="164" fontId="46" fillId="0" borderId="43" xfId="47" applyNumberFormat="1" applyFont="1" applyBorder="1" applyAlignment="1">
      <alignment horizontal="right" vertical="center" wrapText="1"/>
    </xf>
    <xf numFmtId="3" fontId="78" fillId="0" borderId="90" xfId="0" applyNumberFormat="1" applyFont="1" applyBorder="1" applyAlignment="1">
      <alignment horizontal="center"/>
    </xf>
    <xf numFmtId="164" fontId="46" fillId="0" borderId="76" xfId="47" applyNumberFormat="1" applyFont="1" applyBorder="1" applyAlignment="1">
      <alignment horizontal="right" vertical="center" wrapText="1"/>
    </xf>
    <xf numFmtId="0" fontId="47" fillId="0" borderId="24" xfId="0" applyFont="1" applyBorder="1" applyAlignment="1">
      <alignment horizontal="left" vertical="center" wrapText="1"/>
    </xf>
    <xf numFmtId="164" fontId="45" fillId="0" borderId="24" xfId="47" applyNumberFormat="1" applyFont="1" applyBorder="1" applyAlignment="1" applyProtection="1">
      <alignment horizontal="right" vertical="center" wrapText="1"/>
      <protection locked="0"/>
    </xf>
    <xf numFmtId="49" fontId="8" fillId="0" borderId="72" xfId="0" applyNumberFormat="1" applyFont="1" applyBorder="1" applyAlignment="1">
      <alignment horizontal="right" vertical="center"/>
    </xf>
    <xf numFmtId="49" fontId="8" fillId="0" borderId="74" xfId="0" applyNumberFormat="1" applyFont="1" applyBorder="1" applyAlignment="1">
      <alignment horizontal="right" vertical="center"/>
    </xf>
    <xf numFmtId="0" fontId="8" fillId="0" borderId="16" xfId="0" applyFont="1" applyBorder="1" applyAlignment="1">
      <alignment vertical="center" wrapText="1"/>
    </xf>
    <xf numFmtId="3" fontId="5" fillId="0" borderId="53" xfId="0" applyNumberFormat="1" applyFont="1" applyBorder="1" applyAlignment="1" applyProtection="1">
      <alignment horizontal="right" vertical="center" wrapText="1" indent="1"/>
      <protection locked="0"/>
    </xf>
    <xf numFmtId="0" fontId="44" fillId="0" borderId="85" xfId="47" applyFont="1" applyBorder="1" applyAlignment="1">
      <alignment horizontal="left" vertical="center" wrapText="1" indent="4"/>
    </xf>
    <xf numFmtId="0" fontId="45" fillId="0" borderId="86" xfId="47" quotePrefix="1" applyFont="1" applyBorder="1" applyAlignment="1">
      <alignment horizontal="left" vertical="center" wrapText="1" indent="4"/>
    </xf>
    <xf numFmtId="0" fontId="45" fillId="0" borderId="85" xfId="47" quotePrefix="1" applyFont="1" applyBorder="1" applyAlignment="1">
      <alignment horizontal="left" vertical="center" wrapText="1" indent="4"/>
    </xf>
    <xf numFmtId="0" fontId="54" fillId="0" borderId="15" xfId="0" applyFont="1" applyBorder="1" applyAlignment="1">
      <alignment horizontal="left" wrapText="1" indent="1"/>
    </xf>
    <xf numFmtId="164" fontId="44" fillId="0" borderId="87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87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88" xfId="47" applyNumberFormat="1" applyFont="1" applyBorder="1" applyAlignment="1">
      <alignment horizontal="right" vertical="center" wrapText="1" indent="1"/>
    </xf>
    <xf numFmtId="164" fontId="44" fillId="0" borderId="42" xfId="47" applyNumberFormat="1" applyFont="1" applyBorder="1" applyAlignment="1" applyProtection="1">
      <alignment horizontal="right" vertical="center" wrapText="1" indent="1"/>
      <protection locked="0"/>
    </xf>
    <xf numFmtId="0" fontId="3" fillId="0" borderId="45" xfId="0" applyFont="1" applyBorder="1" applyAlignment="1">
      <alignment horizontal="left" vertical="center" wrapText="1"/>
    </xf>
    <xf numFmtId="0" fontId="3" fillId="0" borderId="45" xfId="0" applyFont="1" applyBorder="1" applyAlignment="1">
      <alignment vertical="center" wrapText="1"/>
    </xf>
    <xf numFmtId="0" fontId="3" fillId="0" borderId="45" xfId="0" applyFont="1" applyBorder="1" applyAlignment="1">
      <alignment horizontal="right" vertical="center" wrapText="1" indent="1"/>
    </xf>
    <xf numFmtId="164" fontId="46" fillId="0" borderId="53" xfId="47" applyNumberFormat="1" applyFont="1" applyBorder="1" applyAlignment="1">
      <alignment horizontal="right" vertical="center" wrapText="1" indent="1"/>
    </xf>
    <xf numFmtId="0" fontId="5" fillId="0" borderId="15" xfId="0" applyFont="1" applyBorder="1" applyAlignment="1">
      <alignment vertical="center" wrapText="1"/>
    </xf>
    <xf numFmtId="164" fontId="45" fillId="0" borderId="88" xfId="47" applyNumberFormat="1" applyFont="1" applyBorder="1" applyAlignment="1">
      <alignment horizontal="right" vertical="center" wrapText="1" indent="1"/>
    </xf>
    <xf numFmtId="0" fontId="51" fillId="0" borderId="0" xfId="0" applyFont="1" applyAlignment="1" applyProtection="1">
      <alignment vertical="center"/>
      <protection locked="0"/>
    </xf>
    <xf numFmtId="0" fontId="65" fillId="0" borderId="0" xfId="47" applyFont="1"/>
    <xf numFmtId="164" fontId="0" fillId="0" borderId="0" xfId="0" applyNumberFormat="1" applyAlignment="1">
      <alignment horizontal="right" vertical="center" wrapText="1"/>
    </xf>
    <xf numFmtId="0" fontId="70" fillId="0" borderId="0" xfId="47" applyFont="1" applyAlignment="1">
      <alignment horizontal="right"/>
    </xf>
    <xf numFmtId="0" fontId="72" fillId="0" borderId="0" xfId="0" applyFont="1" applyAlignment="1">
      <alignment horizontal="right"/>
    </xf>
    <xf numFmtId="164" fontId="44" fillId="0" borderId="40" xfId="47" applyNumberFormat="1" applyFont="1" applyBorder="1" applyAlignment="1">
      <alignment horizontal="right" vertical="center" wrapText="1" indent="1"/>
    </xf>
    <xf numFmtId="164" fontId="44" fillId="0" borderId="88" xfId="47" applyNumberFormat="1" applyFont="1" applyBorder="1" applyAlignment="1">
      <alignment horizontal="right" vertical="center" wrapText="1" indent="1"/>
    </xf>
    <xf numFmtId="164" fontId="47" fillId="0" borderId="28" xfId="0" applyNumberFormat="1" applyFont="1" applyBorder="1" applyAlignment="1">
      <alignment horizontal="right" wrapText="1" indent="1"/>
    </xf>
    <xf numFmtId="164" fontId="47" fillId="0" borderId="88" xfId="0" applyNumberFormat="1" applyFont="1" applyBorder="1" applyAlignment="1">
      <alignment horizontal="right" wrapText="1" indent="1"/>
    </xf>
    <xf numFmtId="164" fontId="44" fillId="0" borderId="42" xfId="47" applyNumberFormat="1" applyFont="1" applyBorder="1" applyAlignment="1">
      <alignment horizontal="right" vertical="center" wrapText="1" indent="1"/>
    </xf>
    <xf numFmtId="164" fontId="44" fillId="0" borderId="88" xfId="47" applyNumberFormat="1" applyFont="1" applyBorder="1" applyAlignment="1">
      <alignment horizontal="right" vertical="center" wrapText="1" indent="3"/>
    </xf>
    <xf numFmtId="164" fontId="45" fillId="0" borderId="28" xfId="47" applyNumberFormat="1" applyFont="1" applyBorder="1" applyAlignment="1">
      <alignment horizontal="right" vertical="center" wrapText="1" indent="1"/>
    </xf>
    <xf numFmtId="164" fontId="45" fillId="0" borderId="46" xfId="47" quotePrefix="1" applyNumberFormat="1" applyFont="1" applyBorder="1" applyAlignment="1">
      <alignment horizontal="right" vertical="center" wrapText="1" indent="3"/>
    </xf>
    <xf numFmtId="164" fontId="45" fillId="0" borderId="46" xfId="47" applyNumberFormat="1" applyFont="1" applyBorder="1" applyAlignment="1">
      <alignment horizontal="right" vertical="center" wrapText="1" indent="1"/>
    </xf>
    <xf numFmtId="164" fontId="44" fillId="0" borderId="42" xfId="47" quotePrefix="1" applyNumberFormat="1" applyFont="1" applyBorder="1" applyAlignment="1">
      <alignment horizontal="right" vertical="center" wrapText="1" indent="4"/>
    </xf>
    <xf numFmtId="164" fontId="47" fillId="0" borderId="40" xfId="0" applyNumberFormat="1" applyFont="1" applyBorder="1" applyAlignment="1">
      <alignment horizontal="right" wrapText="1" indent="1"/>
    </xf>
    <xf numFmtId="164" fontId="47" fillId="0" borderId="87" xfId="0" applyNumberFormat="1" applyFont="1" applyBorder="1" applyAlignment="1">
      <alignment horizontal="right" wrapText="1" indent="1"/>
    </xf>
    <xf numFmtId="164" fontId="45" fillId="0" borderId="31" xfId="47" quotePrefix="1" applyNumberFormat="1" applyFont="1" applyBorder="1" applyAlignment="1">
      <alignment horizontal="right" vertical="center" wrapText="1" indent="4"/>
    </xf>
    <xf numFmtId="164" fontId="45" fillId="0" borderId="42" xfId="47" applyNumberFormat="1" applyFont="1" applyBorder="1" applyAlignment="1">
      <alignment horizontal="right" vertical="center" wrapText="1" indent="1"/>
    </xf>
    <xf numFmtId="0" fontId="8" fillId="0" borderId="0" xfId="0" applyFont="1" applyAlignment="1">
      <alignment horizontal="center" vertical="center" wrapText="1"/>
    </xf>
    <xf numFmtId="164" fontId="8" fillId="0" borderId="53" xfId="0" applyNumberFormat="1" applyFont="1" applyBorder="1" applyAlignment="1">
      <alignment horizontal="center" vertical="center" wrapText="1"/>
    </xf>
    <xf numFmtId="0" fontId="88" fillId="0" borderId="15" xfId="0" applyFont="1" applyBorder="1" applyAlignment="1">
      <alignment horizontal="left" wrapText="1" indent="1"/>
    </xf>
    <xf numFmtId="164" fontId="88" fillId="0" borderId="16" xfId="0" applyNumberFormat="1" applyFont="1" applyBorder="1" applyAlignment="1">
      <alignment horizontal="right" wrapText="1" indent="1"/>
    </xf>
    <xf numFmtId="0" fontId="88" fillId="0" borderId="33" xfId="0" applyFont="1" applyBorder="1" applyAlignment="1">
      <alignment horizontal="left" wrapText="1" indent="1"/>
    </xf>
    <xf numFmtId="0" fontId="44" fillId="0" borderId="0" xfId="0" applyFont="1" applyAlignment="1">
      <alignment vertical="center" wrapText="1"/>
    </xf>
    <xf numFmtId="164" fontId="48" fillId="0" borderId="16" xfId="0" quotePrefix="1" applyNumberFormat="1" applyFont="1" applyBorder="1" applyAlignment="1">
      <alignment horizontal="right" vertical="center" wrapText="1" indent="1"/>
    </xf>
    <xf numFmtId="0" fontId="48" fillId="0" borderId="43" xfId="0" applyFont="1" applyBorder="1" applyAlignment="1">
      <alignment horizontal="left" vertical="center" wrapText="1" indent="1"/>
    </xf>
    <xf numFmtId="0" fontId="45" fillId="0" borderId="0" xfId="0" applyFont="1" applyAlignment="1">
      <alignment vertical="center" wrapText="1"/>
    </xf>
    <xf numFmtId="0" fontId="89" fillId="0" borderId="0" xfId="0" applyFont="1" applyAlignment="1">
      <alignment vertical="center" wrapText="1"/>
    </xf>
    <xf numFmtId="164" fontId="46" fillId="0" borderId="16" xfId="0" applyNumberFormat="1" applyFont="1" applyBorder="1" applyAlignment="1">
      <alignment horizontal="right" vertical="center" wrapText="1"/>
    </xf>
    <xf numFmtId="0" fontId="16" fillId="0" borderId="53" xfId="0" applyFont="1" applyBorder="1" applyAlignment="1">
      <alignment horizontal="center" vertical="center" wrapText="1"/>
    </xf>
    <xf numFmtId="164" fontId="16" fillId="0" borderId="53" xfId="47" applyNumberFormat="1" applyFont="1" applyBorder="1" applyAlignment="1">
      <alignment horizontal="right" vertical="center" wrapText="1" indent="1"/>
    </xf>
    <xf numFmtId="164" fontId="44" fillId="0" borderId="68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49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54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68" xfId="47" applyNumberFormat="1" applyFont="1" applyBorder="1" applyAlignment="1">
      <alignment horizontal="right" vertical="center" wrapText="1" indent="1"/>
    </xf>
    <xf numFmtId="164" fontId="45" fillId="0" borderId="54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68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49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98" xfId="47" applyNumberFormat="1" applyFont="1" applyBorder="1" applyAlignment="1">
      <alignment horizontal="right" vertical="center" wrapText="1" indent="1"/>
    </xf>
    <xf numFmtId="164" fontId="44" fillId="0" borderId="75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49" xfId="47" applyNumberFormat="1" applyFont="1" applyBorder="1" applyAlignment="1">
      <alignment horizontal="right" vertical="center" wrapText="1" indent="1"/>
    </xf>
    <xf numFmtId="164" fontId="46" fillId="0" borderId="53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50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53" xfId="0" quotePrefix="1" applyNumberFormat="1" applyFont="1" applyBorder="1" applyAlignment="1">
      <alignment horizontal="right" vertical="center" wrapText="1" indent="1"/>
    </xf>
    <xf numFmtId="164" fontId="50" fillId="0" borderId="53" xfId="0" quotePrefix="1" applyNumberFormat="1" applyFont="1" applyBorder="1" applyAlignment="1">
      <alignment horizontal="right" vertical="center" wrapText="1" indent="1"/>
    </xf>
    <xf numFmtId="3" fontId="5" fillId="0" borderId="45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53" xfId="0" applyNumberFormat="1" applyFont="1" applyBorder="1" applyAlignment="1">
      <alignment horizontal="right" vertical="center" wrapText="1" indent="1"/>
    </xf>
    <xf numFmtId="164" fontId="44" fillId="0" borderId="75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68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53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68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96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50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5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54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97" xfId="0" applyNumberFormat="1" applyFont="1" applyBorder="1" applyAlignment="1" applyProtection="1">
      <alignment horizontal="right" vertical="center" wrapText="1" indent="1"/>
      <protection locked="0"/>
    </xf>
    <xf numFmtId="164" fontId="16" fillId="0" borderId="53" xfId="0" applyNumberFormat="1" applyFont="1" applyBorder="1" applyAlignment="1">
      <alignment horizontal="right" vertical="center" wrapText="1" indent="1"/>
    </xf>
    <xf numFmtId="164" fontId="45" fillId="0" borderId="97" xfId="0" applyNumberFormat="1" applyFont="1" applyBorder="1" applyAlignment="1" applyProtection="1">
      <alignment horizontal="right" vertical="center" wrapText="1" indent="1"/>
      <protection locked="0"/>
    </xf>
    <xf numFmtId="0" fontId="0" fillId="0" borderId="45" xfId="0" applyBorder="1" applyAlignment="1">
      <alignment horizontal="right" vertical="center" wrapText="1" indent="1"/>
    </xf>
    <xf numFmtId="164" fontId="46" fillId="0" borderId="16" xfId="0" applyNumberFormat="1" applyFont="1" applyBorder="1" applyAlignment="1">
      <alignment horizontal="left" vertical="center" wrapText="1" indent="4"/>
    </xf>
    <xf numFmtId="0" fontId="8" fillId="0" borderId="10" xfId="0" applyFont="1" applyBorder="1" applyAlignment="1">
      <alignment horizontal="left" vertical="center"/>
    </xf>
    <xf numFmtId="0" fontId="8" fillId="0" borderId="44" xfId="0" applyFont="1" applyBorder="1" applyAlignment="1">
      <alignment vertical="center" wrapText="1"/>
    </xf>
    <xf numFmtId="3" fontId="8" fillId="0" borderId="15" xfId="0" applyNumberFormat="1" applyFont="1" applyBorder="1" applyAlignment="1" applyProtection="1">
      <alignment horizontal="right" vertical="center" wrapText="1" indent="1"/>
      <protection locked="0"/>
    </xf>
    <xf numFmtId="3" fontId="8" fillId="0" borderId="44" xfId="0" applyNumberFormat="1" applyFont="1" applyBorder="1" applyAlignment="1" applyProtection="1">
      <alignment horizontal="right" vertical="center" wrapText="1" indent="1"/>
      <protection locked="0"/>
    </xf>
    <xf numFmtId="3" fontId="8" fillId="0" borderId="17" xfId="0" applyNumberFormat="1" applyFont="1" applyBorder="1" applyAlignment="1" applyProtection="1">
      <alignment horizontal="right" vertical="center" wrapText="1" indent="1"/>
      <protection locked="0"/>
    </xf>
    <xf numFmtId="2" fontId="8" fillId="0" borderId="17" xfId="0" applyNumberFormat="1" applyFont="1" applyBorder="1" applyAlignment="1" applyProtection="1">
      <alignment horizontal="right" vertical="center" wrapText="1" indent="1"/>
      <protection locked="0"/>
    </xf>
    <xf numFmtId="0" fontId="65" fillId="0" borderId="0" xfId="0" applyFont="1" applyAlignment="1">
      <alignment vertical="center" wrapText="1"/>
    </xf>
    <xf numFmtId="164" fontId="8" fillId="0" borderId="15" xfId="0" applyNumberFormat="1" applyFont="1" applyBorder="1" applyAlignment="1" applyProtection="1">
      <alignment horizontal="right" vertical="center" wrapText="1" indent="1"/>
      <protection locked="0"/>
    </xf>
    <xf numFmtId="0" fontId="65" fillId="0" borderId="32" xfId="0" applyFont="1" applyBorder="1" applyAlignment="1">
      <alignment vertical="center" wrapText="1"/>
    </xf>
    <xf numFmtId="164" fontId="45" fillId="0" borderId="54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49" xfId="47" applyNumberFormat="1" applyFont="1" applyBorder="1" applyAlignment="1">
      <alignment horizontal="right" vertical="center" wrapText="1" indent="1"/>
    </xf>
    <xf numFmtId="164" fontId="5" fillId="0" borderId="53" xfId="0" applyNumberFormat="1" applyFont="1" applyBorder="1" applyAlignment="1" applyProtection="1">
      <alignment horizontal="right" vertical="center" wrapText="1" indent="1"/>
      <protection locked="0"/>
    </xf>
    <xf numFmtId="164" fontId="5" fillId="0" borderId="15" xfId="0" applyNumberFormat="1" applyFont="1" applyBorder="1" applyAlignment="1" applyProtection="1">
      <alignment horizontal="right" vertical="center" wrapText="1" indent="1"/>
      <protection locked="0"/>
    </xf>
    <xf numFmtId="164" fontId="5" fillId="0" borderId="16" xfId="0" applyNumberFormat="1" applyFont="1" applyBorder="1" applyAlignment="1" applyProtection="1">
      <alignment horizontal="right" vertical="center" wrapText="1" indent="1"/>
      <protection locked="0"/>
    </xf>
    <xf numFmtId="164" fontId="5" fillId="0" borderId="45" xfId="0" applyNumberFormat="1" applyFont="1" applyBorder="1" applyAlignment="1" applyProtection="1">
      <alignment horizontal="right" vertical="center" wrapText="1" indent="1"/>
      <protection locked="0"/>
    </xf>
    <xf numFmtId="164" fontId="5" fillId="0" borderId="33" xfId="0" applyNumberFormat="1" applyFont="1" applyBorder="1" applyAlignment="1" applyProtection="1">
      <alignment horizontal="right" vertical="center" wrapText="1" indent="1"/>
      <protection locked="0"/>
    </xf>
    <xf numFmtId="164" fontId="8" fillId="0" borderId="44" xfId="0" applyNumberFormat="1" applyFont="1" applyBorder="1" applyAlignment="1" applyProtection="1">
      <alignment horizontal="right" vertical="center" wrapText="1" indent="1"/>
      <protection locked="0"/>
    </xf>
    <xf numFmtId="3" fontId="16" fillId="0" borderId="53" xfId="0" applyNumberFormat="1" applyFont="1" applyBorder="1" applyAlignment="1" applyProtection="1">
      <alignment horizontal="right" vertical="center" wrapText="1"/>
      <protection locked="0"/>
    </xf>
    <xf numFmtId="164" fontId="16" fillId="0" borderId="45" xfId="47" applyNumberFormat="1" applyFont="1" applyBorder="1" applyAlignment="1">
      <alignment horizontal="right" vertical="center" wrapText="1"/>
    </xf>
    <xf numFmtId="3" fontId="8" fillId="0" borderId="45" xfId="0" applyNumberFormat="1" applyFont="1" applyBorder="1" applyAlignment="1" applyProtection="1">
      <alignment horizontal="right" vertical="center" wrapText="1" indent="1"/>
      <protection locked="0"/>
    </xf>
    <xf numFmtId="3" fontId="15" fillId="0" borderId="34" xfId="0" applyNumberFormat="1" applyFont="1" applyBorder="1" applyAlignment="1">
      <alignment horizontal="center"/>
    </xf>
    <xf numFmtId="49" fontId="8" fillId="0" borderId="71" xfId="0" applyNumberFormat="1" applyFont="1" applyBorder="1" applyAlignment="1">
      <alignment horizontal="right" vertical="center"/>
    </xf>
    <xf numFmtId="49" fontId="8" fillId="0" borderId="73" xfId="0" applyNumberFormat="1" applyFont="1" applyBorder="1" applyAlignment="1">
      <alignment horizontal="right" vertical="center"/>
    </xf>
    <xf numFmtId="0" fontId="18" fillId="0" borderId="0" xfId="0" applyFont="1" applyAlignment="1">
      <alignment horizontal="center" vertical="center" wrapText="1"/>
    </xf>
    <xf numFmtId="0" fontId="16" fillId="0" borderId="45" xfId="0" applyFont="1" applyBorder="1" applyAlignment="1">
      <alignment horizontal="center" vertical="center" wrapText="1"/>
    </xf>
    <xf numFmtId="164" fontId="44" fillId="0" borderId="82" xfId="47" applyNumberFormat="1" applyFont="1" applyBorder="1" applyAlignment="1" applyProtection="1">
      <alignment horizontal="right" vertical="center" wrapText="1"/>
      <protection locked="0"/>
    </xf>
    <xf numFmtId="164" fontId="44" fillId="0" borderId="61" xfId="47" applyNumberFormat="1" applyFont="1" applyBorder="1" applyAlignment="1" applyProtection="1">
      <alignment horizontal="right" vertical="center" wrapText="1"/>
      <protection locked="0"/>
    </xf>
    <xf numFmtId="164" fontId="46" fillId="0" borderId="45" xfId="47" applyNumberFormat="1" applyFont="1" applyBorder="1" applyAlignment="1">
      <alignment horizontal="right" vertical="center" wrapText="1"/>
    </xf>
    <xf numFmtId="164" fontId="46" fillId="0" borderId="45" xfId="47" applyNumberFormat="1" applyFont="1" applyBorder="1" applyAlignment="1">
      <alignment horizontal="right" vertical="center" wrapText="1" indent="1"/>
    </xf>
    <xf numFmtId="164" fontId="44" fillId="0" borderId="93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79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94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33" xfId="47" applyNumberFormat="1" applyFont="1" applyBorder="1" applyAlignment="1">
      <alignment horizontal="right" vertical="center" wrapText="1" indent="1"/>
    </xf>
    <xf numFmtId="164" fontId="44" fillId="0" borderId="95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94" xfId="47" applyNumberFormat="1" applyFont="1" applyBorder="1" applyAlignment="1">
      <alignment horizontal="right" vertical="center" wrapText="1" indent="1"/>
    </xf>
    <xf numFmtId="164" fontId="8" fillId="0" borderId="45" xfId="0" applyNumberFormat="1" applyFont="1" applyBorder="1" applyAlignment="1" applyProtection="1">
      <alignment horizontal="right" vertical="center" wrapText="1" indent="1"/>
      <protection locked="0"/>
    </xf>
    <xf numFmtId="164" fontId="8" fillId="0" borderId="53" xfId="0" applyNumberFormat="1" applyFont="1" applyBorder="1" applyAlignment="1" applyProtection="1">
      <alignment horizontal="right" vertical="center" wrapText="1" indent="1"/>
      <protection locked="0"/>
    </xf>
    <xf numFmtId="164" fontId="8" fillId="0" borderId="17" xfId="0" applyNumberFormat="1" applyFont="1" applyBorder="1" applyAlignment="1" applyProtection="1">
      <alignment horizontal="right" vertical="center" wrapText="1" indent="1"/>
      <protection locked="0"/>
    </xf>
    <xf numFmtId="0" fontId="5" fillId="0" borderId="37" xfId="0" applyFont="1" applyBorder="1" applyAlignment="1">
      <alignment horizontal="left" vertical="center"/>
    </xf>
    <xf numFmtId="3" fontId="5" fillId="0" borderId="44" xfId="0" applyNumberFormat="1" applyFont="1" applyBorder="1" applyAlignment="1" applyProtection="1">
      <alignment horizontal="right" vertical="center" wrapText="1" indent="1"/>
      <protection locked="0"/>
    </xf>
    <xf numFmtId="0" fontId="5" fillId="0" borderId="10" xfId="0" applyFont="1" applyBorder="1" applyAlignment="1">
      <alignment vertical="center" wrapText="1"/>
    </xf>
    <xf numFmtId="164" fontId="44" fillId="0" borderId="79" xfId="47" applyNumberFormat="1" applyFont="1" applyBorder="1" applyAlignment="1">
      <alignment horizontal="right" vertical="center" wrapText="1" indent="1"/>
    </xf>
    <xf numFmtId="164" fontId="46" fillId="0" borderId="33" xfId="47" applyNumberFormat="1" applyFont="1" applyBorder="1" applyAlignment="1">
      <alignment horizontal="right" vertical="center" wrapText="1" indent="1"/>
    </xf>
    <xf numFmtId="164" fontId="5" fillId="0" borderId="44" xfId="0" applyNumberFormat="1" applyFont="1" applyBorder="1" applyAlignment="1" applyProtection="1">
      <alignment horizontal="right" vertical="center" wrapText="1" indent="1"/>
      <protection locked="0"/>
    </xf>
    <xf numFmtId="164" fontId="8" fillId="0" borderId="45" xfId="0" applyNumberFormat="1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3" fontId="16" fillId="0" borderId="16" xfId="0" applyNumberFormat="1" applyFont="1" applyBorder="1" applyAlignment="1" applyProtection="1">
      <alignment horizontal="right" vertical="center" wrapText="1"/>
      <protection locked="0"/>
    </xf>
    <xf numFmtId="164" fontId="44" fillId="0" borderId="40" xfId="47" applyNumberFormat="1" applyFont="1" applyBorder="1" applyAlignment="1" applyProtection="1">
      <alignment horizontal="right" vertical="center" wrapText="1"/>
      <protection locked="0"/>
    </xf>
    <xf numFmtId="0" fontId="44" fillId="0" borderId="85" xfId="47" applyFont="1" applyBorder="1" applyAlignment="1">
      <alignment horizontal="left" vertical="center" wrapText="1"/>
    </xf>
    <xf numFmtId="164" fontId="44" fillId="0" borderId="28" xfId="47" applyNumberFormat="1" applyFont="1" applyBorder="1" applyAlignment="1" applyProtection="1">
      <alignment horizontal="right" vertical="center" wrapText="1"/>
      <protection locked="0"/>
    </xf>
    <xf numFmtId="164" fontId="44" fillId="0" borderId="87" xfId="47" applyNumberFormat="1" applyFont="1" applyBorder="1" applyAlignment="1" applyProtection="1">
      <alignment horizontal="right" vertical="center" wrapText="1"/>
      <protection locked="0"/>
    </xf>
    <xf numFmtId="0" fontId="44" fillId="0" borderId="86" xfId="47" applyFont="1" applyBorder="1" applyAlignment="1">
      <alignment horizontal="left" vertical="center" wrapText="1"/>
    </xf>
    <xf numFmtId="164" fontId="45" fillId="0" borderId="88" xfId="47" applyNumberFormat="1" applyFont="1" applyBorder="1" applyAlignment="1">
      <alignment horizontal="right" vertical="center" wrapText="1"/>
    </xf>
    <xf numFmtId="0" fontId="3" fillId="0" borderId="37" xfId="0" applyFont="1" applyBorder="1" applyAlignment="1">
      <alignment horizontal="left" vertical="center" wrapText="1"/>
    </xf>
    <xf numFmtId="164" fontId="45" fillId="0" borderId="58" xfId="47" applyNumberFormat="1" applyFont="1" applyBorder="1" applyAlignment="1" applyProtection="1">
      <alignment horizontal="right" vertical="center" wrapText="1"/>
      <protection locked="0"/>
    </xf>
    <xf numFmtId="164" fontId="45" fillId="0" borderId="31" xfId="47" applyNumberFormat="1" applyFont="1" applyBorder="1" applyAlignment="1" applyProtection="1">
      <alignment horizontal="right" vertical="center" wrapText="1"/>
      <protection locked="0"/>
    </xf>
    <xf numFmtId="49" fontId="45" fillId="0" borderId="90" xfId="0" applyNumberFormat="1" applyFont="1" applyBorder="1" applyAlignment="1">
      <alignment horizontal="center" vertical="center" wrapText="1"/>
    </xf>
    <xf numFmtId="164" fontId="8" fillId="0" borderId="16" xfId="0" applyNumberFormat="1" applyFont="1" applyBorder="1" applyAlignment="1" applyProtection="1">
      <alignment horizontal="right" vertical="center" wrapText="1" indent="1"/>
      <protection locked="0"/>
    </xf>
    <xf numFmtId="3" fontId="15" fillId="0" borderId="93" xfId="0" applyNumberFormat="1" applyFont="1" applyBorder="1"/>
    <xf numFmtId="3" fontId="15" fillId="0" borderId="92" xfId="0" applyNumberFormat="1" applyFont="1" applyBorder="1"/>
    <xf numFmtId="3" fontId="15" fillId="0" borderId="70" xfId="0" applyNumberFormat="1" applyFont="1" applyBorder="1"/>
    <xf numFmtId="3" fontId="15" fillId="0" borderId="12" xfId="0" applyNumberFormat="1" applyFont="1" applyBorder="1"/>
    <xf numFmtId="3" fontId="15" fillId="0" borderId="77" xfId="0" applyNumberFormat="1" applyFont="1" applyBorder="1"/>
    <xf numFmtId="3" fontId="0" fillId="0" borderId="12" xfId="0" applyNumberFormat="1" applyBorder="1"/>
    <xf numFmtId="164" fontId="45" fillId="0" borderId="93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92" xfId="47" applyNumberFormat="1" applyFont="1" applyBorder="1" applyAlignment="1">
      <alignment horizontal="right" vertical="center" wrapText="1" indent="1"/>
    </xf>
    <xf numFmtId="164" fontId="46" fillId="0" borderId="44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77" xfId="47" applyNumberFormat="1" applyFont="1" applyBorder="1" applyAlignment="1" applyProtection="1">
      <alignment horizontal="right" vertical="center" wrapText="1" indent="1"/>
      <protection locked="0"/>
    </xf>
    <xf numFmtId="164" fontId="50" fillId="0" borderId="44" xfId="0" quotePrefix="1" applyNumberFormat="1" applyFont="1" applyBorder="1" applyAlignment="1">
      <alignment horizontal="right" vertical="center" wrapText="1" indent="1"/>
    </xf>
    <xf numFmtId="164" fontId="45" fillId="0" borderId="94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95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79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92" xfId="47" applyNumberFormat="1" applyFont="1" applyBorder="1" applyAlignment="1">
      <alignment horizontal="right" vertical="center" wrapText="1" indent="1"/>
    </xf>
    <xf numFmtId="164" fontId="16" fillId="0" borderId="80" xfId="47" applyNumberFormat="1" applyFont="1" applyBorder="1" applyAlignment="1">
      <alignment horizontal="right" vertical="center" wrapText="1" indent="1"/>
    </xf>
    <xf numFmtId="164" fontId="44" fillId="0" borderId="72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55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33" xfId="0" quotePrefix="1" applyNumberFormat="1" applyFont="1" applyBorder="1" applyAlignment="1">
      <alignment horizontal="right" vertical="center" wrapText="1" indent="1"/>
    </xf>
    <xf numFmtId="3" fontId="15" fillId="0" borderId="90" xfId="0" applyNumberFormat="1" applyFont="1" applyBorder="1" applyAlignment="1">
      <alignment vertical="center"/>
    </xf>
    <xf numFmtId="3" fontId="60" fillId="0" borderId="92" xfId="0" applyNumberFormat="1" applyFont="1" applyBorder="1" applyAlignment="1">
      <alignment vertical="center"/>
    </xf>
    <xf numFmtId="3" fontId="61" fillId="0" borderId="92" xfId="0" applyNumberFormat="1" applyFont="1" applyBorder="1" applyAlignment="1">
      <alignment vertical="center"/>
    </xf>
    <xf numFmtId="3" fontId="61" fillId="0" borderId="58" xfId="0" applyNumberFormat="1" applyFont="1" applyBorder="1" applyAlignment="1">
      <alignment vertical="center"/>
    </xf>
    <xf numFmtId="3" fontId="7" fillId="0" borderId="76" xfId="0" applyNumberFormat="1" applyFont="1" applyBorder="1" applyAlignment="1">
      <alignment horizontal="right" vertical="center" wrapText="1"/>
    </xf>
    <xf numFmtId="3" fontId="60" fillId="0" borderId="88" xfId="0" applyNumberFormat="1" applyFont="1" applyBorder="1" applyAlignment="1">
      <alignment vertical="center"/>
    </xf>
    <xf numFmtId="3" fontId="7" fillId="0" borderId="6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3" fontId="7" fillId="0" borderId="16" xfId="0" applyNumberFormat="1" applyFont="1" applyBorder="1" applyAlignment="1">
      <alignment horizontal="right" vertical="center" wrapText="1"/>
    </xf>
    <xf numFmtId="0" fontId="53" fillId="0" borderId="37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60" fillId="0" borderId="20" xfId="0" applyFont="1" applyBorder="1" applyAlignment="1">
      <alignment horizontal="left" vertical="center" wrapText="1"/>
    </xf>
    <xf numFmtId="0" fontId="95" fillId="0" borderId="13" xfId="0" applyFont="1" applyBorder="1" applyAlignment="1">
      <alignment horizontal="left" vertical="center" wrapText="1" indent="1"/>
    </xf>
    <xf numFmtId="166" fontId="0" fillId="0" borderId="0" xfId="0" applyNumberFormat="1" applyAlignment="1">
      <alignment vertical="center" wrapText="1"/>
    </xf>
    <xf numFmtId="0" fontId="47" fillId="0" borderId="13" xfId="0" applyFont="1" applyBorder="1" applyAlignment="1">
      <alignment horizontal="left" wrapText="1"/>
    </xf>
    <xf numFmtId="0" fontId="47" fillId="0" borderId="85" xfId="0" applyFont="1" applyBorder="1" applyAlignment="1">
      <alignment horizontal="left" wrapText="1"/>
    </xf>
    <xf numFmtId="0" fontId="95" fillId="0" borderId="13" xfId="0" applyFont="1" applyBorder="1" applyAlignment="1">
      <alignment horizontal="left" vertical="center" wrapText="1"/>
    </xf>
    <xf numFmtId="0" fontId="44" fillId="0" borderId="35" xfId="47" applyFont="1" applyBorder="1" applyAlignment="1">
      <alignment horizontal="left" vertical="center" wrapText="1"/>
    </xf>
    <xf numFmtId="0" fontId="44" fillId="0" borderId="85" xfId="47" applyFont="1" applyBorder="1" applyAlignment="1">
      <alignment horizontal="left" vertical="center" wrapText="1" indent="2"/>
    </xf>
    <xf numFmtId="164" fontId="22" fillId="0" borderId="0" xfId="0" applyNumberFormat="1" applyFont="1" applyAlignment="1">
      <alignment horizontal="center" vertical="center" wrapText="1"/>
    </xf>
    <xf numFmtId="0" fontId="76" fillId="0" borderId="0" xfId="47" applyFont="1"/>
    <xf numFmtId="167" fontId="81" fillId="0" borderId="86" xfId="47" applyNumberFormat="1" applyFont="1" applyBorder="1" applyAlignment="1">
      <alignment horizontal="center" vertical="center" wrapText="1"/>
    </xf>
    <xf numFmtId="0" fontId="76" fillId="0" borderId="10" xfId="47" applyFont="1" applyBorder="1" applyAlignment="1">
      <alignment horizontal="center" vertical="center"/>
    </xf>
    <xf numFmtId="0" fontId="76" fillId="0" borderId="15" xfId="47" applyFont="1" applyBorder="1" applyAlignment="1">
      <alignment horizontal="center" vertical="center"/>
    </xf>
    <xf numFmtId="0" fontId="76" fillId="0" borderId="16" xfId="47" applyFont="1" applyBorder="1" applyAlignment="1">
      <alignment horizontal="center" vertical="center"/>
    </xf>
    <xf numFmtId="0" fontId="76" fillId="0" borderId="20" xfId="47" applyFont="1" applyBorder="1" applyAlignment="1">
      <alignment horizontal="center" vertical="center"/>
    </xf>
    <xf numFmtId="0" fontId="76" fillId="0" borderId="13" xfId="47" applyFont="1" applyBorder="1" applyAlignment="1" applyProtection="1">
      <alignment horizontal="left" vertical="center"/>
      <protection locked="0"/>
    </xf>
    <xf numFmtId="165" fontId="76" fillId="0" borderId="13" xfId="52" applyNumberFormat="1" applyFont="1" applyFill="1" applyBorder="1" applyAlignment="1" applyProtection="1">
      <alignment vertical="center"/>
      <protection locked="0"/>
    </xf>
    <xf numFmtId="165" fontId="76" fillId="0" borderId="28" xfId="52" applyNumberFormat="1" applyFont="1" applyFill="1" applyBorder="1" applyAlignment="1">
      <alignment vertical="center"/>
    </xf>
    <xf numFmtId="0" fontId="76" fillId="0" borderId="84" xfId="47" applyFont="1" applyBorder="1" applyAlignment="1">
      <alignment horizontal="center" vertical="center"/>
    </xf>
    <xf numFmtId="0" fontId="76" fillId="0" borderId="85" xfId="47" applyFont="1" applyBorder="1" applyAlignment="1" applyProtection="1">
      <alignment horizontal="left" vertical="center"/>
      <protection locked="0"/>
    </xf>
    <xf numFmtId="165" fontId="76" fillId="0" borderId="85" xfId="52" applyNumberFormat="1" applyFont="1" applyFill="1" applyBorder="1" applyAlignment="1" applyProtection="1">
      <alignment vertical="center"/>
      <protection locked="0"/>
    </xf>
    <xf numFmtId="0" fontId="76" fillId="0" borderId="89" xfId="47" applyFont="1" applyBorder="1" applyAlignment="1">
      <alignment horizontal="center" vertical="center"/>
    </xf>
    <xf numFmtId="0" fontId="76" fillId="0" borderId="86" xfId="47" applyFont="1" applyBorder="1" applyAlignment="1" applyProtection="1">
      <alignment horizontal="left" vertical="center"/>
      <protection locked="0"/>
    </xf>
    <xf numFmtId="165" fontId="76" fillId="0" borderId="86" xfId="52" applyNumberFormat="1" applyFont="1" applyFill="1" applyBorder="1" applyAlignment="1" applyProtection="1">
      <alignment vertical="center"/>
      <protection locked="0"/>
    </xf>
    <xf numFmtId="0" fontId="81" fillId="0" borderId="10" xfId="47" applyFont="1" applyBorder="1" applyAlignment="1">
      <alignment horizontal="center" vertical="center"/>
    </xf>
    <xf numFmtId="0" fontId="81" fillId="0" borderId="15" xfId="47" applyFont="1" applyBorder="1" applyAlignment="1">
      <alignment vertical="center"/>
    </xf>
    <xf numFmtId="165" fontId="81" fillId="0" borderId="15" xfId="47" applyNumberFormat="1" applyFont="1" applyBorder="1" applyAlignment="1">
      <alignment vertical="center"/>
    </xf>
    <xf numFmtId="165" fontId="81" fillId="0" borderId="16" xfId="47" applyNumberFormat="1" applyFont="1" applyBorder="1" applyAlignment="1">
      <alignment vertical="center"/>
    </xf>
    <xf numFmtId="164" fontId="10" fillId="0" borderId="0" xfId="0" applyNumberFormat="1" applyFont="1" applyAlignment="1">
      <alignment vertical="center" wrapText="1"/>
    </xf>
    <xf numFmtId="164" fontId="44" fillId="0" borderId="0" xfId="47" applyNumberFormat="1" applyFont="1" applyAlignment="1" applyProtection="1">
      <alignment horizontal="right" vertical="center" wrapText="1" indent="1"/>
      <protection locked="0"/>
    </xf>
    <xf numFmtId="0" fontId="47" fillId="0" borderId="13" xfId="0" applyFont="1" applyBorder="1" applyAlignment="1">
      <alignment horizontal="left" vertical="center" wrapText="1" indent="1"/>
    </xf>
    <xf numFmtId="0" fontId="47" fillId="0" borderId="85" xfId="0" applyFont="1" applyBorder="1" applyAlignment="1">
      <alignment horizontal="left" vertical="center" wrapText="1" indent="1"/>
    </xf>
    <xf numFmtId="0" fontId="47" fillId="0" borderId="24" xfId="0" applyFont="1" applyBorder="1" applyAlignment="1">
      <alignment horizontal="left" vertical="center" wrapText="1" indent="1"/>
    </xf>
    <xf numFmtId="0" fontId="16" fillId="0" borderId="43" xfId="47" applyFont="1" applyBorder="1" applyAlignment="1">
      <alignment horizontal="left" vertical="center" wrapText="1" indent="1"/>
    </xf>
    <xf numFmtId="0" fontId="8" fillId="0" borderId="16" xfId="0" applyFont="1" applyBorder="1" applyAlignment="1" applyProtection="1">
      <alignment horizontal="right" vertical="center" wrapText="1" indent="1"/>
      <protection locked="0"/>
    </xf>
    <xf numFmtId="0" fontId="16" fillId="0" borderId="80" xfId="0" applyFont="1" applyBorder="1" applyAlignment="1">
      <alignment horizontal="center" vertical="center" wrapText="1"/>
    </xf>
    <xf numFmtId="0" fontId="81" fillId="0" borderId="86" xfId="47" applyFont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2" fontId="43" fillId="0" borderId="0" xfId="0" applyNumberFormat="1" applyFont="1" applyAlignment="1">
      <alignment vertical="center"/>
    </xf>
    <xf numFmtId="0" fontId="60" fillId="0" borderId="0" xfId="0" applyFont="1" applyAlignment="1" applyProtection="1">
      <alignment horizontal="right" vertical="center"/>
      <protection locked="0"/>
    </xf>
    <xf numFmtId="0" fontId="12" fillId="0" borderId="0" xfId="0" applyFont="1" applyAlignment="1">
      <alignment vertical="center" wrapText="1"/>
    </xf>
    <xf numFmtId="2" fontId="60" fillId="0" borderId="0" xfId="0" applyNumberFormat="1" applyFont="1" applyAlignment="1" applyProtection="1">
      <alignment horizontal="right" vertical="center"/>
      <protection locked="0"/>
    </xf>
    <xf numFmtId="0" fontId="43" fillId="0" borderId="0" xfId="0" applyFont="1" applyAlignment="1">
      <alignment horizontal="center" vertical="center"/>
    </xf>
    <xf numFmtId="0" fontId="7" fillId="0" borderId="4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2" fontId="7" fillId="0" borderId="16" xfId="0" applyNumberFormat="1" applyFont="1" applyBorder="1" applyAlignment="1">
      <alignment horizontal="center" vertical="center" wrapText="1"/>
    </xf>
    <xf numFmtId="3" fontId="43" fillId="0" borderId="12" xfId="0" applyNumberFormat="1" applyFont="1" applyBorder="1" applyAlignment="1">
      <alignment vertical="center"/>
    </xf>
    <xf numFmtId="3" fontId="43" fillId="0" borderId="35" xfId="0" applyNumberFormat="1" applyFont="1" applyBorder="1" applyAlignment="1">
      <alignment vertical="center"/>
    </xf>
    <xf numFmtId="3" fontId="43" fillId="0" borderId="92" xfId="0" applyNumberFormat="1" applyFont="1" applyBorder="1" applyAlignment="1">
      <alignment vertical="center"/>
    </xf>
    <xf numFmtId="3" fontId="43" fillId="0" borderId="93" xfId="0" applyNumberFormat="1" applyFont="1" applyBorder="1" applyAlignment="1">
      <alignment vertical="center"/>
    </xf>
    <xf numFmtId="3" fontId="43" fillId="0" borderId="58" xfId="0" applyNumberFormat="1" applyFont="1" applyBorder="1" applyAlignment="1">
      <alignment vertical="center"/>
    </xf>
    <xf numFmtId="3" fontId="43" fillId="0" borderId="24" xfId="0" applyNumberFormat="1" applyFont="1" applyBorder="1" applyAlignment="1">
      <alignment vertical="center"/>
    </xf>
    <xf numFmtId="2" fontId="43" fillId="0" borderId="31" xfId="0" applyNumberFormat="1" applyFont="1" applyBorder="1" applyAlignment="1">
      <alignment vertical="center"/>
    </xf>
    <xf numFmtId="3" fontId="7" fillId="0" borderId="16" xfId="0" applyNumberFormat="1" applyFont="1" applyBorder="1" applyAlignment="1">
      <alignment vertical="center"/>
    </xf>
    <xf numFmtId="3" fontId="7" fillId="0" borderId="44" xfId="0" applyNumberFormat="1" applyFont="1" applyBorder="1" applyAlignment="1">
      <alignment vertical="center"/>
    </xf>
    <xf numFmtId="3" fontId="7" fillId="0" borderId="15" xfId="0" applyNumberFormat="1" applyFont="1" applyBorder="1" applyAlignment="1">
      <alignment vertical="center"/>
    </xf>
    <xf numFmtId="2" fontId="7" fillId="0" borderId="16" xfId="0" applyNumberFormat="1" applyFont="1" applyBorder="1" applyAlignment="1">
      <alignment vertical="center"/>
    </xf>
    <xf numFmtId="2" fontId="7" fillId="0" borderId="0" xfId="0" applyNumberFormat="1" applyFont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3" fontId="60" fillId="0" borderId="32" xfId="0" applyNumberFormat="1" applyFont="1" applyBorder="1" applyAlignment="1">
      <alignment horizontal="center" vertical="center"/>
    </xf>
    <xf numFmtId="3" fontId="60" fillId="0" borderId="91" xfId="0" applyNumberFormat="1" applyFont="1" applyBorder="1" applyAlignment="1">
      <alignment horizontal="center" vertical="center"/>
    </xf>
    <xf numFmtId="3" fontId="43" fillId="0" borderId="36" xfId="0" applyNumberFormat="1" applyFont="1" applyBorder="1" applyAlignment="1">
      <alignment horizontal="center" vertical="center"/>
    </xf>
    <xf numFmtId="0" fontId="7" fillId="0" borderId="37" xfId="0" applyFont="1" applyBorder="1" applyAlignment="1">
      <alignment vertical="center"/>
    </xf>
    <xf numFmtId="0" fontId="53" fillId="0" borderId="25" xfId="46" applyFont="1" applyBorder="1" applyAlignment="1">
      <alignment horizontal="center" vertical="center"/>
    </xf>
    <xf numFmtId="3" fontId="7" fillId="0" borderId="34" xfId="0" applyNumberFormat="1" applyFont="1" applyBorder="1" applyAlignment="1">
      <alignment horizontal="center" vertical="center" wrapText="1"/>
    </xf>
    <xf numFmtId="0" fontId="7" fillId="0" borderId="37" xfId="46" applyFont="1" applyBorder="1" applyAlignment="1">
      <alignment horizontal="left" vertical="center" wrapText="1"/>
    </xf>
    <xf numFmtId="3" fontId="7" fillId="0" borderId="44" xfId="0" applyNumberFormat="1" applyFont="1" applyBorder="1" applyAlignment="1">
      <alignment horizontal="right" vertical="center" wrapText="1"/>
    </xf>
    <xf numFmtId="3" fontId="7" fillId="0" borderId="15" xfId="0" applyNumberFormat="1" applyFont="1" applyBorder="1" applyAlignment="1">
      <alignment horizontal="right" vertical="center" wrapText="1"/>
    </xf>
    <xf numFmtId="3" fontId="97" fillId="0" borderId="63" xfId="0" applyNumberFormat="1" applyFont="1" applyBorder="1" applyAlignment="1">
      <alignment horizontal="center" vertical="center" wrapText="1"/>
    </xf>
    <xf numFmtId="3" fontId="98" fillId="0" borderId="14" xfId="46" applyNumberFormat="1" applyFont="1" applyBorder="1" applyAlignment="1">
      <alignment horizontal="center" vertical="center"/>
    </xf>
    <xf numFmtId="3" fontId="98" fillId="0" borderId="92" xfId="46" applyNumberFormat="1" applyFont="1" applyBorder="1" applyAlignment="1">
      <alignment vertical="center"/>
    </xf>
    <xf numFmtId="3" fontId="99" fillId="0" borderId="92" xfId="46" applyNumberFormat="1" applyFont="1" applyBorder="1" applyAlignment="1">
      <alignment vertical="center"/>
    </xf>
    <xf numFmtId="3" fontId="43" fillId="0" borderId="88" xfId="0" applyNumberFormat="1" applyFont="1" applyBorder="1" applyAlignment="1">
      <alignment vertical="center"/>
    </xf>
    <xf numFmtId="3" fontId="97" fillId="0" borderId="14" xfId="46" applyNumberFormat="1" applyFont="1" applyBorder="1" applyAlignment="1">
      <alignment horizontal="center" vertical="center"/>
    </xf>
    <xf numFmtId="3" fontId="60" fillId="0" borderId="92" xfId="46" applyNumberFormat="1" applyFont="1" applyBorder="1" applyAlignment="1">
      <alignment vertical="center"/>
    </xf>
    <xf numFmtId="3" fontId="98" fillId="0" borderId="61" xfId="46" applyNumberFormat="1" applyFont="1" applyBorder="1" applyAlignment="1">
      <alignment vertical="center"/>
    </xf>
    <xf numFmtId="3" fontId="98" fillId="0" borderId="52" xfId="46" applyNumberFormat="1" applyFont="1" applyBorder="1" applyAlignment="1">
      <alignment horizontal="center" vertical="center"/>
    </xf>
    <xf numFmtId="3" fontId="60" fillId="0" borderId="52" xfId="46" applyNumberFormat="1" applyFont="1" applyBorder="1" applyAlignment="1" applyProtection="1">
      <alignment horizontal="center" vertical="center"/>
      <protection locked="0"/>
    </xf>
    <xf numFmtId="3" fontId="60" fillId="0" borderId="56" xfId="46" applyNumberFormat="1" applyFont="1" applyBorder="1" applyAlignment="1">
      <alignment horizontal="center" vertical="center"/>
    </xf>
    <xf numFmtId="3" fontId="60" fillId="0" borderId="52" xfId="46" applyNumberFormat="1" applyFont="1" applyBorder="1" applyAlignment="1">
      <alignment horizontal="center" vertical="center"/>
    </xf>
    <xf numFmtId="3" fontId="43" fillId="0" borderId="85" xfId="46" applyNumberFormat="1" applyFont="1" applyBorder="1" applyAlignment="1">
      <alignment vertical="center"/>
    </xf>
    <xf numFmtId="3" fontId="43" fillId="0" borderId="61" xfId="46" applyNumberFormat="1" applyFont="1" applyBorder="1" applyAlignment="1">
      <alignment vertical="center"/>
    </xf>
    <xf numFmtId="3" fontId="60" fillId="0" borderId="91" xfId="46" applyNumberFormat="1" applyFont="1" applyBorder="1" applyAlignment="1">
      <alignment horizontal="center" vertical="center"/>
    </xf>
    <xf numFmtId="3" fontId="60" fillId="0" borderId="93" xfId="46" applyNumberFormat="1" applyFont="1" applyBorder="1" applyAlignment="1">
      <alignment vertical="center"/>
    </xf>
    <xf numFmtId="3" fontId="43" fillId="0" borderId="86" xfId="46" applyNumberFormat="1" applyFont="1" applyBorder="1" applyAlignment="1">
      <alignment vertical="center"/>
    </xf>
    <xf numFmtId="3" fontId="60" fillId="0" borderId="65" xfId="46" applyNumberFormat="1" applyFont="1" applyBorder="1" applyAlignment="1">
      <alignment horizontal="center" vertical="center"/>
    </xf>
    <xf numFmtId="3" fontId="43" fillId="0" borderId="93" xfId="46" applyNumberFormat="1" applyFont="1" applyBorder="1" applyAlignment="1">
      <alignment vertical="center"/>
    </xf>
    <xf numFmtId="3" fontId="43" fillId="0" borderId="95" xfId="46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0" fontId="7" fillId="0" borderId="65" xfId="0" applyFont="1" applyBorder="1" applyAlignment="1">
      <alignment vertical="center" wrapText="1"/>
    </xf>
    <xf numFmtId="3" fontId="97" fillId="0" borderId="14" xfId="0" applyNumberFormat="1" applyFont="1" applyBorder="1" applyAlignment="1">
      <alignment horizontal="center" vertical="center"/>
    </xf>
    <xf numFmtId="3" fontId="60" fillId="0" borderId="52" xfId="0" applyNumberFormat="1" applyFont="1" applyBorder="1" applyAlignment="1">
      <alignment horizontal="center" vertical="center"/>
    </xf>
    <xf numFmtId="3" fontId="43" fillId="0" borderId="92" xfId="46" applyNumberFormat="1" applyFont="1" applyBorder="1" applyAlignment="1">
      <alignment vertical="center"/>
    </xf>
    <xf numFmtId="3" fontId="43" fillId="0" borderId="94" xfId="46" applyNumberFormat="1" applyFont="1" applyBorder="1" applyAlignment="1">
      <alignment vertical="center"/>
    </xf>
    <xf numFmtId="3" fontId="97" fillId="0" borderId="52" xfId="0" applyNumberFormat="1" applyFont="1" applyBorder="1" applyAlignment="1">
      <alignment horizontal="center" vertical="center"/>
    </xf>
    <xf numFmtId="3" fontId="60" fillId="0" borderId="85" xfId="46" applyNumberFormat="1" applyFont="1" applyBorder="1" applyAlignment="1">
      <alignment vertical="center"/>
    </xf>
    <xf numFmtId="3" fontId="60" fillId="0" borderId="94" xfId="46" applyNumberFormat="1" applyFont="1" applyBorder="1" applyAlignment="1">
      <alignment vertical="center"/>
    </xf>
    <xf numFmtId="3" fontId="60" fillId="0" borderId="94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wrapText="1"/>
    </xf>
    <xf numFmtId="0" fontId="7" fillId="0" borderId="10" xfId="46" applyFont="1" applyBorder="1" applyAlignment="1">
      <alignment horizontal="left" vertical="center" wrapText="1"/>
    </xf>
    <xf numFmtId="0" fontId="60" fillId="0" borderId="0" xfId="0" applyFont="1" applyAlignment="1" applyProtection="1">
      <alignment vertical="center"/>
      <protection locked="0"/>
    </xf>
    <xf numFmtId="0" fontId="7" fillId="0" borderId="0" xfId="46" applyFont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3" fontId="99" fillId="0" borderId="85" xfId="46" applyNumberFormat="1" applyFont="1" applyBorder="1" applyAlignment="1">
      <alignment vertical="center"/>
    </xf>
    <xf numFmtId="3" fontId="43" fillId="0" borderId="85" xfId="0" applyNumberFormat="1" applyFont="1" applyBorder="1" applyAlignment="1">
      <alignment vertical="center"/>
    </xf>
    <xf numFmtId="3" fontId="99" fillId="0" borderId="61" xfId="46" applyNumberFormat="1" applyFont="1" applyBorder="1" applyAlignment="1">
      <alignment vertical="center"/>
    </xf>
    <xf numFmtId="3" fontId="99" fillId="0" borderId="94" xfId="46" applyNumberFormat="1" applyFont="1" applyBorder="1" applyAlignment="1">
      <alignment vertical="center"/>
    </xf>
    <xf numFmtId="0" fontId="60" fillId="0" borderId="20" xfId="46" applyFont="1" applyBorder="1" applyAlignment="1">
      <alignment horizontal="left" vertical="center"/>
    </xf>
    <xf numFmtId="0" fontId="60" fillId="0" borderId="91" xfId="46" applyFont="1" applyBorder="1" applyAlignment="1">
      <alignment horizontal="left" vertical="center" wrapText="1"/>
    </xf>
    <xf numFmtId="0" fontId="60" fillId="0" borderId="30" xfId="46" applyFont="1" applyBorder="1" applyAlignment="1">
      <alignment horizontal="left" vertical="center"/>
    </xf>
    <xf numFmtId="3" fontId="43" fillId="0" borderId="65" xfId="0" applyNumberFormat="1" applyFont="1" applyBorder="1" applyAlignment="1">
      <alignment horizontal="center" vertical="center"/>
    </xf>
    <xf numFmtId="0" fontId="12" fillId="0" borderId="41" xfId="0" applyFont="1" applyBorder="1" applyAlignment="1">
      <alignment vertical="center"/>
    </xf>
    <xf numFmtId="3" fontId="43" fillId="0" borderId="0" xfId="0" applyNumberFormat="1" applyFont="1" applyAlignment="1">
      <alignment vertical="center"/>
    </xf>
    <xf numFmtId="3" fontId="7" fillId="0" borderId="37" xfId="0" applyNumberFormat="1" applyFont="1" applyBorder="1" applyAlignment="1">
      <alignment horizontal="center" vertical="center"/>
    </xf>
    <xf numFmtId="3" fontId="43" fillId="0" borderId="32" xfId="0" applyNumberFormat="1" applyFont="1" applyBorder="1" applyAlignment="1">
      <alignment horizontal="center" vertical="center"/>
    </xf>
    <xf numFmtId="3" fontId="7" fillId="0" borderId="67" xfId="0" applyNumberFormat="1" applyFont="1" applyBorder="1" applyAlignment="1">
      <alignment horizontal="center" vertical="center"/>
    </xf>
    <xf numFmtId="3" fontId="12" fillId="0" borderId="0" xfId="0" applyNumberFormat="1" applyFont="1" applyAlignment="1">
      <alignment vertical="center"/>
    </xf>
    <xf numFmtId="0" fontId="6" fillId="0" borderId="66" xfId="0" applyFont="1" applyBorder="1" applyAlignment="1">
      <alignment horizontal="center" vertical="center" wrapText="1"/>
    </xf>
    <xf numFmtId="3" fontId="98" fillId="0" borderId="56" xfId="46" applyNumberFormat="1" applyFont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0" fontId="97" fillId="0" borderId="20" xfId="0" applyFont="1" applyBorder="1" applyAlignment="1">
      <alignment vertical="center"/>
    </xf>
    <xf numFmtId="3" fontId="97" fillId="0" borderId="92" xfId="46" applyNumberFormat="1" applyFont="1" applyBorder="1" applyAlignment="1">
      <alignment vertical="center"/>
    </xf>
    <xf numFmtId="3" fontId="97" fillId="0" borderId="85" xfId="46" applyNumberFormat="1" applyFont="1" applyBorder="1" applyAlignment="1">
      <alignment vertical="center"/>
    </xf>
    <xf numFmtId="3" fontId="97" fillId="0" borderId="61" xfId="46" applyNumberFormat="1" applyFont="1" applyBorder="1" applyAlignment="1">
      <alignment vertical="center"/>
    </xf>
    <xf numFmtId="3" fontId="7" fillId="0" borderId="88" xfId="0" applyNumberFormat="1" applyFont="1" applyBorder="1" applyAlignment="1">
      <alignment vertical="center"/>
    </xf>
    <xf numFmtId="3" fontId="97" fillId="0" borderId="94" xfId="46" applyNumberFormat="1" applyFont="1" applyBorder="1" applyAlignment="1">
      <alignment vertical="center"/>
    </xf>
    <xf numFmtId="0" fontId="97" fillId="0" borderId="39" xfId="46" applyFont="1" applyBorder="1" applyAlignment="1">
      <alignment vertical="center"/>
    </xf>
    <xf numFmtId="0" fontId="44" fillId="0" borderId="85" xfId="47" quotePrefix="1" applyFont="1" applyBorder="1" applyAlignment="1">
      <alignment horizontal="left" vertical="center" wrapText="1" indent="6"/>
    </xf>
    <xf numFmtId="0" fontId="45" fillId="0" borderId="85" xfId="47" quotePrefix="1" applyFont="1" applyBorder="1" applyAlignment="1">
      <alignment horizontal="left" vertical="center" wrapText="1" indent="6"/>
    </xf>
    <xf numFmtId="0" fontId="46" fillId="0" borderId="38" xfId="47" applyFont="1" applyBorder="1" applyAlignment="1">
      <alignment horizontal="left" vertical="center" wrapText="1" indent="1"/>
    </xf>
    <xf numFmtId="0" fontId="44" fillId="0" borderId="85" xfId="47" quotePrefix="1" applyFont="1" applyBorder="1" applyAlignment="1">
      <alignment horizontal="left" vertical="center" wrapText="1" indent="7"/>
    </xf>
    <xf numFmtId="0" fontId="45" fillId="0" borderId="85" xfId="47" quotePrefix="1" applyFont="1" applyBorder="1" applyAlignment="1">
      <alignment horizontal="left" vertical="center" wrapText="1" indent="7"/>
    </xf>
    <xf numFmtId="0" fontId="44" fillId="0" borderId="13" xfId="47" applyFont="1" applyBorder="1" applyAlignment="1">
      <alignment horizontal="left" vertical="center" wrapText="1" indent="3"/>
    </xf>
    <xf numFmtId="0" fontId="44" fillId="0" borderId="86" xfId="47" applyFont="1" applyBorder="1" applyAlignment="1">
      <alignment horizontal="left" vertical="center" wrapText="1" indent="3"/>
    </xf>
    <xf numFmtId="0" fontId="44" fillId="0" borderId="85" xfId="47" applyFont="1" applyBorder="1" applyAlignment="1">
      <alignment horizontal="left" indent="5"/>
    </xf>
    <xf numFmtId="0" fontId="46" fillId="0" borderId="38" xfId="47" applyFont="1" applyBorder="1" applyAlignment="1">
      <alignment horizontal="left" vertical="center" wrapText="1"/>
    </xf>
    <xf numFmtId="0" fontId="47" fillId="0" borderId="85" xfId="0" applyFont="1" applyBorder="1" applyAlignment="1">
      <alignment horizontal="left" vertical="top" wrapText="1" indent="1"/>
    </xf>
    <xf numFmtId="164" fontId="45" fillId="0" borderId="44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87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93" xfId="0" applyNumberFormat="1" applyFont="1" applyBorder="1" applyAlignment="1" applyProtection="1">
      <alignment horizontal="right" vertical="center" wrapText="1" indent="1"/>
      <protection locked="0"/>
    </xf>
    <xf numFmtId="164" fontId="16" fillId="0" borderId="94" xfId="47" applyNumberFormat="1" applyFont="1" applyBorder="1" applyAlignment="1">
      <alignment horizontal="right" vertical="center" wrapText="1" indent="1"/>
    </xf>
    <xf numFmtId="164" fontId="44" fillId="0" borderId="41" xfId="47" applyNumberFormat="1" applyFont="1" applyBorder="1" applyAlignment="1" applyProtection="1">
      <alignment horizontal="right" vertical="center" wrapText="1"/>
      <protection locked="0"/>
    </xf>
    <xf numFmtId="3" fontId="78" fillId="0" borderId="67" xfId="0" applyNumberFormat="1" applyFont="1" applyBorder="1" applyAlignment="1">
      <alignment horizontal="center" vertical="center"/>
    </xf>
    <xf numFmtId="0" fontId="15" fillId="0" borderId="102" xfId="0" applyFont="1" applyBorder="1" applyAlignment="1">
      <alignment vertical="center" wrapText="1"/>
    </xf>
    <xf numFmtId="0" fontId="62" fillId="0" borderId="102" xfId="0" applyFont="1" applyBorder="1" applyAlignment="1">
      <alignment vertical="center" wrapText="1"/>
    </xf>
    <xf numFmtId="3" fontId="15" fillId="0" borderId="90" xfId="0" applyNumberFormat="1" applyFont="1" applyBorder="1" applyAlignment="1">
      <alignment horizontal="center" vertical="center"/>
    </xf>
    <xf numFmtId="168" fontId="0" fillId="0" borderId="0" xfId="0" applyNumberFormat="1"/>
    <xf numFmtId="0" fontId="60" fillId="0" borderId="102" xfId="0" applyFont="1" applyBorder="1" applyAlignment="1">
      <alignment horizontal="left" vertical="center" wrapText="1"/>
    </xf>
    <xf numFmtId="0" fontId="60" fillId="0" borderId="102" xfId="0" quotePrefix="1" applyFont="1" applyBorder="1" applyAlignment="1">
      <alignment horizontal="left" vertical="center" wrapText="1"/>
    </xf>
    <xf numFmtId="0" fontId="60" fillId="0" borderId="103" xfId="0" applyFont="1" applyBorder="1" applyAlignment="1">
      <alignment vertical="center" wrapText="1"/>
    </xf>
    <xf numFmtId="3" fontId="78" fillId="0" borderId="90" xfId="0" applyNumberFormat="1" applyFont="1" applyBorder="1" applyAlignment="1">
      <alignment horizontal="center" vertical="center"/>
    </xf>
    <xf numFmtId="0" fontId="78" fillId="0" borderId="102" xfId="0" applyFont="1" applyBorder="1" applyAlignment="1">
      <alignment vertical="center" wrapText="1"/>
    </xf>
    <xf numFmtId="3" fontId="0" fillId="0" borderId="32" xfId="0" applyNumberFormat="1" applyBorder="1" applyAlignment="1">
      <alignment horizontal="center" vertical="center"/>
    </xf>
    <xf numFmtId="3" fontId="43" fillId="0" borderId="79" xfId="0" applyNumberFormat="1" applyFont="1" applyBorder="1" applyAlignment="1">
      <alignment vertical="center"/>
    </xf>
    <xf numFmtId="3" fontId="43" fillId="0" borderId="94" xfId="0" applyNumberFormat="1" applyFont="1" applyBorder="1" applyAlignment="1">
      <alignment vertical="center"/>
    </xf>
    <xf numFmtId="3" fontId="43" fillId="0" borderId="95" xfId="0" applyNumberFormat="1" applyFont="1" applyBorder="1" applyAlignment="1">
      <alignment vertical="center"/>
    </xf>
    <xf numFmtId="3" fontId="43" fillId="0" borderId="74" xfId="0" applyNumberFormat="1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15" fillId="0" borderId="102" xfId="0" applyFont="1" applyBorder="1" applyAlignment="1">
      <alignment wrapText="1"/>
    </xf>
    <xf numFmtId="43" fontId="43" fillId="0" borderId="0" xfId="52" applyFont="1" applyFill="1" applyBorder="1" applyAlignment="1">
      <alignment vertical="center"/>
    </xf>
    <xf numFmtId="43" fontId="7" fillId="0" borderId="37" xfId="52" applyFont="1" applyFill="1" applyBorder="1" applyAlignment="1">
      <alignment horizontal="center" vertical="center"/>
    </xf>
    <xf numFmtId="43" fontId="7" fillId="0" borderId="10" xfId="52" applyFont="1" applyFill="1" applyBorder="1" applyAlignment="1">
      <alignment horizontal="left" vertical="center" wrapText="1"/>
    </xf>
    <xf numFmtId="43" fontId="7" fillId="0" borderId="15" xfId="52" applyFont="1" applyFill="1" applyBorder="1" applyAlignment="1">
      <alignment vertical="center"/>
    </xf>
    <xf numFmtId="43" fontId="7" fillId="0" borderId="17" xfId="52" applyFont="1" applyFill="1" applyBorder="1" applyAlignment="1">
      <alignment vertical="center"/>
    </xf>
    <xf numFmtId="43" fontId="43" fillId="0" borderId="0" xfId="52" applyFont="1" applyFill="1" applyAlignment="1">
      <alignment vertical="center"/>
    </xf>
    <xf numFmtId="43" fontId="43" fillId="0" borderId="32" xfId="52" applyFont="1" applyFill="1" applyBorder="1" applyAlignment="1">
      <alignment horizontal="center" vertical="center"/>
    </xf>
    <xf numFmtId="43" fontId="100" fillId="0" borderId="85" xfId="52" applyFont="1" applyFill="1" applyBorder="1" applyAlignment="1">
      <alignment vertical="center"/>
    </xf>
    <xf numFmtId="43" fontId="100" fillId="0" borderId="52" xfId="52" applyFont="1" applyFill="1" applyBorder="1" applyAlignment="1">
      <alignment vertical="center"/>
    </xf>
    <xf numFmtId="3" fontId="0" fillId="0" borderId="0" xfId="0" applyNumberFormat="1" applyAlignment="1">
      <alignment vertical="center" wrapText="1"/>
    </xf>
    <xf numFmtId="0" fontId="98" fillId="0" borderId="102" xfId="46" applyFont="1" applyBorder="1" applyAlignment="1">
      <alignment horizontal="left" vertical="center"/>
    </xf>
    <xf numFmtId="0" fontId="98" fillId="0" borderId="102" xfId="46" applyFont="1" applyBorder="1" applyAlignment="1">
      <alignment horizontal="left" vertical="center" wrapText="1"/>
    </xf>
    <xf numFmtId="0" fontId="97" fillId="0" borderId="102" xfId="46" applyFont="1" applyBorder="1" applyAlignment="1">
      <alignment vertical="center"/>
    </xf>
    <xf numFmtId="49" fontId="98" fillId="0" borderId="102" xfId="46" applyNumberFormat="1" applyFont="1" applyBorder="1" applyAlignment="1">
      <alignment horizontal="left" vertical="center"/>
    </xf>
    <xf numFmtId="0" fontId="98" fillId="0" borderId="103" xfId="46" applyFont="1" applyBorder="1" applyAlignment="1">
      <alignment horizontal="left" vertical="center"/>
    </xf>
    <xf numFmtId="0" fontId="60" fillId="0" borderId="102" xfId="46" applyFont="1" applyBorder="1" applyAlignment="1">
      <alignment horizontal="left" vertical="center"/>
    </xf>
    <xf numFmtId="0" fontId="60" fillId="0" borderId="103" xfId="46" applyFont="1" applyBorder="1" applyAlignment="1">
      <alignment horizontal="left" vertical="center"/>
    </xf>
    <xf numFmtId="0" fontId="97" fillId="0" borderId="102" xfId="0" applyFont="1" applyBorder="1" applyAlignment="1">
      <alignment vertical="center"/>
    </xf>
    <xf numFmtId="3" fontId="7" fillId="0" borderId="66" xfId="0" applyNumberFormat="1" applyFont="1" applyBorder="1" applyAlignment="1">
      <alignment horizontal="center" vertical="center"/>
    </xf>
    <xf numFmtId="0" fontId="43" fillId="0" borderId="66" xfId="0" applyFont="1" applyBorder="1" applyAlignment="1">
      <alignment vertical="center"/>
    </xf>
    <xf numFmtId="0" fontId="43" fillId="0" borderId="69" xfId="0" applyFont="1" applyBorder="1" applyAlignment="1">
      <alignment vertical="center"/>
    </xf>
    <xf numFmtId="0" fontId="43" fillId="0" borderId="80" xfId="0" applyFont="1" applyBorder="1" applyAlignment="1">
      <alignment vertical="center"/>
    </xf>
    <xf numFmtId="43" fontId="43" fillId="0" borderId="65" xfId="52" applyFont="1" applyFill="1" applyBorder="1" applyAlignment="1">
      <alignment vertical="center"/>
    </xf>
    <xf numFmtId="43" fontId="7" fillId="0" borderId="22" xfId="52" applyFont="1" applyFill="1" applyBorder="1" applyAlignment="1">
      <alignment vertical="center"/>
    </xf>
    <xf numFmtId="43" fontId="7" fillId="0" borderId="78" xfId="52" applyFont="1" applyFill="1" applyBorder="1" applyAlignment="1">
      <alignment vertical="center"/>
    </xf>
    <xf numFmtId="0" fontId="0" fillId="0" borderId="32" xfId="0" applyBorder="1"/>
    <xf numFmtId="3" fontId="15" fillId="0" borderId="91" xfId="0" applyNumberFormat="1" applyFont="1" applyBorder="1" applyAlignment="1">
      <alignment horizontal="center"/>
    </xf>
    <xf numFmtId="0" fontId="78" fillId="0" borderId="102" xfId="0" applyFont="1" applyBorder="1" applyAlignment="1">
      <alignment wrapText="1"/>
    </xf>
    <xf numFmtId="3" fontId="22" fillId="0" borderId="32" xfId="0" applyNumberFormat="1" applyFont="1" applyBorder="1"/>
    <xf numFmtId="0" fontId="15" fillId="0" borderId="102" xfId="0" applyFont="1" applyBorder="1"/>
    <xf numFmtId="3" fontId="7" fillId="0" borderId="15" xfId="52" applyNumberFormat="1" applyFont="1" applyFill="1" applyBorder="1" applyAlignment="1">
      <alignment vertical="center"/>
    </xf>
    <xf numFmtId="3" fontId="100" fillId="0" borderId="86" xfId="52" applyNumberFormat="1" applyFont="1" applyFill="1" applyBorder="1" applyAlignment="1">
      <alignment vertical="center"/>
    </xf>
    <xf numFmtId="43" fontId="12" fillId="0" borderId="32" xfId="52" applyFont="1" applyFill="1" applyBorder="1" applyAlignment="1">
      <alignment horizontal="center" vertical="center"/>
    </xf>
    <xf numFmtId="43" fontId="12" fillId="0" borderId="0" xfId="52" applyFont="1" applyFill="1" applyBorder="1" applyAlignment="1">
      <alignment vertical="center"/>
    </xf>
    <xf numFmtId="43" fontId="12" fillId="0" borderId="0" xfId="52" applyFont="1" applyFill="1" applyAlignment="1">
      <alignment vertical="center"/>
    </xf>
    <xf numFmtId="43" fontId="21" fillId="0" borderId="32" xfId="52" applyFont="1" applyFill="1" applyBorder="1" applyAlignment="1">
      <alignment horizontal="center" vertical="center"/>
    </xf>
    <xf numFmtId="43" fontId="21" fillId="0" borderId="0" xfId="52" applyFont="1" applyFill="1" applyBorder="1" applyAlignment="1">
      <alignment vertical="center"/>
    </xf>
    <xf numFmtId="43" fontId="21" fillId="0" borderId="0" xfId="52" applyFont="1" applyFill="1" applyAlignment="1">
      <alignment vertical="center"/>
    </xf>
    <xf numFmtId="43" fontId="12" fillId="0" borderId="37" xfId="52" applyFont="1" applyFill="1" applyBorder="1" applyAlignment="1">
      <alignment horizontal="center" vertical="center"/>
    </xf>
    <xf numFmtId="43" fontId="12" fillId="0" borderId="67" xfId="52" applyFont="1" applyFill="1" applyBorder="1" applyAlignment="1">
      <alignment horizontal="center" vertical="center"/>
    </xf>
    <xf numFmtId="3" fontId="102" fillId="21" borderId="0" xfId="0" applyNumberFormat="1" applyFont="1" applyFill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7" fillId="0" borderId="86" xfId="0" applyFont="1" applyBorder="1" applyAlignment="1">
      <alignment horizontal="center" wrapText="1"/>
    </xf>
    <xf numFmtId="0" fontId="17" fillId="0" borderId="13" xfId="0" applyFont="1" applyBorder="1" applyAlignment="1">
      <alignment horizontal="center" vertical="top" wrapText="1"/>
    </xf>
    <xf numFmtId="0" fontId="7" fillId="0" borderId="85" xfId="0" applyFont="1" applyBorder="1" applyAlignment="1">
      <alignment horizontal="center"/>
    </xf>
    <xf numFmtId="0" fontId="43" fillId="0" borderId="85" xfId="0" applyFont="1" applyBorder="1"/>
    <xf numFmtId="0" fontId="43" fillId="0" borderId="49" xfId="0" applyFont="1" applyBorder="1" applyAlignment="1">
      <alignment horizontal="center" vertical="center"/>
    </xf>
    <xf numFmtId="0" fontId="43" fillId="0" borderId="85" xfId="0" applyFont="1" applyBorder="1" applyAlignment="1">
      <alignment horizontal="center" vertical="center"/>
    </xf>
    <xf numFmtId="0" fontId="43" fillId="0" borderId="49" xfId="0" applyFont="1" applyBorder="1"/>
    <xf numFmtId="0" fontId="43" fillId="0" borderId="61" xfId="0" applyFont="1" applyBorder="1" applyAlignment="1">
      <alignment horizontal="center" vertical="center"/>
    </xf>
    <xf numFmtId="0" fontId="85" fillId="0" borderId="49" xfId="0" applyFont="1" applyBorder="1"/>
    <xf numFmtId="0" fontId="85" fillId="0" borderId="61" xfId="0" applyFont="1" applyBorder="1" applyAlignment="1">
      <alignment horizontal="center" vertical="center"/>
    </xf>
    <xf numFmtId="0" fontId="85" fillId="0" borderId="85" xfId="0" applyFont="1" applyBorder="1" applyAlignment="1">
      <alignment horizontal="center" vertical="center"/>
    </xf>
    <xf numFmtId="0" fontId="74" fillId="0" borderId="0" xfId="0" applyFont="1"/>
    <xf numFmtId="0" fontId="74" fillId="0" borderId="61" xfId="0" applyFont="1" applyBorder="1"/>
    <xf numFmtId="0" fontId="7" fillId="22" borderId="85" xfId="0" applyFont="1" applyFill="1" applyBorder="1" applyAlignment="1">
      <alignment horizontal="center"/>
    </xf>
    <xf numFmtId="0" fontId="74" fillId="0" borderId="0" xfId="0" applyFont="1" applyAlignment="1">
      <alignment horizontal="right"/>
    </xf>
    <xf numFmtId="0" fontId="17" fillId="0" borderId="85" xfId="0" applyFont="1" applyBorder="1" applyAlignment="1">
      <alignment horizontal="center"/>
    </xf>
    <xf numFmtId="0" fontId="17" fillId="0" borderId="85" xfId="0" applyFont="1" applyBorder="1" applyAlignment="1">
      <alignment horizontal="center" vertical="top"/>
    </xf>
    <xf numFmtId="0" fontId="7" fillId="0" borderId="13" xfId="0" applyFont="1" applyBorder="1" applyAlignment="1">
      <alignment horizontal="center"/>
    </xf>
    <xf numFmtId="0" fontId="61" fillId="0" borderId="0" xfId="0" applyFont="1" applyAlignment="1" applyProtection="1">
      <alignment horizontal="right" vertical="top"/>
      <protection locked="0"/>
    </xf>
    <xf numFmtId="0" fontId="103" fillId="0" borderId="0" xfId="0" applyFont="1" applyAlignment="1">
      <alignment horizontal="center" vertical="center" wrapText="1"/>
    </xf>
    <xf numFmtId="0" fontId="104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21" fillId="0" borderId="17" xfId="0" applyFont="1" applyBorder="1" applyAlignment="1">
      <alignment horizontal="center"/>
    </xf>
    <xf numFmtId="0" fontId="12" fillId="0" borderId="47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76" xfId="0" applyFont="1" applyBorder="1" applyAlignment="1">
      <alignment horizontal="center" vertical="center" wrapText="1"/>
    </xf>
    <xf numFmtId="0" fontId="12" fillId="0" borderId="96" xfId="0" applyFont="1" applyBorder="1" applyAlignment="1">
      <alignment horizontal="center" vertical="center" wrapText="1"/>
    </xf>
    <xf numFmtId="0" fontId="12" fillId="0" borderId="53" xfId="0" applyFont="1" applyBorder="1" applyAlignment="1">
      <alignment horizontal="center" vertical="center" wrapText="1"/>
    </xf>
    <xf numFmtId="0" fontId="12" fillId="0" borderId="67" xfId="0" applyFont="1" applyBorder="1" applyAlignment="1">
      <alignment wrapText="1"/>
    </xf>
    <xf numFmtId="0" fontId="76" fillId="0" borderId="20" xfId="0" applyFont="1" applyBorder="1" applyAlignment="1">
      <alignment horizontal="center" vertical="center"/>
    </xf>
    <xf numFmtId="0" fontId="76" fillId="0" borderId="13" xfId="0" applyFont="1" applyBorder="1" applyAlignment="1">
      <alignment horizontal="center" vertical="center"/>
    </xf>
    <xf numFmtId="0" fontId="76" fillId="0" borderId="12" xfId="0" applyFont="1" applyBorder="1" applyAlignment="1">
      <alignment horizontal="center" vertical="center"/>
    </xf>
    <xf numFmtId="0" fontId="76" fillId="0" borderId="68" xfId="0" applyFont="1" applyBorder="1" applyAlignment="1">
      <alignment horizontal="center" vertical="center"/>
    </xf>
    <xf numFmtId="0" fontId="12" fillId="0" borderId="90" xfId="0" applyFont="1" applyBorder="1" applyAlignment="1">
      <alignment wrapText="1"/>
    </xf>
    <xf numFmtId="0" fontId="76" fillId="0" borderId="102" xfId="0" applyFont="1" applyBorder="1" applyAlignment="1">
      <alignment horizontal="center" vertical="center"/>
    </xf>
    <xf numFmtId="0" fontId="76" fillId="0" borderId="85" xfId="0" applyFont="1" applyBorder="1" applyAlignment="1">
      <alignment horizontal="center" vertical="center"/>
    </xf>
    <xf numFmtId="0" fontId="76" fillId="0" borderId="92" xfId="0" applyFont="1" applyBorder="1" applyAlignment="1">
      <alignment horizontal="center" vertical="center"/>
    </xf>
    <xf numFmtId="0" fontId="76" fillId="0" borderId="49" xfId="0" applyFont="1" applyBorder="1" applyAlignment="1">
      <alignment horizontal="center" vertical="center"/>
    </xf>
    <xf numFmtId="0" fontId="81" fillId="0" borderId="85" xfId="0" applyFont="1" applyBorder="1" applyAlignment="1">
      <alignment horizontal="center" vertical="center"/>
    </xf>
    <xf numFmtId="0" fontId="12" fillId="0" borderId="91" xfId="0" applyFont="1" applyBorder="1" applyAlignment="1">
      <alignment wrapText="1"/>
    </xf>
    <xf numFmtId="0" fontId="76" fillId="0" borderId="103" xfId="0" applyFont="1" applyBorder="1" applyAlignment="1">
      <alignment horizontal="center" vertical="center"/>
    </xf>
    <xf numFmtId="0" fontId="76" fillId="0" borderId="86" xfId="0" applyFont="1" applyBorder="1" applyAlignment="1">
      <alignment horizontal="center" vertical="center"/>
    </xf>
    <xf numFmtId="0" fontId="76" fillId="0" borderId="54" xfId="0" applyFont="1" applyBorder="1" applyAlignment="1">
      <alignment horizontal="center" vertical="center"/>
    </xf>
    <xf numFmtId="0" fontId="21" fillId="0" borderId="37" xfId="0" applyFont="1" applyBorder="1"/>
    <xf numFmtId="0" fontId="81" fillId="0" borderId="10" xfId="0" applyFont="1" applyBorder="1" applyAlignment="1">
      <alignment horizontal="center" vertical="center"/>
    </xf>
    <xf numFmtId="0" fontId="81" fillId="0" borderId="15" xfId="0" applyFont="1" applyBorder="1" applyAlignment="1">
      <alignment horizontal="center" vertical="center"/>
    </xf>
    <xf numFmtId="0" fontId="81" fillId="0" borderId="53" xfId="0" applyFont="1" applyBorder="1" applyAlignment="1">
      <alignment horizontal="center" vertical="center"/>
    </xf>
    <xf numFmtId="0" fontId="15" fillId="0" borderId="0" xfId="0" applyFont="1" applyAlignment="1">
      <alignment horizontal="right"/>
    </xf>
    <xf numFmtId="0" fontId="75" fillId="0" borderId="0" xfId="0" applyFont="1" applyAlignment="1">
      <alignment horizont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53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7" fillId="0" borderId="20" xfId="0" applyFont="1" applyBorder="1" applyAlignment="1">
      <alignment wrapText="1"/>
    </xf>
    <xf numFmtId="0" fontId="17" fillId="0" borderId="35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0" borderId="20" xfId="0" applyFont="1" applyBorder="1" applyAlignment="1">
      <alignment vertical="center" wrapText="1"/>
    </xf>
    <xf numFmtId="0" fontId="105" fillId="0" borderId="13" xfId="0" applyFont="1" applyBorder="1" applyAlignment="1">
      <alignment horizontal="center" vertical="center"/>
    </xf>
    <xf numFmtId="0" fontId="17" fillId="0" borderId="102" xfId="0" applyFont="1" applyBorder="1" applyAlignment="1">
      <alignment vertical="center" wrapText="1"/>
    </xf>
    <xf numFmtId="0" fontId="105" fillId="0" borderId="85" xfId="0" applyFont="1" applyBorder="1" applyAlignment="1">
      <alignment horizontal="center" vertical="center"/>
    </xf>
    <xf numFmtId="0" fontId="17" fillId="0" borderId="103" xfId="0" applyFont="1" applyBorder="1" applyAlignment="1">
      <alignment vertical="center" wrapText="1"/>
    </xf>
    <xf numFmtId="0" fontId="17" fillId="0" borderId="86" xfId="0" applyFont="1" applyBorder="1" applyAlignment="1">
      <alignment horizontal="center" vertical="center"/>
    </xf>
    <xf numFmtId="0" fontId="105" fillId="0" borderId="86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10" xfId="0" applyFont="1" applyBorder="1" applyAlignment="1">
      <alignment vertical="center" wrapText="1"/>
    </xf>
    <xf numFmtId="0" fontId="18" fillId="0" borderId="15" xfId="0" applyFont="1" applyBorder="1" applyAlignment="1">
      <alignment horizontal="center" vertical="center"/>
    </xf>
    <xf numFmtId="0" fontId="106" fillId="0" borderId="0" xfId="0" applyFont="1"/>
    <xf numFmtId="0" fontId="76" fillId="0" borderId="93" xfId="0" applyFont="1" applyBorder="1" applyAlignment="1">
      <alignment horizontal="center" vertical="center"/>
    </xf>
    <xf numFmtId="0" fontId="76" fillId="0" borderId="97" xfId="0" applyFont="1" applyBorder="1" applyAlignment="1">
      <alignment horizontal="center" vertical="center"/>
    </xf>
    <xf numFmtId="0" fontId="17" fillId="0" borderId="49" xfId="0" applyFont="1" applyBorder="1" applyAlignment="1">
      <alignment horizontal="center" vertical="center"/>
    </xf>
    <xf numFmtId="0" fontId="17" fillId="0" borderId="68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3" fontId="0" fillId="0" borderId="0" xfId="0" applyNumberFormat="1"/>
    <xf numFmtId="0" fontId="0" fillId="0" borderId="45" xfId="0" applyBorder="1" applyAlignment="1">
      <alignment horizontal="center"/>
    </xf>
    <xf numFmtId="0" fontId="12" fillId="0" borderId="64" xfId="0" applyFont="1" applyBorder="1" applyAlignment="1">
      <alignment horizontal="center" vertical="center" wrapText="1"/>
    </xf>
    <xf numFmtId="0" fontId="76" fillId="0" borderId="14" xfId="0" applyFont="1" applyBorder="1" applyAlignment="1">
      <alignment horizontal="center" vertical="center"/>
    </xf>
    <xf numFmtId="0" fontId="76" fillId="0" borderId="52" xfId="0" applyFont="1" applyBorder="1" applyAlignment="1">
      <alignment horizontal="center" vertical="center"/>
    </xf>
    <xf numFmtId="0" fontId="76" fillId="0" borderId="59" xfId="0" applyFont="1" applyBorder="1" applyAlignment="1">
      <alignment horizontal="center" vertical="center"/>
    </xf>
    <xf numFmtId="0" fontId="81" fillId="0" borderId="17" xfId="0" applyFont="1" applyBorder="1" applyAlignment="1">
      <alignment horizontal="center" vertical="center"/>
    </xf>
    <xf numFmtId="3" fontId="22" fillId="0" borderId="37" xfId="0" applyNumberFormat="1" applyFont="1" applyBorder="1"/>
    <xf numFmtId="43" fontId="100" fillId="0" borderId="27" xfId="52" applyFont="1" applyFill="1" applyBorder="1" applyAlignment="1">
      <alignment vertical="center"/>
    </xf>
    <xf numFmtId="0" fontId="97" fillId="0" borderId="10" xfId="0" applyFont="1" applyBorder="1" applyAlignment="1">
      <alignment horizontal="left" vertical="center" wrapText="1"/>
    </xf>
    <xf numFmtId="0" fontId="60" fillId="0" borderId="27" xfId="0" applyFont="1" applyBorder="1" applyAlignment="1">
      <alignment horizontal="left" vertical="center" wrapText="1"/>
    </xf>
    <xf numFmtId="43" fontId="12" fillId="0" borderId="77" xfId="52" applyFont="1" applyFill="1" applyBorder="1" applyAlignment="1">
      <alignment vertical="center"/>
    </xf>
    <xf numFmtId="43" fontId="12" fillId="0" borderId="41" xfId="52" applyFont="1" applyFill="1" applyBorder="1" applyAlignment="1">
      <alignment vertical="center"/>
    </xf>
    <xf numFmtId="0" fontId="97" fillId="0" borderId="39" xfId="0" applyFont="1" applyBorder="1" applyAlignment="1">
      <alignment horizontal="left" vertical="center" wrapText="1"/>
    </xf>
    <xf numFmtId="43" fontId="12" fillId="0" borderId="27" xfId="52" applyFont="1" applyFill="1" applyBorder="1" applyAlignment="1">
      <alignment vertical="center" wrapText="1"/>
    </xf>
    <xf numFmtId="0" fontId="15" fillId="0" borderId="102" xfId="0" applyFont="1" applyBorder="1" applyAlignment="1">
      <alignment vertical="center"/>
    </xf>
    <xf numFmtId="0" fontId="81" fillId="0" borderId="15" xfId="47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1" fillId="0" borderId="0" xfId="0" applyFont="1" applyAlignment="1" applyProtection="1">
      <alignment horizontal="right" vertical="top"/>
      <protection locked="0"/>
    </xf>
    <xf numFmtId="164" fontId="8" fillId="0" borderId="45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3" fontId="16" fillId="0" borderId="15" xfId="0" applyNumberFormat="1" applyFont="1" applyBorder="1" applyAlignment="1">
      <alignment horizontal="center" vertical="center" wrapText="1"/>
    </xf>
    <xf numFmtId="164" fontId="49" fillId="0" borderId="13" xfId="47" applyNumberFormat="1" applyFont="1" applyBorder="1" applyAlignment="1" applyProtection="1">
      <alignment horizontal="right" vertical="center" wrapText="1"/>
      <protection locked="0"/>
    </xf>
    <xf numFmtId="164" fontId="44" fillId="0" borderId="86" xfId="47" applyNumberFormat="1" applyFont="1" applyBorder="1" applyAlignment="1" applyProtection="1">
      <alignment horizontal="right" vertical="center" wrapText="1"/>
      <protection locked="0"/>
    </xf>
    <xf numFmtId="164" fontId="45" fillId="0" borderId="86" xfId="47" applyNumberFormat="1" applyFont="1" applyBorder="1" applyAlignment="1" applyProtection="1">
      <alignment horizontal="right" vertical="center" wrapText="1"/>
      <protection locked="0"/>
    </xf>
    <xf numFmtId="0" fontId="16" fillId="0" borderId="0" xfId="0" applyFont="1" applyBorder="1" applyAlignment="1">
      <alignment horizontal="center" vertical="center" wrapText="1"/>
    </xf>
    <xf numFmtId="164" fontId="45" fillId="0" borderId="85" xfId="47" applyNumberFormat="1" applyFont="1" applyBorder="1" applyAlignment="1">
      <alignment horizontal="right" vertical="center" wrapText="1"/>
    </xf>
    <xf numFmtId="164" fontId="42" fillId="0" borderId="0" xfId="0" applyNumberFormat="1" applyFont="1" applyBorder="1" applyAlignment="1">
      <alignment horizontal="right" vertical="center"/>
    </xf>
    <xf numFmtId="164" fontId="8" fillId="0" borderId="0" xfId="0" applyNumberFormat="1" applyFont="1" applyBorder="1" applyAlignment="1">
      <alignment vertical="center" wrapText="1"/>
    </xf>
    <xf numFmtId="4" fontId="8" fillId="0" borderId="0" xfId="0" applyNumberFormat="1" applyFont="1" applyBorder="1" applyAlignment="1">
      <alignment horizontal="center" vertical="center" wrapText="1"/>
    </xf>
    <xf numFmtId="164" fontId="16" fillId="0" borderId="69" xfId="47" applyNumberFormat="1" applyFont="1" applyBorder="1" applyAlignment="1">
      <alignment horizontal="right" vertical="center" wrapText="1"/>
    </xf>
    <xf numFmtId="164" fontId="44" fillId="0" borderId="71" xfId="47" applyNumberFormat="1" applyFont="1" applyBorder="1" applyAlignment="1" applyProtection="1">
      <alignment horizontal="right" vertical="center" wrapText="1"/>
      <protection locked="0"/>
    </xf>
    <xf numFmtId="164" fontId="44" fillId="0" borderId="104" xfId="47" applyNumberFormat="1" applyFont="1" applyBorder="1" applyAlignment="1" applyProtection="1">
      <alignment horizontal="right" vertical="center" wrapText="1"/>
      <protection locked="0"/>
    </xf>
    <xf numFmtId="164" fontId="45" fillId="0" borderId="61" xfId="47" applyNumberFormat="1" applyFont="1" applyBorder="1" applyAlignment="1">
      <alignment horizontal="right" vertical="center" wrapText="1"/>
    </xf>
    <xf numFmtId="164" fontId="48" fillId="0" borderId="45" xfId="0" quotePrefix="1" applyNumberFormat="1" applyFont="1" applyBorder="1" applyAlignment="1">
      <alignment horizontal="right" vertical="center" wrapText="1"/>
    </xf>
    <xf numFmtId="49" fontId="44" fillId="0" borderId="102" xfId="47" applyNumberFormat="1" applyFont="1" applyBorder="1" applyAlignment="1">
      <alignment horizontal="center" vertical="center" wrapText="1"/>
    </xf>
    <xf numFmtId="164" fontId="45" fillId="0" borderId="92" xfId="47" applyNumberFormat="1" applyFont="1" applyBorder="1" applyAlignment="1">
      <alignment horizontal="right" vertical="center" wrapText="1"/>
    </xf>
    <xf numFmtId="49" fontId="44" fillId="0" borderId="103" xfId="47" applyNumberFormat="1" applyFont="1" applyBorder="1" applyAlignment="1">
      <alignment horizontal="center" vertical="center" wrapText="1"/>
    </xf>
    <xf numFmtId="3" fontId="16" fillId="0" borderId="45" xfId="0" applyNumberFormat="1" applyFont="1" applyBorder="1" applyAlignment="1" applyProtection="1">
      <alignment horizontal="right" vertical="center" wrapText="1"/>
      <protection locked="0"/>
    </xf>
    <xf numFmtId="164" fontId="16" fillId="0" borderId="33" xfId="47" applyNumberFormat="1" applyFont="1" applyBorder="1" applyAlignment="1">
      <alignment horizontal="right" vertical="center" wrapText="1"/>
    </xf>
    <xf numFmtId="164" fontId="44" fillId="0" borderId="79" xfId="47" applyNumberFormat="1" applyFont="1" applyBorder="1" applyAlignment="1" applyProtection="1">
      <alignment horizontal="right" vertical="center" wrapText="1"/>
      <protection locked="0"/>
    </xf>
    <xf numFmtId="164" fontId="44" fillId="0" borderId="55" xfId="47" applyNumberFormat="1" applyFont="1" applyBorder="1" applyAlignment="1" applyProtection="1">
      <alignment horizontal="right" vertical="center" wrapText="1"/>
      <protection locked="0"/>
    </xf>
    <xf numFmtId="49" fontId="89" fillId="0" borderId="102" xfId="47" applyNumberFormat="1" applyFont="1" applyBorder="1" applyAlignment="1">
      <alignment horizontal="center" vertical="center" wrapText="1"/>
    </xf>
    <xf numFmtId="164" fontId="44" fillId="0" borderId="94" xfId="47" applyNumberFormat="1" applyFont="1" applyBorder="1" applyAlignment="1" applyProtection="1">
      <alignment horizontal="right" vertical="center" wrapText="1"/>
      <protection locked="0"/>
    </xf>
    <xf numFmtId="164" fontId="44" fillId="0" borderId="95" xfId="47" applyNumberFormat="1" applyFont="1" applyBorder="1" applyAlignment="1" applyProtection="1">
      <alignment horizontal="right" vertical="center" wrapText="1"/>
      <protection locked="0"/>
    </xf>
    <xf numFmtId="164" fontId="46" fillId="0" borderId="33" xfId="47" applyNumberFormat="1" applyFont="1" applyBorder="1" applyAlignment="1">
      <alignment horizontal="right" vertical="center" wrapText="1"/>
    </xf>
    <xf numFmtId="164" fontId="44" fillId="0" borderId="79" xfId="47" applyNumberFormat="1" applyFont="1" applyBorder="1" applyAlignment="1">
      <alignment horizontal="right" vertical="center" wrapText="1"/>
    </xf>
    <xf numFmtId="164" fontId="45" fillId="0" borderId="94" xfId="47" applyNumberFormat="1" applyFont="1" applyBorder="1" applyAlignment="1" applyProtection="1">
      <alignment horizontal="right" vertical="center" wrapText="1"/>
      <protection locked="0"/>
    </xf>
    <xf numFmtId="164" fontId="45" fillId="0" borderId="79" xfId="47" applyNumberFormat="1" applyFont="1" applyBorder="1" applyAlignment="1" applyProtection="1">
      <alignment horizontal="right" vertical="center" wrapText="1"/>
      <protection locked="0"/>
    </xf>
    <xf numFmtId="164" fontId="45" fillId="0" borderId="95" xfId="47" applyNumberFormat="1" applyFont="1" applyBorder="1" applyAlignment="1" applyProtection="1">
      <alignment horizontal="right" vertical="center" wrapText="1"/>
      <protection locked="0"/>
    </xf>
    <xf numFmtId="164" fontId="46" fillId="0" borderId="78" xfId="47" applyNumberFormat="1" applyFont="1" applyBorder="1" applyAlignment="1">
      <alignment horizontal="right" vertical="center" wrapText="1"/>
    </xf>
    <xf numFmtId="0" fontId="0" fillId="0" borderId="0" xfId="0" applyFont="1" applyAlignment="1">
      <alignment horizontal="right" vertical="center" wrapText="1" indent="1"/>
    </xf>
    <xf numFmtId="3" fontId="8" fillId="0" borderId="33" xfId="0" applyNumberFormat="1" applyFont="1" applyBorder="1" applyAlignment="1" applyProtection="1">
      <alignment horizontal="right" vertical="center" wrapText="1" indent="1"/>
      <protection locked="0"/>
    </xf>
    <xf numFmtId="164" fontId="16" fillId="0" borderId="38" xfId="47" applyNumberFormat="1" applyFont="1" applyBorder="1" applyAlignment="1">
      <alignment horizontal="right" vertical="center" wrapText="1" indent="1"/>
    </xf>
    <xf numFmtId="164" fontId="45" fillId="0" borderId="85" xfId="47" applyNumberFormat="1" applyFont="1" applyBorder="1" applyAlignment="1">
      <alignment horizontal="right" vertical="center" wrapText="1" indent="1"/>
    </xf>
    <xf numFmtId="164" fontId="46" fillId="0" borderId="15" xfId="47" applyNumberFormat="1" applyFont="1" applyBorder="1" applyAlignment="1">
      <alignment horizontal="right" vertical="center" wrapText="1" indent="1"/>
    </xf>
    <xf numFmtId="164" fontId="48" fillId="0" borderId="15" xfId="0" quotePrefix="1" applyNumberFormat="1" applyFont="1" applyBorder="1" applyAlignment="1">
      <alignment horizontal="right" vertical="center" wrapText="1" indent="1"/>
    </xf>
    <xf numFmtId="164" fontId="49" fillId="0" borderId="49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97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96" xfId="47" applyNumberFormat="1" applyFont="1" applyBorder="1" applyAlignment="1">
      <alignment horizontal="right" vertical="center" wrapText="1" indent="1"/>
    </xf>
    <xf numFmtId="164" fontId="16" fillId="0" borderId="85" xfId="47" applyNumberFormat="1" applyFont="1" applyBorder="1" applyAlignment="1">
      <alignment horizontal="right" vertical="center" wrapText="1" indent="1"/>
    </xf>
    <xf numFmtId="164" fontId="45" fillId="0" borderId="86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43" xfId="47" applyNumberFormat="1" applyFont="1" applyBorder="1" applyAlignment="1">
      <alignment horizontal="right" vertical="center" wrapText="1" indent="1"/>
    </xf>
    <xf numFmtId="164" fontId="8" fillId="0" borderId="38" xfId="0" applyNumberFormat="1" applyFont="1" applyBorder="1" applyAlignment="1">
      <alignment horizontal="center" vertical="center" wrapText="1"/>
    </xf>
    <xf numFmtId="164" fontId="45" fillId="0" borderId="15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86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43" xfId="0" applyNumberFormat="1" applyFont="1" applyBorder="1" applyAlignment="1" applyProtection="1">
      <alignment horizontal="right" vertical="center" wrapText="1" indent="1"/>
      <protection locked="0"/>
    </xf>
    <xf numFmtId="0" fontId="8" fillId="0" borderId="37" xfId="0" applyFont="1" applyBorder="1" applyAlignment="1">
      <alignment horizontal="left" vertical="center"/>
    </xf>
    <xf numFmtId="0" fontId="8" fillId="0" borderId="10" xfId="0" applyFont="1" applyBorder="1" applyAlignment="1">
      <alignment vertical="center" wrapText="1"/>
    </xf>
    <xf numFmtId="49" fontId="45" fillId="0" borderId="102" xfId="0" applyNumberFormat="1" applyFont="1" applyBorder="1" applyAlignment="1">
      <alignment horizontal="center" vertical="center" wrapText="1"/>
    </xf>
    <xf numFmtId="49" fontId="46" fillId="0" borderId="102" xfId="0" applyNumberFormat="1" applyFont="1" applyBorder="1" applyAlignment="1">
      <alignment horizontal="center" vertical="center" wrapText="1"/>
    </xf>
    <xf numFmtId="49" fontId="8" fillId="0" borderId="75" xfId="0" applyNumberFormat="1" applyFont="1" applyBorder="1" applyAlignment="1">
      <alignment horizontal="right" vertical="center"/>
    </xf>
    <xf numFmtId="49" fontId="8" fillId="0" borderId="97" xfId="0" applyNumberFormat="1" applyFont="1" applyBorder="1" applyAlignment="1">
      <alignment horizontal="right" vertical="center"/>
    </xf>
    <xf numFmtId="0" fontId="7" fillId="0" borderId="0" xfId="0" applyFont="1" applyAlignment="1">
      <alignment horizontal="right" vertical="center" wrapText="1"/>
    </xf>
    <xf numFmtId="165" fontId="43" fillId="0" borderId="34" xfId="52" applyNumberFormat="1" applyFont="1" applyFill="1" applyBorder="1" applyAlignment="1">
      <alignment vertical="center" wrapText="1"/>
    </xf>
    <xf numFmtId="165" fontId="43" fillId="0" borderId="67" xfId="52" applyNumberFormat="1" applyFont="1" applyFill="1" applyBorder="1" applyAlignment="1">
      <alignment vertical="center" wrapText="1"/>
    </xf>
    <xf numFmtId="165" fontId="43" fillId="0" borderId="90" xfId="52" applyNumberFormat="1" applyFont="1" applyFill="1" applyBorder="1" applyAlignment="1">
      <alignment vertical="center" wrapText="1"/>
    </xf>
    <xf numFmtId="0" fontId="43" fillId="0" borderId="36" xfId="0" applyFont="1" applyBorder="1" applyAlignment="1">
      <alignment vertical="center" wrapText="1"/>
    </xf>
    <xf numFmtId="3" fontId="43" fillId="0" borderId="13" xfId="0" applyNumberFormat="1" applyFont="1" applyBorder="1" applyAlignment="1">
      <alignment vertical="center"/>
    </xf>
    <xf numFmtId="3" fontId="97" fillId="0" borderId="35" xfId="0" applyNumberFormat="1" applyFont="1" applyBorder="1" applyAlignment="1">
      <alignment vertical="center" wrapText="1"/>
    </xf>
    <xf numFmtId="3" fontId="43" fillId="0" borderId="85" xfId="0" applyNumberFormat="1" applyFont="1" applyBorder="1" applyAlignment="1">
      <alignment horizontal="right" vertical="center" wrapText="1"/>
    </xf>
    <xf numFmtId="3" fontId="12" fillId="0" borderId="85" xfId="0" applyNumberFormat="1" applyFont="1" applyBorder="1" applyAlignment="1">
      <alignment horizontal="right" vertical="center"/>
    </xf>
    <xf numFmtId="3" fontId="12" fillId="0" borderId="85" xfId="0" applyNumberFormat="1" applyFont="1" applyBorder="1" applyAlignment="1">
      <alignment vertical="center" wrapText="1"/>
    </xf>
    <xf numFmtId="3" fontId="98" fillId="0" borderId="85" xfId="46" applyNumberFormat="1" applyFont="1" applyBorder="1" applyAlignment="1">
      <alignment vertical="center"/>
    </xf>
    <xf numFmtId="3" fontId="101" fillId="0" borderId="85" xfId="46" applyNumberFormat="1" applyFont="1" applyBorder="1" applyAlignment="1">
      <alignment vertical="center"/>
    </xf>
    <xf numFmtId="3" fontId="60" fillId="0" borderId="86" xfId="46" applyNumberFormat="1" applyFont="1" applyBorder="1" applyAlignment="1">
      <alignment vertical="center"/>
    </xf>
    <xf numFmtId="3" fontId="97" fillId="0" borderId="13" xfId="0" applyNumberFormat="1" applyFont="1" applyBorder="1" applyAlignment="1">
      <alignment vertical="center"/>
    </xf>
    <xf numFmtId="3" fontId="43" fillId="0" borderId="13" xfId="46" applyNumberFormat="1" applyFont="1" applyBorder="1" applyAlignment="1">
      <alignment vertical="center"/>
    </xf>
    <xf numFmtId="3" fontId="97" fillId="0" borderId="85" xfId="0" applyNumberFormat="1" applyFont="1" applyBorder="1" applyAlignment="1">
      <alignment vertical="center"/>
    </xf>
    <xf numFmtId="3" fontId="21" fillId="0" borderId="15" xfId="52" applyNumberFormat="1" applyFont="1" applyFill="1" applyBorder="1" applyAlignment="1">
      <alignment vertical="center"/>
    </xf>
    <xf numFmtId="3" fontId="21" fillId="0" borderId="35" xfId="52" applyNumberFormat="1" applyFont="1" applyFill="1" applyBorder="1" applyAlignment="1">
      <alignment vertical="center"/>
    </xf>
    <xf numFmtId="3" fontId="12" fillId="0" borderId="41" xfId="52" applyNumberFormat="1" applyFont="1" applyFill="1" applyBorder="1" applyAlignment="1">
      <alignment vertical="center"/>
    </xf>
    <xf numFmtId="0" fontId="21" fillId="0" borderId="27" xfId="46" applyFont="1" applyBorder="1" applyAlignment="1">
      <alignment vertical="center"/>
    </xf>
    <xf numFmtId="0" fontId="60" fillId="0" borderId="39" xfId="0" applyFont="1" applyBorder="1" applyAlignment="1">
      <alignment horizontal="left" vertical="center" wrapText="1"/>
    </xf>
    <xf numFmtId="3" fontId="12" fillId="0" borderId="38" xfId="52" applyNumberFormat="1" applyFont="1" applyFill="1" applyBorder="1" applyAlignment="1">
      <alignment vertical="center"/>
    </xf>
    <xf numFmtId="0" fontId="7" fillId="0" borderId="80" xfId="0" applyFont="1" applyBorder="1" applyAlignment="1">
      <alignment horizontal="center" vertical="center" wrapText="1"/>
    </xf>
    <xf numFmtId="0" fontId="100" fillId="0" borderId="10" xfId="46" applyFont="1" applyBorder="1" applyAlignment="1">
      <alignment vertical="center"/>
    </xf>
    <xf numFmtId="3" fontId="100" fillId="0" borderId="15" xfId="0" applyNumberFormat="1" applyFont="1" applyBorder="1" applyAlignment="1">
      <alignment vertical="center"/>
    </xf>
    <xf numFmtId="3" fontId="100" fillId="0" borderId="44" xfId="0" applyNumberFormat="1" applyFont="1" applyBorder="1" applyAlignment="1">
      <alignment vertical="center"/>
    </xf>
    <xf numFmtId="0" fontId="43" fillId="0" borderId="10" xfId="0" applyFont="1" applyBorder="1" applyAlignment="1">
      <alignment vertical="center" wrapText="1"/>
    </xf>
    <xf numFmtId="3" fontId="43" fillId="0" borderId="15" xfId="0" applyNumberFormat="1" applyFont="1" applyBorder="1" applyAlignment="1">
      <alignment vertical="center"/>
    </xf>
    <xf numFmtId="3" fontId="43" fillId="0" borderId="44" xfId="0" applyNumberFormat="1" applyFont="1" applyBorder="1" applyAlignment="1">
      <alignment vertical="center"/>
    </xf>
    <xf numFmtId="0" fontId="43" fillId="0" borderId="10" xfId="0" applyFont="1" applyBorder="1" applyAlignment="1">
      <alignment vertical="center"/>
    </xf>
    <xf numFmtId="3" fontId="21" fillId="0" borderId="15" xfId="0" applyNumberFormat="1" applyFont="1" applyBorder="1" applyAlignment="1">
      <alignment vertical="center"/>
    </xf>
    <xf numFmtId="0" fontId="43" fillId="0" borderId="44" xfId="0" applyFont="1" applyBorder="1" applyAlignment="1">
      <alignment vertical="center"/>
    </xf>
    <xf numFmtId="0" fontId="100" fillId="0" borderId="10" xfId="0" applyFont="1" applyBorder="1" applyAlignment="1">
      <alignment vertical="center"/>
    </xf>
    <xf numFmtId="43" fontId="12" fillId="0" borderId="35" xfId="52" applyFont="1" applyFill="1" applyBorder="1" applyAlignment="1">
      <alignment vertical="center"/>
    </xf>
    <xf numFmtId="0" fontId="79" fillId="0" borderId="0" xfId="0" applyFont="1" applyAlignment="1">
      <alignment vertical="center"/>
    </xf>
    <xf numFmtId="3" fontId="60" fillId="0" borderId="24" xfId="0" applyNumberFormat="1" applyFont="1" applyBorder="1" applyAlignment="1">
      <alignment vertical="center"/>
    </xf>
    <xf numFmtId="164" fontId="0" fillId="0" borderId="0" xfId="0" applyNumberFormat="1" applyFont="1" applyAlignment="1">
      <alignment vertical="center" wrapText="1"/>
    </xf>
    <xf numFmtId="0" fontId="0" fillId="0" borderId="0" xfId="47" applyFont="1"/>
    <xf numFmtId="3" fontId="16" fillId="0" borderId="15" xfId="47" applyNumberFormat="1" applyFont="1" applyBorder="1" applyAlignment="1">
      <alignment horizontal="right" vertical="center" wrapText="1" indent="1"/>
    </xf>
    <xf numFmtId="164" fontId="46" fillId="0" borderId="15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41" xfId="47" applyNumberFormat="1" applyFont="1" applyBorder="1" applyAlignment="1" applyProtection="1">
      <alignment horizontal="right" vertical="center" wrapText="1" indent="1"/>
      <protection locked="0"/>
    </xf>
    <xf numFmtId="164" fontId="46" fillId="0" borderId="33" xfId="47" applyNumberFormat="1" applyFont="1" applyBorder="1" applyAlignment="1" applyProtection="1">
      <alignment horizontal="right" vertical="center" wrapText="1" indent="1"/>
      <protection locked="0"/>
    </xf>
    <xf numFmtId="164" fontId="50" fillId="0" borderId="15" xfId="0" quotePrefix="1" applyNumberFormat="1" applyFont="1" applyBorder="1" applyAlignment="1">
      <alignment horizontal="right" vertical="center" wrapText="1" indent="1"/>
    </xf>
    <xf numFmtId="164" fontId="50" fillId="0" borderId="33" xfId="0" quotePrefix="1" applyNumberFormat="1" applyFont="1" applyBorder="1" applyAlignment="1">
      <alignment horizontal="right" vertical="center" wrapText="1" indent="1"/>
    </xf>
    <xf numFmtId="164" fontId="46" fillId="0" borderId="33" xfId="0" applyNumberFormat="1" applyFont="1" applyBorder="1" applyAlignment="1">
      <alignment horizontal="left" vertical="center" wrapText="1" indent="4"/>
    </xf>
    <xf numFmtId="164" fontId="44" fillId="0" borderId="72" xfId="47" applyNumberFormat="1" applyFont="1" applyBorder="1" applyAlignment="1">
      <alignment horizontal="right" vertical="center" wrapText="1" indent="1"/>
    </xf>
    <xf numFmtId="164" fontId="44" fillId="0" borderId="94" xfId="47" applyNumberFormat="1" applyFont="1" applyBorder="1" applyAlignment="1">
      <alignment horizontal="right" vertical="center" wrapText="1" indent="1"/>
    </xf>
    <xf numFmtId="164" fontId="47" fillId="0" borderId="79" xfId="0" applyNumberFormat="1" applyFont="1" applyBorder="1" applyAlignment="1">
      <alignment horizontal="right" wrapText="1" indent="1"/>
    </xf>
    <xf numFmtId="164" fontId="47" fillId="0" borderId="94" xfId="0" applyNumberFormat="1" applyFont="1" applyBorder="1" applyAlignment="1">
      <alignment horizontal="right" wrapText="1" indent="1"/>
    </xf>
    <xf numFmtId="164" fontId="44" fillId="0" borderId="55" xfId="47" applyNumberFormat="1" applyFont="1" applyBorder="1" applyAlignment="1">
      <alignment horizontal="right" vertical="center" wrapText="1" indent="1"/>
    </xf>
    <xf numFmtId="164" fontId="44" fillId="0" borderId="94" xfId="47" applyNumberFormat="1" applyFont="1" applyBorder="1" applyAlignment="1">
      <alignment horizontal="right" vertical="center" wrapText="1" indent="3"/>
    </xf>
    <xf numFmtId="164" fontId="45" fillId="0" borderId="79" xfId="47" applyNumberFormat="1" applyFont="1" applyBorder="1" applyAlignment="1">
      <alignment horizontal="right" vertical="center" wrapText="1" indent="1"/>
    </xf>
    <xf numFmtId="164" fontId="45" fillId="0" borderId="78" xfId="47" quotePrefix="1" applyNumberFormat="1" applyFont="1" applyBorder="1" applyAlignment="1">
      <alignment horizontal="right" vertical="center" wrapText="1" indent="3"/>
    </xf>
    <xf numFmtId="164" fontId="45" fillId="0" borderId="78" xfId="47" applyNumberFormat="1" applyFont="1" applyBorder="1" applyAlignment="1">
      <alignment horizontal="right" vertical="center" wrapText="1" indent="1"/>
    </xf>
    <xf numFmtId="164" fontId="44" fillId="0" borderId="55" xfId="47" quotePrefix="1" applyNumberFormat="1" applyFont="1" applyBorder="1" applyAlignment="1">
      <alignment horizontal="right" vertical="center" wrapText="1" indent="4"/>
    </xf>
    <xf numFmtId="164" fontId="47" fillId="0" borderId="72" xfId="0" applyNumberFormat="1" applyFont="1" applyBorder="1" applyAlignment="1">
      <alignment horizontal="right" wrapText="1" indent="1"/>
    </xf>
    <xf numFmtId="164" fontId="47" fillId="0" borderId="95" xfId="0" applyNumberFormat="1" applyFont="1" applyBorder="1" applyAlignment="1">
      <alignment horizontal="right" wrapText="1" indent="1"/>
    </xf>
    <xf numFmtId="164" fontId="45" fillId="0" borderId="74" xfId="47" quotePrefix="1" applyNumberFormat="1" applyFont="1" applyBorder="1" applyAlignment="1">
      <alignment horizontal="right" vertical="center" wrapText="1" indent="4"/>
    </xf>
    <xf numFmtId="164" fontId="45" fillId="0" borderId="55" xfId="47" applyNumberFormat="1" applyFont="1" applyBorder="1" applyAlignment="1">
      <alignment horizontal="right" vertical="center" wrapText="1" indent="1"/>
    </xf>
    <xf numFmtId="164" fontId="88" fillId="0" borderId="33" xfId="0" applyNumberFormat="1" applyFont="1" applyBorder="1" applyAlignment="1">
      <alignment horizontal="right" wrapText="1" indent="1"/>
    </xf>
    <xf numFmtId="0" fontId="16" fillId="0" borderId="37" xfId="0" applyFont="1" applyBorder="1" applyAlignment="1">
      <alignment horizontal="left" vertical="center"/>
    </xf>
    <xf numFmtId="0" fontId="16" fillId="0" borderId="10" xfId="0" applyFont="1" applyBorder="1" applyAlignment="1">
      <alignment vertical="center" wrapText="1"/>
    </xf>
    <xf numFmtId="3" fontId="16" fillId="0" borderId="15" xfId="0" applyNumberFormat="1" applyFont="1" applyBorder="1" applyAlignment="1" applyProtection="1">
      <alignment horizontal="right" vertical="center" wrapText="1" indent="1"/>
      <protection locked="0"/>
    </xf>
    <xf numFmtId="3" fontId="16" fillId="0" borderId="44" xfId="0" applyNumberFormat="1" applyFont="1" applyBorder="1" applyAlignment="1" applyProtection="1">
      <alignment horizontal="right" vertical="center" wrapText="1" indent="1"/>
      <protection locked="0"/>
    </xf>
    <xf numFmtId="3" fontId="16" fillId="0" borderId="53" xfId="0" applyNumberFormat="1" applyFont="1" applyBorder="1" applyAlignment="1" applyProtection="1">
      <alignment horizontal="right" vertical="center" wrapText="1" indent="1"/>
      <protection locked="0"/>
    </xf>
    <xf numFmtId="3" fontId="16" fillId="0" borderId="16" xfId="0" applyNumberFormat="1" applyFont="1" applyBorder="1" applyAlignment="1" applyProtection="1">
      <alignment horizontal="right" vertical="center" wrapText="1" indent="1"/>
      <protection locked="0"/>
    </xf>
    <xf numFmtId="3" fontId="97" fillId="0" borderId="70" xfId="0" applyNumberFormat="1" applyFont="1" applyBorder="1" applyAlignment="1">
      <alignment vertical="center" wrapText="1"/>
    </xf>
    <xf numFmtId="3" fontId="97" fillId="0" borderId="92" xfId="0" applyNumberFormat="1" applyFont="1" applyBorder="1" applyAlignment="1">
      <alignment vertical="center"/>
    </xf>
    <xf numFmtId="3" fontId="97" fillId="0" borderId="12" xfId="0" applyNumberFormat="1" applyFont="1" applyBorder="1" applyAlignment="1">
      <alignment vertical="center"/>
    </xf>
    <xf numFmtId="0" fontId="12" fillId="0" borderId="55" xfId="52" applyNumberFormat="1" applyFont="1" applyFill="1" applyBorder="1" applyAlignment="1">
      <alignment vertical="center"/>
    </xf>
    <xf numFmtId="3" fontId="21" fillId="0" borderId="38" xfId="52" applyNumberFormat="1" applyFont="1" applyFill="1" applyBorder="1" applyAlignment="1">
      <alignment vertical="center"/>
    </xf>
    <xf numFmtId="3" fontId="12" fillId="0" borderId="40" xfId="0" applyNumberFormat="1" applyFont="1" applyBorder="1" applyAlignment="1">
      <alignment horizontal="right" vertical="center" wrapText="1"/>
    </xf>
    <xf numFmtId="164" fontId="49" fillId="0" borderId="85" xfId="47" applyNumberFormat="1" applyFont="1" applyBorder="1" applyAlignment="1">
      <alignment horizontal="right" vertical="center" wrapText="1" indent="1"/>
    </xf>
    <xf numFmtId="164" fontId="8" fillId="0" borderId="15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74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78" xfId="47" applyNumberFormat="1" applyFont="1" applyBorder="1" applyAlignment="1">
      <alignment horizontal="right" vertical="center" wrapText="1" indent="1"/>
    </xf>
    <xf numFmtId="164" fontId="45" fillId="0" borderId="42" xfId="47" quotePrefix="1" applyNumberFormat="1" applyFont="1" applyBorder="1" applyAlignment="1">
      <alignment horizontal="right" vertical="center" wrapText="1" indent="4"/>
    </xf>
    <xf numFmtId="2" fontId="45" fillId="0" borderId="0" xfId="0" applyNumberFormat="1" applyFont="1" applyAlignment="1">
      <alignment vertical="center" wrapText="1"/>
    </xf>
    <xf numFmtId="3" fontId="7" fillId="0" borderId="45" xfId="0" applyNumberFormat="1" applyFont="1" applyBorder="1" applyAlignment="1">
      <alignment vertical="center"/>
    </xf>
    <xf numFmtId="3" fontId="78" fillId="0" borderId="85" xfId="0" applyNumberFormat="1" applyFont="1" applyBorder="1" applyAlignment="1">
      <alignment horizontal="right" wrapText="1"/>
    </xf>
    <xf numFmtId="3" fontId="15" fillId="0" borderId="85" xfId="0" applyNumberFormat="1" applyFont="1" applyBorder="1" applyAlignment="1"/>
    <xf numFmtId="3" fontId="43" fillId="0" borderId="41" xfId="46" applyNumberFormat="1" applyFont="1" applyBorder="1" applyAlignment="1">
      <alignment vertical="center"/>
    </xf>
    <xf numFmtId="164" fontId="49" fillId="0" borderId="94" xfId="47" applyNumberFormat="1" applyFont="1" applyBorder="1" applyAlignment="1">
      <alignment horizontal="right" vertical="center" wrapText="1"/>
    </xf>
    <xf numFmtId="164" fontId="23" fillId="0" borderId="10" xfId="0" applyNumberFormat="1" applyFont="1" applyBorder="1" applyAlignment="1">
      <alignment horizontal="left" vertical="center" wrapText="1" indent="1"/>
    </xf>
    <xf numFmtId="164" fontId="23" fillId="0" borderId="15" xfId="0" applyNumberFormat="1" applyFont="1" applyBorder="1" applyAlignment="1">
      <alignment horizontal="right" vertical="center" wrapText="1" indent="1"/>
    </xf>
    <xf numFmtId="164" fontId="23" fillId="0" borderId="44" xfId="0" applyNumberFormat="1" applyFont="1" applyBorder="1" applyAlignment="1">
      <alignment horizontal="right" vertical="center" wrapText="1" indent="1"/>
    </xf>
    <xf numFmtId="164" fontId="23" fillId="0" borderId="16" xfId="0" applyNumberFormat="1" applyFont="1" applyBorder="1" applyAlignment="1">
      <alignment horizontal="right" vertical="center" wrapText="1" indent="1"/>
    </xf>
    <xf numFmtId="164" fontId="23" fillId="0" borderId="33" xfId="0" applyNumberFormat="1" applyFont="1" applyBorder="1" applyAlignment="1">
      <alignment horizontal="right" vertical="center" wrapText="1" indent="1"/>
    </xf>
    <xf numFmtId="4" fontId="23" fillId="0" borderId="16" xfId="0" applyNumberFormat="1" applyFont="1" applyBorder="1" applyAlignment="1">
      <alignment horizontal="right" vertical="center" wrapText="1" indent="1"/>
    </xf>
    <xf numFmtId="164" fontId="23" fillId="0" borderId="0" xfId="0" applyNumberFormat="1" applyFont="1" applyAlignment="1">
      <alignment horizontal="right" vertical="center" wrapText="1" indent="1"/>
    </xf>
    <xf numFmtId="164" fontId="79" fillId="0" borderId="0" xfId="0" applyNumberFormat="1" applyFont="1" applyAlignment="1">
      <alignment vertical="center" wrapText="1"/>
    </xf>
    <xf numFmtId="164" fontId="50" fillId="0" borderId="10" xfId="0" applyNumberFormat="1" applyFont="1" applyBorder="1" applyAlignment="1">
      <alignment horizontal="left" vertical="center" wrapText="1" indent="1"/>
    </xf>
    <xf numFmtId="164" fontId="23" fillId="0" borderId="0" xfId="0" applyNumberFormat="1" applyFont="1" applyAlignment="1">
      <alignment horizontal="center" vertical="center" wrapText="1"/>
    </xf>
    <xf numFmtId="164" fontId="23" fillId="0" borderId="45" xfId="0" applyNumberFormat="1" applyFont="1" applyBorder="1" applyAlignment="1">
      <alignment horizontal="right" vertical="center" wrapText="1" indent="1"/>
    </xf>
    <xf numFmtId="4" fontId="23" fillId="0" borderId="0" xfId="0" applyNumberFormat="1" applyFont="1" applyBorder="1" applyAlignment="1">
      <alignment horizontal="right" vertical="center" wrapText="1" indent="1"/>
    </xf>
    <xf numFmtId="164" fontId="50" fillId="0" borderId="45" xfId="0" applyNumberFormat="1" applyFont="1" applyBorder="1" applyAlignment="1">
      <alignment horizontal="right" vertical="center" wrapText="1" indent="1"/>
    </xf>
    <xf numFmtId="164" fontId="50" fillId="0" borderId="15" xfId="0" applyNumberFormat="1" applyFont="1" applyBorder="1" applyAlignment="1">
      <alignment horizontal="right" vertical="center" wrapText="1" indent="1"/>
    </xf>
    <xf numFmtId="164" fontId="50" fillId="0" borderId="16" xfId="0" applyNumberFormat="1" applyFont="1" applyBorder="1" applyAlignment="1">
      <alignment horizontal="right" vertical="center" wrapText="1" indent="1"/>
    </xf>
    <xf numFmtId="164" fontId="50" fillId="0" borderId="44" xfId="0" applyNumberFormat="1" applyFont="1" applyBorder="1" applyAlignment="1">
      <alignment horizontal="right" vertical="center" wrapText="1" indent="1"/>
    </xf>
    <xf numFmtId="4" fontId="50" fillId="0" borderId="16" xfId="0" applyNumberFormat="1" applyFont="1" applyBorder="1" applyAlignment="1">
      <alignment horizontal="right" vertical="center" wrapText="1" indent="1"/>
    </xf>
    <xf numFmtId="164" fontId="50" fillId="0" borderId="33" xfId="0" applyNumberFormat="1" applyFont="1" applyBorder="1" applyAlignment="1">
      <alignment horizontal="right" vertical="center" wrapText="1" indent="1"/>
    </xf>
    <xf numFmtId="4" fontId="50" fillId="0" borderId="0" xfId="0" applyNumberFormat="1" applyFont="1" applyBorder="1" applyAlignment="1">
      <alignment horizontal="right" vertical="center" wrapText="1" indent="1"/>
    </xf>
    <xf numFmtId="164" fontId="79" fillId="0" borderId="0" xfId="0" applyNumberFormat="1" applyFont="1" applyAlignment="1">
      <alignment horizontal="right" vertical="center" wrapText="1"/>
    </xf>
    <xf numFmtId="4" fontId="79" fillId="0" borderId="0" xfId="0" applyNumberFormat="1" applyFont="1" applyAlignment="1">
      <alignment vertical="center" wrapText="1"/>
    </xf>
    <xf numFmtId="164" fontId="79" fillId="0" borderId="0" xfId="0" applyNumberFormat="1" applyFont="1" applyAlignment="1">
      <alignment vertical="center" textRotation="180" wrapText="1"/>
    </xf>
    <xf numFmtId="0" fontId="109" fillId="0" borderId="0" xfId="0" applyFont="1"/>
    <xf numFmtId="0" fontId="0" fillId="0" borderId="0" xfId="0" applyFill="1"/>
    <xf numFmtId="0" fontId="0" fillId="0" borderId="0" xfId="0" applyFont="1" applyFill="1"/>
    <xf numFmtId="0" fontId="60" fillId="0" borderId="102" xfId="0" applyFont="1" applyFill="1" applyBorder="1" applyAlignment="1">
      <alignment horizontal="left" vertical="center" wrapText="1"/>
    </xf>
    <xf numFmtId="3" fontId="60" fillId="0" borderId="52" xfId="0" applyNumberFormat="1" applyFont="1" applyFill="1" applyBorder="1" applyAlignment="1">
      <alignment horizontal="center" vertical="center"/>
    </xf>
    <xf numFmtId="0" fontId="51" fillId="0" borderId="0" xfId="0" applyFont="1" applyFill="1" applyAlignment="1" applyProtection="1">
      <alignment horizontal="right" vertical="top"/>
      <protection locked="0"/>
    </xf>
    <xf numFmtId="0" fontId="8" fillId="0" borderId="81" xfId="0" applyFont="1" applyFill="1" applyBorder="1" applyAlignment="1">
      <alignment horizontal="center" vertical="center" wrapText="1"/>
    </xf>
    <xf numFmtId="0" fontId="16" fillId="0" borderId="44" xfId="0" applyFont="1" applyFill="1" applyBorder="1" applyAlignment="1">
      <alignment horizontal="center" vertical="center" wrapText="1"/>
    </xf>
    <xf numFmtId="164" fontId="46" fillId="0" borderId="44" xfId="0" applyNumberFormat="1" applyFont="1" applyFill="1" applyBorder="1" applyAlignment="1">
      <alignment horizontal="right" vertical="center" wrapText="1" indent="1"/>
    </xf>
    <xf numFmtId="164" fontId="44" fillId="0" borderId="70" xfId="0" applyNumberFormat="1" applyFont="1" applyFill="1" applyBorder="1" applyAlignment="1" applyProtection="1">
      <alignment horizontal="right" vertical="center" wrapText="1" indent="1"/>
      <protection locked="0"/>
    </xf>
    <xf numFmtId="164" fontId="44" fillId="0" borderId="92" xfId="0" applyNumberFormat="1" applyFont="1" applyFill="1" applyBorder="1" applyAlignment="1" applyProtection="1">
      <alignment horizontal="right" vertical="center" wrapText="1" indent="1"/>
      <protection locked="0"/>
    </xf>
    <xf numFmtId="164" fontId="44" fillId="0" borderId="77" xfId="0" applyNumberFormat="1" applyFont="1" applyFill="1" applyBorder="1" applyAlignment="1" applyProtection="1">
      <alignment horizontal="right" vertical="center" wrapText="1" indent="1"/>
      <protection locked="0"/>
    </xf>
    <xf numFmtId="164" fontId="44" fillId="0" borderId="93" xfId="0" applyNumberFormat="1" applyFont="1" applyFill="1" applyBorder="1" applyAlignment="1" applyProtection="1">
      <alignment horizontal="right" vertical="center" wrapText="1" indent="1"/>
      <protection locked="0"/>
    </xf>
    <xf numFmtId="164" fontId="46" fillId="0" borderId="44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12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77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58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70" xfId="0" applyNumberFormat="1" applyFont="1" applyFill="1" applyBorder="1" applyAlignment="1" applyProtection="1">
      <alignment horizontal="right" vertical="center" wrapText="1" indent="1"/>
      <protection locked="0"/>
    </xf>
    <xf numFmtId="164" fontId="46" fillId="0" borderId="93" xfId="0" applyNumberFormat="1" applyFont="1" applyFill="1" applyBorder="1" applyAlignment="1" applyProtection="1">
      <alignment horizontal="right" vertical="center" wrapText="1" indent="1"/>
      <protection locked="0"/>
    </xf>
    <xf numFmtId="164" fontId="46" fillId="0" borderId="58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92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76" xfId="0" applyNumberFormat="1" applyFont="1" applyFill="1" applyBorder="1" applyAlignment="1" applyProtection="1">
      <alignment horizontal="right" vertical="center" wrapText="1" indent="1"/>
      <protection locked="0"/>
    </xf>
    <xf numFmtId="164" fontId="16" fillId="0" borderId="44" xfId="0" applyNumberFormat="1" applyFont="1" applyFill="1" applyBorder="1" applyAlignment="1">
      <alignment horizontal="right" vertical="center" wrapText="1" indent="1"/>
    </xf>
    <xf numFmtId="164" fontId="16" fillId="0" borderId="0" xfId="0" applyNumberFormat="1" applyFont="1" applyFill="1" applyAlignment="1">
      <alignment horizontal="right" vertical="center" wrapText="1" indent="1"/>
    </xf>
    <xf numFmtId="164" fontId="8" fillId="0" borderId="44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right" vertical="center" wrapText="1" indent="1"/>
    </xf>
    <xf numFmtId="3" fontId="5" fillId="0" borderId="44" xfId="0" applyNumberFormat="1" applyFont="1" applyFill="1" applyBorder="1" applyAlignment="1" applyProtection="1">
      <alignment horizontal="right" vertical="center" wrapText="1" indent="1"/>
      <protection locked="0"/>
    </xf>
    <xf numFmtId="164" fontId="5" fillId="0" borderId="44" xfId="0" applyNumberFormat="1" applyFont="1" applyFill="1" applyBorder="1" applyAlignment="1" applyProtection="1">
      <alignment horizontal="right" vertical="center" wrapText="1" indent="1"/>
      <protection locked="0"/>
    </xf>
    <xf numFmtId="0" fontId="0" fillId="0" borderId="0" xfId="0" applyFill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164" fontId="8" fillId="0" borderId="15" xfId="0" applyNumberFormat="1" applyFont="1" applyFill="1" applyBorder="1" applyAlignment="1">
      <alignment horizontal="center" vertical="center" wrapText="1"/>
    </xf>
    <xf numFmtId="3" fontId="99" fillId="0" borderId="94" xfId="46" applyNumberFormat="1" applyFont="1" applyFill="1" applyBorder="1" applyAlignment="1">
      <alignment vertical="center"/>
    </xf>
    <xf numFmtId="164" fontId="4" fillId="0" borderId="0" xfId="0" applyNumberFormat="1" applyFont="1" applyAlignment="1">
      <alignment vertical="center" wrapText="1"/>
    </xf>
    <xf numFmtId="3" fontId="7" fillId="0" borderId="45" xfId="0" applyNumberFormat="1" applyFont="1" applyFill="1" applyBorder="1" applyAlignment="1">
      <alignment vertical="center"/>
    </xf>
    <xf numFmtId="3" fontId="78" fillId="23" borderId="90" xfId="0" applyNumberFormat="1" applyFont="1" applyFill="1" applyBorder="1" applyAlignment="1">
      <alignment horizontal="center" vertical="center"/>
    </xf>
    <xf numFmtId="3" fontId="107" fillId="0" borderId="0" xfId="0" applyNumberFormat="1" applyFont="1" applyFill="1" applyBorder="1" applyAlignment="1">
      <alignment horizontal="right" vertical="center" wrapText="1" readingOrder="1"/>
    </xf>
    <xf numFmtId="3" fontId="60" fillId="21" borderId="56" xfId="46" applyNumberFormat="1" applyFont="1" applyFill="1" applyBorder="1" applyAlignment="1">
      <alignment horizontal="center" vertical="center"/>
    </xf>
    <xf numFmtId="164" fontId="8" fillId="0" borderId="33" xfId="0" applyNumberFormat="1" applyFont="1" applyBorder="1" applyAlignment="1">
      <alignment horizontal="center" vertical="center" wrapText="1"/>
    </xf>
    <xf numFmtId="3" fontId="15" fillId="0" borderId="93" xfId="0" applyNumberFormat="1" applyFont="1" applyFill="1" applyBorder="1"/>
    <xf numFmtId="3" fontId="15" fillId="0" borderId="85" xfId="0" applyNumberFormat="1" applyFont="1" applyFill="1" applyBorder="1"/>
    <xf numFmtId="3" fontId="15" fillId="0" borderId="88" xfId="0" applyNumberFormat="1" applyFont="1" applyFill="1" applyBorder="1"/>
    <xf numFmtId="3" fontId="78" fillId="0" borderId="90" xfId="0" applyNumberFormat="1" applyFont="1" applyFill="1" applyBorder="1" applyAlignment="1">
      <alignment horizontal="center" vertical="center"/>
    </xf>
    <xf numFmtId="3" fontId="78" fillId="0" borderId="85" xfId="0" applyNumberFormat="1" applyFont="1" applyFill="1" applyBorder="1" applyAlignment="1">
      <alignment horizontal="right" wrapText="1"/>
    </xf>
    <xf numFmtId="0" fontId="8" fillId="0" borderId="44" xfId="0" applyFont="1" applyBorder="1" applyAlignment="1">
      <alignment horizontal="center" vertical="center" wrapText="1"/>
    </xf>
    <xf numFmtId="164" fontId="23" fillId="0" borderId="10" xfId="0" applyNumberFormat="1" applyFont="1" applyBorder="1" applyAlignment="1">
      <alignment horizontal="center" vertical="center" wrapText="1"/>
    </xf>
    <xf numFmtId="164" fontId="23" fillId="0" borderId="15" xfId="0" applyNumberFormat="1" applyFont="1" applyBorder="1" applyAlignment="1">
      <alignment horizontal="center" vertical="center" wrapText="1"/>
    </xf>
    <xf numFmtId="4" fontId="23" fillId="0" borderId="16" xfId="0" applyNumberFormat="1" applyFont="1" applyBorder="1" applyAlignment="1">
      <alignment horizontal="center" vertical="center" wrapText="1"/>
    </xf>
    <xf numFmtId="11" fontId="23" fillId="0" borderId="15" xfId="0" applyNumberFormat="1" applyFont="1" applyBorder="1" applyAlignment="1">
      <alignment horizontal="center" vertical="center" wrapText="1"/>
    </xf>
    <xf numFmtId="164" fontId="23" fillId="0" borderId="44" xfId="0" applyNumberFormat="1" applyFont="1" applyBorder="1" applyAlignment="1">
      <alignment horizontal="center" vertical="center" wrapText="1"/>
    </xf>
    <xf numFmtId="164" fontId="23" fillId="0" borderId="33" xfId="0" applyNumberFormat="1" applyFont="1" applyBorder="1" applyAlignment="1">
      <alignment horizontal="center" vertical="center" wrapText="1"/>
    </xf>
    <xf numFmtId="4" fontId="23" fillId="0" borderId="0" xfId="0" applyNumberFormat="1" applyFont="1" applyBorder="1" applyAlignment="1">
      <alignment horizontal="center" vertical="center" wrapText="1"/>
    </xf>
    <xf numFmtId="164" fontId="65" fillId="0" borderId="102" xfId="0" applyNumberFormat="1" applyFont="1" applyBorder="1" applyAlignment="1">
      <alignment horizontal="left" vertical="center" wrapText="1" indent="1"/>
    </xf>
    <xf numFmtId="164" fontId="65" fillId="0" borderId="13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28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12" xfId="0" applyNumberFormat="1" applyFont="1" applyBorder="1" applyAlignment="1" applyProtection="1">
      <alignment horizontal="right" vertical="center" wrapText="1" indent="1"/>
      <protection locked="0"/>
    </xf>
    <xf numFmtId="4" fontId="65" fillId="0" borderId="28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20" xfId="0" applyNumberFormat="1" applyFont="1" applyBorder="1" applyAlignment="1">
      <alignment horizontal="left" vertical="center" wrapText="1" indent="1"/>
    </xf>
    <xf numFmtId="164" fontId="65" fillId="0" borderId="35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79" xfId="0" applyNumberFormat="1" applyFont="1" applyBorder="1" applyAlignment="1" applyProtection="1">
      <alignment horizontal="right" vertical="center" wrapText="1" indent="1"/>
      <protection locked="0"/>
    </xf>
    <xf numFmtId="4" fontId="65" fillId="0" borderId="0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102" xfId="0" applyNumberFormat="1" applyFont="1" applyBorder="1" applyAlignment="1">
      <alignment horizontal="left" vertical="center" wrapText="1" indent="3"/>
    </xf>
    <xf numFmtId="164" fontId="65" fillId="0" borderId="85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88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92" xfId="0" applyNumberFormat="1" applyFont="1" applyBorder="1" applyAlignment="1" applyProtection="1">
      <alignment horizontal="right" vertical="center" wrapText="1" indent="1"/>
      <protection locked="0"/>
    </xf>
    <xf numFmtId="4" fontId="65" fillId="0" borderId="88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21" xfId="0" applyNumberFormat="1" applyFont="1" applyBorder="1" applyAlignment="1" applyProtection="1">
      <alignment horizontal="right" vertical="center" wrapText="1" indent="1"/>
      <protection locked="0"/>
    </xf>
    <xf numFmtId="4" fontId="65" fillId="0" borderId="26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0" xfId="0" applyNumberFormat="1" applyFont="1" applyAlignment="1">
      <alignment horizontal="center" vertical="center" wrapText="1"/>
    </xf>
    <xf numFmtId="164" fontId="65" fillId="0" borderId="103" xfId="0" applyNumberFormat="1" applyFont="1" applyBorder="1" applyAlignment="1" applyProtection="1">
      <alignment horizontal="left" vertical="center" wrapText="1" indent="1"/>
      <protection locked="0"/>
    </xf>
    <xf numFmtId="164" fontId="65" fillId="0" borderId="86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87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93" xfId="0" applyNumberFormat="1" applyFont="1" applyBorder="1" applyAlignment="1" applyProtection="1">
      <alignment horizontal="right" vertical="center" wrapText="1" indent="1"/>
      <protection locked="0"/>
    </xf>
    <xf numFmtId="4" fontId="65" fillId="0" borderId="87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102" xfId="0" applyNumberFormat="1" applyFont="1" applyBorder="1" applyAlignment="1" applyProtection="1">
      <alignment horizontal="left" vertical="center" wrapText="1" indent="1"/>
      <protection locked="0"/>
    </xf>
    <xf numFmtId="164" fontId="65" fillId="0" borderId="95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23" xfId="0" applyNumberFormat="1" applyFont="1" applyBorder="1" applyAlignment="1" applyProtection="1">
      <alignment horizontal="right" vertical="center" wrapText="1" indent="1"/>
      <protection locked="0"/>
    </xf>
    <xf numFmtId="4" fontId="65" fillId="0" borderId="29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27" xfId="0" applyNumberFormat="1" applyFont="1" applyBorder="1" applyAlignment="1">
      <alignment horizontal="left" vertical="center" wrapText="1" indent="1"/>
    </xf>
    <xf numFmtId="164" fontId="79" fillId="0" borderId="41" xfId="0" applyNumberFormat="1" applyFont="1" applyBorder="1" applyAlignment="1">
      <alignment horizontal="right" vertical="center" wrapText="1" indent="1"/>
    </xf>
    <xf numFmtId="164" fontId="79" fillId="0" borderId="42" xfId="0" applyNumberFormat="1" applyFont="1" applyBorder="1" applyAlignment="1">
      <alignment horizontal="right" vertical="center" wrapText="1" indent="1"/>
    </xf>
    <xf numFmtId="164" fontId="79" fillId="0" borderId="41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77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42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55" xfId="0" applyNumberFormat="1" applyFont="1" applyBorder="1" applyAlignment="1" applyProtection="1">
      <alignment horizontal="right" vertical="center" wrapText="1" indent="1"/>
      <protection locked="0"/>
    </xf>
    <xf numFmtId="4" fontId="111" fillId="0" borderId="0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102" xfId="0" applyNumberFormat="1" applyFont="1" applyBorder="1" applyAlignment="1">
      <alignment horizontal="left" vertical="center" wrapText="1" indent="4"/>
    </xf>
    <xf numFmtId="164" fontId="79" fillId="0" borderId="49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85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88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92" xfId="0" applyNumberFormat="1" applyFont="1" applyBorder="1" applyAlignment="1" applyProtection="1">
      <alignment horizontal="right" vertical="center" wrapText="1" indent="1"/>
      <protection locked="0"/>
    </xf>
    <xf numFmtId="4" fontId="79" fillId="0" borderId="88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94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21" xfId="0" applyNumberFormat="1" applyFont="1" applyBorder="1" applyAlignment="1" applyProtection="1">
      <alignment horizontal="right" vertical="center" wrapText="1" indent="1"/>
      <protection locked="0"/>
    </xf>
    <xf numFmtId="4" fontId="79" fillId="0" borderId="26" xfId="0" applyNumberFormat="1" applyFont="1" applyBorder="1" applyAlignment="1" applyProtection="1">
      <alignment horizontal="right" vertical="center" wrapText="1" indent="1"/>
      <protection locked="0"/>
    </xf>
    <xf numFmtId="4" fontId="79" fillId="0" borderId="0" xfId="0" applyNumberFormat="1" applyFont="1" applyBorder="1" applyAlignment="1" applyProtection="1">
      <alignment horizontal="right" vertical="center" wrapText="1" indent="1"/>
      <protection locked="0"/>
    </xf>
    <xf numFmtId="0" fontId="51" fillId="0" borderId="102" xfId="0" applyFont="1" applyBorder="1" applyAlignment="1">
      <alignment horizontal="left" wrapText="1" indent="4"/>
    </xf>
    <xf numFmtId="164" fontId="79" fillId="0" borderId="0" xfId="0" applyNumberFormat="1" applyFont="1" applyBorder="1" applyAlignment="1">
      <alignment vertical="center" wrapText="1"/>
    </xf>
    <xf numFmtId="164" fontId="79" fillId="0" borderId="102" xfId="0" applyNumberFormat="1" applyFont="1" applyBorder="1" applyAlignment="1">
      <alignment horizontal="left" vertical="center" wrapText="1" indent="1"/>
    </xf>
    <xf numFmtId="164" fontId="79" fillId="0" borderId="61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27" xfId="0" applyNumberFormat="1" applyFont="1" applyBorder="1" applyAlignment="1">
      <alignment horizontal="left" vertical="center" wrapText="1" indent="4"/>
    </xf>
    <xf numFmtId="164" fontId="79" fillId="0" borderId="49" xfId="0" applyNumberFormat="1" applyFont="1" applyBorder="1" applyAlignment="1">
      <alignment horizontal="right" vertical="center" wrapText="1" indent="1"/>
    </xf>
    <xf numFmtId="4" fontId="79" fillId="0" borderId="42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50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20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0" xfId="0" applyNumberFormat="1" applyFont="1" applyAlignment="1" applyProtection="1">
      <alignment horizontal="right" vertical="center" wrapText="1" indent="1"/>
      <protection locked="0"/>
    </xf>
    <xf numFmtId="164" fontId="65" fillId="0" borderId="102" xfId="0" applyNumberFormat="1" applyFont="1" applyBorder="1" applyAlignment="1">
      <alignment horizontal="left" vertical="center" wrapText="1" indent="4"/>
    </xf>
    <xf numFmtId="164" fontId="65" fillId="0" borderId="102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94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49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27" xfId="0" applyNumberFormat="1" applyFont="1" applyBorder="1" applyAlignment="1" applyProtection="1">
      <alignment horizontal="left" vertical="center" wrapText="1" indent="1"/>
      <protection locked="0"/>
    </xf>
    <xf numFmtId="164" fontId="65" fillId="0" borderId="50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41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77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27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27" xfId="0" applyNumberFormat="1" applyFont="1" applyBorder="1" applyAlignment="1">
      <alignment horizontal="left" vertical="center" wrapText="1" indent="1"/>
    </xf>
    <xf numFmtId="164" fontId="65" fillId="0" borderId="55" xfId="0" applyNumberFormat="1" applyFont="1" applyBorder="1" applyAlignment="1" applyProtection="1">
      <alignment horizontal="right" vertical="center" wrapText="1" indent="1"/>
      <protection locked="0"/>
    </xf>
    <xf numFmtId="4" fontId="65" fillId="0" borderId="42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13" xfId="0" applyNumberFormat="1" applyFont="1" applyBorder="1" applyAlignment="1">
      <alignment horizontal="right" vertical="center" wrapText="1" indent="1"/>
    </xf>
    <xf numFmtId="164" fontId="79" fillId="0" borderId="12" xfId="0" applyNumberFormat="1" applyFont="1" applyBorder="1" applyAlignment="1">
      <alignment horizontal="right" vertical="center" wrapText="1" indent="1"/>
    </xf>
    <xf numFmtId="164" fontId="79" fillId="0" borderId="20" xfId="0" applyNumberFormat="1" applyFont="1" applyBorder="1" applyAlignment="1">
      <alignment horizontal="right" vertical="center" wrapText="1" indent="1"/>
    </xf>
    <xf numFmtId="164" fontId="111" fillId="0" borderId="13" xfId="0" applyNumberFormat="1" applyFont="1" applyBorder="1" applyAlignment="1" applyProtection="1">
      <alignment horizontal="right" vertical="center" wrapText="1" indent="1"/>
      <protection locked="0"/>
    </xf>
    <xf numFmtId="164" fontId="111" fillId="0" borderId="12" xfId="0" applyNumberFormat="1" applyFont="1" applyBorder="1" applyAlignment="1" applyProtection="1">
      <alignment horizontal="right" vertical="center" wrapText="1" indent="1"/>
      <protection locked="0"/>
    </xf>
    <xf numFmtId="164" fontId="111" fillId="0" borderId="79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12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13" xfId="0" applyNumberFormat="1" applyFont="1" applyBorder="1" applyAlignment="1" applyProtection="1">
      <alignment horizontal="right" vertical="center" wrapText="1" indent="1"/>
      <protection locked="0"/>
    </xf>
    <xf numFmtId="4" fontId="79" fillId="0" borderId="28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0" xfId="0" applyNumberFormat="1" applyFont="1" applyAlignment="1" applyProtection="1">
      <alignment horizontal="right" vertical="center" wrapText="1" indent="1"/>
      <protection locked="0"/>
    </xf>
    <xf numFmtId="164" fontId="79" fillId="0" borderId="102" xfId="0" applyNumberFormat="1" applyFont="1" applyBorder="1" applyAlignment="1">
      <alignment horizontal="left" vertical="center" wrapText="1" indent="3"/>
    </xf>
    <xf numFmtId="164" fontId="79" fillId="0" borderId="102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27" xfId="0" applyNumberFormat="1" applyFont="1" applyBorder="1" applyAlignment="1">
      <alignment horizontal="left" vertical="center" wrapText="1" indent="3"/>
    </xf>
    <xf numFmtId="164" fontId="79" fillId="0" borderId="20" xfId="0" applyNumberFormat="1" applyFont="1" applyBorder="1" applyAlignment="1">
      <alignment horizontal="left" vertical="center" wrapText="1" indent="1"/>
    </xf>
    <xf numFmtId="164" fontId="111" fillId="0" borderId="85" xfId="0" applyNumberFormat="1" applyFont="1" applyBorder="1" applyAlignment="1">
      <alignment horizontal="right" vertical="center" wrapText="1" indent="1"/>
    </xf>
    <xf numFmtId="164" fontId="111" fillId="0" borderId="92" xfId="0" applyNumberFormat="1" applyFont="1" applyBorder="1" applyAlignment="1">
      <alignment horizontal="right" vertical="center" wrapText="1" indent="1"/>
    </xf>
    <xf numFmtId="164" fontId="111" fillId="0" borderId="102" xfId="0" applyNumberFormat="1" applyFont="1" applyBorder="1" applyAlignment="1">
      <alignment horizontal="right" vertical="center" wrapText="1" indent="1"/>
    </xf>
    <xf numFmtId="164" fontId="79" fillId="0" borderId="102" xfId="0" applyNumberFormat="1" applyFont="1" applyBorder="1" applyAlignment="1" applyProtection="1">
      <alignment horizontal="left" vertical="center" wrapText="1" indent="1"/>
      <protection locked="0"/>
    </xf>
    <xf numFmtId="164" fontId="79" fillId="0" borderId="36" xfId="0" applyNumberFormat="1" applyFont="1" applyBorder="1" applyAlignment="1">
      <alignment horizontal="center" vertical="center" wrapText="1"/>
    </xf>
    <xf numFmtId="164" fontId="79" fillId="0" borderId="24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58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30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30" xfId="0" applyNumberFormat="1" applyFont="1" applyBorder="1" applyAlignment="1" applyProtection="1">
      <alignment horizontal="left" vertical="center" wrapText="1" indent="1"/>
      <protection locked="0"/>
    </xf>
    <xf numFmtId="164" fontId="79" fillId="0" borderId="74" xfId="0" applyNumberFormat="1" applyFont="1" applyBorder="1" applyAlignment="1" applyProtection="1">
      <alignment horizontal="right" vertical="center" wrapText="1" indent="1"/>
      <protection locked="0"/>
    </xf>
    <xf numFmtId="4" fontId="79" fillId="0" borderId="31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44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93" xfId="0" applyNumberFormat="1" applyFont="1" applyFill="1" applyBorder="1" applyAlignment="1" applyProtection="1">
      <alignment horizontal="right" vertical="center" wrapText="1" indent="1"/>
      <protection locked="0"/>
    </xf>
    <xf numFmtId="3" fontId="43" fillId="0" borderId="13" xfId="46" applyNumberFormat="1" applyFont="1" applyFill="1" applyBorder="1" applyAlignment="1">
      <alignment vertical="center"/>
    </xf>
    <xf numFmtId="3" fontId="43" fillId="0" borderId="92" xfId="46" applyNumberFormat="1" applyFont="1" applyFill="1" applyBorder="1" applyAlignment="1">
      <alignment vertical="center"/>
    </xf>
    <xf numFmtId="3" fontId="43" fillId="0" borderId="41" xfId="46" applyNumberFormat="1" applyFont="1" applyFill="1" applyBorder="1" applyAlignment="1">
      <alignment vertical="center"/>
    </xf>
    <xf numFmtId="3" fontId="43" fillId="0" borderId="88" xfId="46" applyNumberFormat="1" applyFont="1" applyFill="1" applyBorder="1" applyAlignment="1">
      <alignment vertical="center"/>
    </xf>
    <xf numFmtId="3" fontId="43" fillId="0" borderId="61" xfId="46" applyNumberFormat="1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3" fontId="43" fillId="0" borderId="85" xfId="0" applyNumberFormat="1" applyFont="1" applyFill="1" applyBorder="1" applyAlignment="1">
      <alignment vertical="center"/>
    </xf>
    <xf numFmtId="3" fontId="43" fillId="0" borderId="92" xfId="0" applyNumberFormat="1" applyFont="1" applyFill="1" applyBorder="1" applyAlignment="1">
      <alignment vertical="center"/>
    </xf>
    <xf numFmtId="3" fontId="43" fillId="0" borderId="94" xfId="0" applyNumberFormat="1" applyFont="1" applyFill="1" applyBorder="1" applyAlignment="1">
      <alignment vertical="center"/>
    </xf>
    <xf numFmtId="3" fontId="22" fillId="0" borderId="32" xfId="0" applyNumberFormat="1" applyFont="1" applyFill="1" applyBorder="1"/>
    <xf numFmtId="3" fontId="60" fillId="0" borderId="72" xfId="0" applyNumberFormat="1" applyFont="1" applyBorder="1" applyAlignment="1">
      <alignment vertical="center"/>
    </xf>
    <xf numFmtId="3" fontId="61" fillId="0" borderId="88" xfId="0" applyNumberFormat="1" applyFont="1" applyBorder="1" applyAlignment="1">
      <alignment vertical="center"/>
    </xf>
    <xf numFmtId="3" fontId="61" fillId="0" borderId="31" xfId="0" applyNumberFormat="1" applyFont="1" applyBorder="1" applyAlignment="1">
      <alignment vertical="center"/>
    </xf>
    <xf numFmtId="3" fontId="7" fillId="0" borderId="46" xfId="0" applyNumberFormat="1" applyFont="1" applyBorder="1" applyAlignment="1">
      <alignment horizontal="right" vertical="center" wrapText="1"/>
    </xf>
    <xf numFmtId="43" fontId="7" fillId="0" borderId="33" xfId="52" applyFont="1" applyFill="1" applyBorder="1" applyAlignment="1">
      <alignment vertical="center"/>
    </xf>
    <xf numFmtId="43" fontId="100" fillId="0" borderId="94" xfId="52" applyFont="1" applyFill="1" applyBorder="1" applyAlignment="1">
      <alignment vertical="center"/>
    </xf>
    <xf numFmtId="0" fontId="46" fillId="0" borderId="33" xfId="0" applyFont="1" applyBorder="1" applyAlignment="1">
      <alignment horizontal="left" vertical="center" wrapText="1" indent="1"/>
    </xf>
    <xf numFmtId="0" fontId="44" fillId="0" borderId="72" xfId="47" applyFont="1" applyBorder="1" applyAlignment="1">
      <alignment horizontal="left" vertical="center" wrapText="1" indent="1"/>
    </xf>
    <xf numFmtId="0" fontId="44" fillId="0" borderId="94" xfId="47" applyFont="1" applyBorder="1" applyAlignment="1">
      <alignment horizontal="left" vertical="center" wrapText="1" indent="1"/>
    </xf>
    <xf numFmtId="0" fontId="47" fillId="0" borderId="79" xfId="0" applyFont="1" applyBorder="1" applyAlignment="1">
      <alignment horizontal="left" wrapText="1" indent="1"/>
    </xf>
    <xf numFmtId="0" fontId="47" fillId="0" borderId="94" xfId="0" applyFont="1" applyBorder="1" applyAlignment="1">
      <alignment horizontal="left" wrapText="1" indent="1"/>
    </xf>
    <xf numFmtId="0" fontId="44" fillId="0" borderId="55" xfId="47" applyFont="1" applyBorder="1" applyAlignment="1">
      <alignment horizontal="left" vertical="center" wrapText="1" indent="1"/>
    </xf>
    <xf numFmtId="0" fontId="44" fillId="0" borderId="79" xfId="47" applyFont="1" applyBorder="1" applyAlignment="1">
      <alignment horizontal="left" vertical="center" wrapText="1" indent="1"/>
    </xf>
    <xf numFmtId="0" fontId="44" fillId="0" borderId="94" xfId="47" applyFont="1" applyBorder="1" applyAlignment="1">
      <alignment horizontal="left" vertical="center" wrapText="1" indent="3"/>
    </xf>
    <xf numFmtId="0" fontId="45" fillId="0" borderId="79" xfId="47" applyFont="1" applyBorder="1" applyAlignment="1">
      <alignment horizontal="left" vertical="center" wrapText="1" indent="1"/>
    </xf>
    <xf numFmtId="0" fontId="45" fillId="0" borderId="94" xfId="47" applyFont="1" applyBorder="1" applyAlignment="1">
      <alignment horizontal="left" vertical="center" wrapText="1" indent="1"/>
    </xf>
    <xf numFmtId="0" fontId="45" fillId="0" borderId="78" xfId="47" quotePrefix="1" applyFont="1" applyBorder="1" applyAlignment="1">
      <alignment horizontal="left" vertical="center" wrapText="1" indent="3"/>
    </xf>
    <xf numFmtId="0" fontId="45" fillId="0" borderId="78" xfId="47" applyFont="1" applyBorder="1" applyAlignment="1">
      <alignment horizontal="left" vertical="center" wrapText="1" indent="1"/>
    </xf>
    <xf numFmtId="0" fontId="47" fillId="0" borderId="72" xfId="0" applyFont="1" applyBorder="1" applyAlignment="1">
      <alignment horizontal="left" wrapText="1" indent="1"/>
    </xf>
    <xf numFmtId="0" fontId="47" fillId="0" borderId="95" xfId="0" applyFont="1" applyBorder="1" applyAlignment="1">
      <alignment horizontal="left" wrapText="1" indent="1"/>
    </xf>
    <xf numFmtId="0" fontId="45" fillId="0" borderId="55" xfId="47" applyFont="1" applyBorder="1" applyAlignment="1">
      <alignment horizontal="left" vertical="center" wrapText="1" indent="1"/>
    </xf>
    <xf numFmtId="0" fontId="51" fillId="0" borderId="0" xfId="0" applyFont="1" applyAlignment="1" applyProtection="1">
      <alignment horizontal="right" vertical="top"/>
      <protection locked="0"/>
    </xf>
    <xf numFmtId="164" fontId="8" fillId="0" borderId="33" xfId="0" applyNumberFormat="1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64" fontId="49" fillId="0" borderId="92" xfId="47" applyNumberFormat="1" applyFont="1" applyBorder="1" applyAlignment="1">
      <alignment horizontal="right" vertical="center" wrapText="1" indent="1"/>
    </xf>
    <xf numFmtId="164" fontId="49" fillId="0" borderId="85" xfId="47" applyNumberFormat="1" applyFont="1" applyBorder="1" applyAlignment="1">
      <alignment horizontal="right" vertical="center" wrapText="1"/>
    </xf>
    <xf numFmtId="164" fontId="49" fillId="0" borderId="13" xfId="47" applyNumberFormat="1" applyFont="1" applyBorder="1" applyAlignment="1" applyProtection="1">
      <alignment horizontal="right" vertical="center" wrapText="1" indent="1"/>
      <protection locked="0"/>
    </xf>
    <xf numFmtId="164" fontId="49" fillId="0" borderId="49" xfId="47" applyNumberFormat="1" applyFont="1" applyBorder="1" applyAlignment="1">
      <alignment horizontal="right" vertical="center" wrapText="1" indent="1"/>
    </xf>
    <xf numFmtId="164" fontId="77" fillId="0" borderId="49" xfId="47" applyNumberFormat="1" applyFont="1" applyBorder="1" applyAlignment="1">
      <alignment horizontal="right" vertical="center" wrapText="1" indent="1"/>
    </xf>
    <xf numFmtId="164" fontId="49" fillId="0" borderId="88" xfId="47" applyNumberFormat="1" applyFont="1" applyBorder="1" applyAlignment="1">
      <alignment horizontal="right" vertical="center" wrapText="1" indent="1"/>
    </xf>
    <xf numFmtId="3" fontId="60" fillId="0" borderId="32" xfId="46" applyNumberFormat="1" applyFont="1" applyBorder="1" applyAlignment="1">
      <alignment horizontal="center" vertical="center"/>
    </xf>
    <xf numFmtId="0" fontId="97" fillId="0" borderId="25" xfId="0" applyFont="1" applyBorder="1" applyAlignment="1">
      <alignment horizontal="left" vertical="center" wrapText="1"/>
    </xf>
    <xf numFmtId="43" fontId="21" fillId="0" borderId="38" xfId="52" applyFont="1" applyFill="1" applyBorder="1" applyAlignment="1">
      <alignment vertical="center"/>
    </xf>
    <xf numFmtId="0" fontId="21" fillId="0" borderId="80" xfId="52" applyNumberFormat="1" applyFont="1" applyFill="1" applyBorder="1" applyAlignment="1">
      <alignment vertical="center"/>
    </xf>
    <xf numFmtId="0" fontId="60" fillId="0" borderId="39" xfId="0" applyFont="1" applyBorder="1" applyAlignment="1">
      <alignment vertical="center" wrapText="1"/>
    </xf>
    <xf numFmtId="164" fontId="5" fillId="0" borderId="39" xfId="0" applyNumberFormat="1" applyFont="1" applyBorder="1" applyAlignment="1">
      <alignment horizontal="center" vertical="center" wrapText="1"/>
    </xf>
    <xf numFmtId="164" fontId="5" fillId="0" borderId="35" xfId="0" applyNumberFormat="1" applyFont="1" applyBorder="1" applyAlignment="1">
      <alignment horizontal="center" vertical="center" wrapText="1"/>
    </xf>
    <xf numFmtId="164" fontId="22" fillId="0" borderId="102" xfId="0" applyNumberFormat="1" applyFont="1" applyBorder="1" applyAlignment="1" applyProtection="1">
      <alignment horizontal="left" vertical="center" wrapText="1"/>
      <protection locked="0"/>
    </xf>
    <xf numFmtId="164" fontId="0" fillId="0" borderId="85" xfId="0" applyNumberFormat="1" applyBorder="1" applyAlignment="1">
      <alignment horizontal="center" vertical="center" wrapText="1"/>
    </xf>
    <xf numFmtId="164" fontId="5" fillId="0" borderId="85" xfId="0" applyNumberFormat="1" applyFont="1" applyBorder="1" applyAlignment="1">
      <alignment horizontal="center" vertical="center" wrapText="1"/>
    </xf>
    <xf numFmtId="164" fontId="62" fillId="0" borderId="88" xfId="0" applyNumberFormat="1" applyFont="1" applyBorder="1" applyAlignment="1">
      <alignment vertical="center" wrapText="1"/>
    </xf>
    <xf numFmtId="164" fontId="0" fillId="0" borderId="102" xfId="0" applyNumberFormat="1" applyBorder="1" applyAlignment="1" applyProtection="1">
      <alignment horizontal="left" vertical="center" wrapText="1"/>
      <protection locked="0"/>
    </xf>
    <xf numFmtId="164" fontId="15" fillId="0" borderId="30" xfId="0" applyNumberFormat="1" applyFont="1" applyBorder="1" applyAlignment="1" applyProtection="1">
      <alignment horizontal="left" vertical="center" wrapText="1"/>
      <protection locked="0"/>
    </xf>
    <xf numFmtId="164" fontId="15" fillId="0" borderId="31" xfId="0" applyNumberFormat="1" applyFont="1" applyBorder="1" applyAlignment="1">
      <alignment vertical="center" wrapText="1"/>
    </xf>
    <xf numFmtId="164" fontId="0" fillId="0" borderId="0" xfId="0" applyNumberFormat="1" applyFill="1" applyAlignment="1">
      <alignment vertical="center" wrapText="1"/>
    </xf>
    <xf numFmtId="164" fontId="5" fillId="0" borderId="15" xfId="0" applyNumberFormat="1" applyFont="1" applyFill="1" applyBorder="1" applyAlignment="1">
      <alignment horizontal="center" vertical="center" wrapText="1"/>
    </xf>
    <xf numFmtId="164" fontId="5" fillId="0" borderId="35" xfId="0" applyNumberFormat="1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center" vertical="center" wrapText="1"/>
    </xf>
    <xf numFmtId="1" fontId="15" fillId="0" borderId="85" xfId="0" applyNumberFormat="1" applyFont="1" applyFill="1" applyBorder="1" applyAlignment="1" applyProtection="1">
      <alignment horizontal="center" vertical="center" wrapText="1"/>
      <protection locked="0"/>
    </xf>
    <xf numFmtId="164" fontId="62" fillId="0" borderId="85" xfId="0" applyNumberFormat="1" applyFont="1" applyFill="1" applyBorder="1" applyAlignment="1" applyProtection="1">
      <alignment vertical="center" wrapText="1"/>
      <protection locked="0"/>
    </xf>
    <xf numFmtId="1" fontId="15" fillId="0" borderId="24" xfId="0" applyNumberFormat="1" applyFont="1" applyFill="1" applyBorder="1" applyAlignment="1" applyProtection="1">
      <alignment horizontal="center" vertical="center" wrapText="1"/>
      <protection locked="0"/>
    </xf>
    <xf numFmtId="164" fontId="5" fillId="0" borderId="15" xfId="0" applyNumberFormat="1" applyFont="1" applyFill="1" applyBorder="1" applyAlignment="1">
      <alignment vertical="center" wrapText="1"/>
    </xf>
    <xf numFmtId="0" fontId="5" fillId="0" borderId="102" xfId="0" applyFont="1" applyBorder="1"/>
    <xf numFmtId="3" fontId="5" fillId="0" borderId="85" xfId="0" applyNumberFormat="1" applyFont="1" applyBorder="1"/>
    <xf numFmtId="3" fontId="5" fillId="0" borderId="88" xfId="0" applyNumberFormat="1" applyFont="1" applyBorder="1"/>
    <xf numFmtId="0" fontId="0" fillId="0" borderId="102" xfId="0" applyBorder="1" applyAlignment="1">
      <alignment vertical="center"/>
    </xf>
    <xf numFmtId="3" fontId="0" fillId="0" borderId="85" xfId="0" applyNumberFormat="1" applyBorder="1" applyAlignment="1">
      <alignment horizontal="right"/>
    </xf>
    <xf numFmtId="3" fontId="0" fillId="0" borderId="85" xfId="0" applyNumberFormat="1" applyFont="1" applyBorder="1" applyAlignment="1"/>
    <xf numFmtId="3" fontId="5" fillId="0" borderId="85" xfId="0" applyNumberFormat="1" applyFont="1" applyBorder="1" applyAlignment="1"/>
    <xf numFmtId="0" fontId="78" fillId="0" borderId="102" xfId="0" applyFont="1" applyFill="1" applyBorder="1" applyAlignment="1">
      <alignment vertical="center" wrapText="1"/>
    </xf>
    <xf numFmtId="0" fontId="62" fillId="0" borderId="102" xfId="0" applyFont="1" applyFill="1" applyBorder="1" applyAlignment="1">
      <alignment vertical="center" wrapText="1"/>
    </xf>
    <xf numFmtId="3" fontId="15" fillId="0" borderId="85" xfId="0" applyNumberFormat="1" applyFont="1" applyFill="1" applyBorder="1" applyAlignment="1"/>
    <xf numFmtId="0" fontId="5" fillId="0" borderId="102" xfId="0" applyFont="1" applyBorder="1" applyAlignment="1">
      <alignment wrapText="1"/>
    </xf>
    <xf numFmtId="0" fontId="15" fillId="0" borderId="102" xfId="0" applyFont="1" applyBorder="1" applyAlignment="1">
      <alignment vertical="top" wrapText="1"/>
    </xf>
    <xf numFmtId="3" fontId="0" fillId="0" borderId="85" xfId="0" applyNumberFormat="1" applyBorder="1"/>
    <xf numFmtId="0" fontId="15" fillId="0" borderId="102" xfId="0" applyFont="1" applyFill="1" applyBorder="1" applyAlignment="1">
      <alignment wrapText="1"/>
    </xf>
    <xf numFmtId="3" fontId="0" fillId="0" borderId="88" xfId="0" applyNumberFormat="1" applyBorder="1"/>
    <xf numFmtId="0" fontId="5" fillId="0" borderId="30" xfId="0" applyFont="1" applyBorder="1"/>
    <xf numFmtId="3" fontId="5" fillId="0" borderId="24" xfId="0" applyNumberFormat="1" applyFont="1" applyBorder="1"/>
    <xf numFmtId="3" fontId="5" fillId="0" borderId="31" xfId="0" applyNumberFormat="1" applyFont="1" applyBorder="1"/>
    <xf numFmtId="0" fontId="76" fillId="0" borderId="49" xfId="0" applyFont="1" applyFill="1" applyBorder="1" applyAlignment="1">
      <alignment horizontal="center" vertical="center"/>
    </xf>
    <xf numFmtId="0" fontId="98" fillId="0" borderId="103" xfId="46" applyFont="1" applyFill="1" applyBorder="1" applyAlignment="1">
      <alignment horizontal="left" vertical="center" wrapText="1"/>
    </xf>
    <xf numFmtId="3" fontId="7" fillId="0" borderId="15" xfId="0" applyNumberFormat="1" applyFont="1" applyFill="1" applyBorder="1" applyAlignment="1">
      <alignment vertical="center"/>
    </xf>
    <xf numFmtId="164" fontId="49" fillId="0" borderId="85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0" xfId="0" applyNumberFormat="1" applyFont="1" applyAlignment="1">
      <alignment vertical="center" wrapText="1"/>
    </xf>
    <xf numFmtId="164" fontId="44" fillId="0" borderId="42" xfId="47" quotePrefix="1" applyNumberFormat="1" applyFont="1" applyBorder="1" applyAlignment="1">
      <alignment horizontal="right" vertical="center" wrapText="1" indent="1"/>
    </xf>
    <xf numFmtId="164" fontId="45" fillId="0" borderId="31" xfId="47" quotePrefix="1" applyNumberFormat="1" applyFont="1" applyBorder="1" applyAlignment="1">
      <alignment horizontal="right" vertical="center" wrapText="1" indent="1"/>
    </xf>
    <xf numFmtId="164" fontId="47" fillId="0" borderId="87" xfId="0" applyNumberFormat="1" applyFont="1" applyBorder="1" applyAlignment="1">
      <alignment horizontal="right" vertical="center" wrapText="1" indent="1"/>
    </xf>
    <xf numFmtId="168" fontId="0" fillId="0" borderId="0" xfId="0" applyNumberForma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7" fillId="0" borderId="47" xfId="0" applyFont="1" applyBorder="1" applyAlignment="1">
      <alignment vertical="center" wrapText="1"/>
    </xf>
    <xf numFmtId="3" fontId="7" fillId="0" borderId="43" xfId="0" applyNumberFormat="1" applyFont="1" applyBorder="1" applyAlignment="1">
      <alignment vertical="center"/>
    </xf>
    <xf numFmtId="3" fontId="7" fillId="0" borderId="76" xfId="0" applyNumberFormat="1" applyFont="1" applyBorder="1" applyAlignment="1">
      <alignment vertical="center"/>
    </xf>
    <xf numFmtId="3" fontId="7" fillId="0" borderId="46" xfId="0" applyNumberFormat="1" applyFont="1" applyBorder="1" applyAlignment="1">
      <alignment vertical="center"/>
    </xf>
    <xf numFmtId="0" fontId="7" fillId="0" borderId="85" xfId="0" applyFont="1" applyFill="1" applyBorder="1" applyAlignment="1">
      <alignment horizontal="center"/>
    </xf>
    <xf numFmtId="0" fontId="15" fillId="0" borderId="0" xfId="0" applyFont="1" applyFill="1"/>
    <xf numFmtId="0" fontId="43" fillId="0" borderId="85" xfId="0" applyFont="1" applyFill="1" applyBorder="1"/>
    <xf numFmtId="0" fontId="43" fillId="0" borderId="49" xfId="0" applyFont="1" applyFill="1" applyBorder="1" applyAlignment="1">
      <alignment horizontal="center" vertical="center"/>
    </xf>
    <xf numFmtId="0" fontId="43" fillId="0" borderId="85" xfId="0" applyFont="1" applyFill="1" applyBorder="1" applyAlignment="1">
      <alignment horizontal="center" vertical="center"/>
    </xf>
    <xf numFmtId="0" fontId="74" fillId="0" borderId="0" xfId="0" applyFont="1" applyFill="1"/>
    <xf numFmtId="164" fontId="45" fillId="0" borderId="68" xfId="0" applyNumberFormat="1" applyFont="1" applyFill="1" applyBorder="1" applyAlignment="1" applyProtection="1">
      <alignment horizontal="right" vertical="center" wrapText="1" indent="1"/>
      <protection locked="0"/>
    </xf>
    <xf numFmtId="3" fontId="5" fillId="0" borderId="53" xfId="0" applyNumberFormat="1" applyFont="1" applyFill="1" applyBorder="1" applyAlignment="1" applyProtection="1">
      <alignment horizontal="right" vertical="center" wrapText="1" indent="1"/>
      <protection locked="0"/>
    </xf>
    <xf numFmtId="3" fontId="5" fillId="0" borderId="16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49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88" xfId="0" applyNumberFormat="1" applyFont="1" applyFill="1" applyBorder="1" applyAlignment="1" applyProtection="1">
      <alignment horizontal="right" vertical="center" wrapText="1" indent="1"/>
      <protection locked="0"/>
    </xf>
    <xf numFmtId="3" fontId="60" fillId="0" borderId="56" xfId="46" applyNumberFormat="1" applyFont="1" applyFill="1" applyBorder="1" applyAlignment="1">
      <alignment horizontal="center" vertical="center"/>
    </xf>
    <xf numFmtId="0" fontId="60" fillId="0" borderId="103" xfId="46" applyFont="1" applyFill="1" applyBorder="1" applyAlignment="1">
      <alignment horizontal="left" vertical="center"/>
    </xf>
    <xf numFmtId="3" fontId="43" fillId="0" borderId="86" xfId="46" applyNumberFormat="1" applyFont="1" applyFill="1" applyBorder="1" applyAlignment="1">
      <alignment vertical="center"/>
    </xf>
    <xf numFmtId="3" fontId="60" fillId="0" borderId="93" xfId="46" applyNumberFormat="1" applyFont="1" applyFill="1" applyBorder="1" applyAlignment="1">
      <alignment vertical="center"/>
    </xf>
    <xf numFmtId="3" fontId="43" fillId="0" borderId="85" xfId="46" applyNumberFormat="1" applyFont="1" applyFill="1" applyBorder="1" applyAlignment="1">
      <alignment vertical="center"/>
    </xf>
    <xf numFmtId="3" fontId="43" fillId="0" borderId="95" xfId="46" applyNumberFormat="1" applyFont="1" applyFill="1" applyBorder="1" applyAlignment="1">
      <alignment vertical="center"/>
    </xf>
    <xf numFmtId="164" fontId="46" fillId="0" borderId="16" xfId="0" applyNumberFormat="1" applyFont="1" applyBorder="1" applyAlignment="1">
      <alignment horizontal="left" vertical="center" wrapText="1" indent="3"/>
    </xf>
    <xf numFmtId="3" fontId="97" fillId="0" borderId="40" xfId="0" applyNumberFormat="1" applyFont="1" applyBorder="1" applyAlignment="1">
      <alignment vertical="center" wrapText="1"/>
    </xf>
    <xf numFmtId="3" fontId="45" fillId="0" borderId="85" xfId="79" applyNumberFormat="1" applyFont="1" applyBorder="1" applyAlignment="1" applyProtection="1">
      <alignment vertical="center"/>
      <protection locked="0"/>
    </xf>
    <xf numFmtId="3" fontId="45" fillId="0" borderId="35" xfId="79" applyNumberFormat="1" applyFont="1" applyBorder="1" applyAlignment="1" applyProtection="1">
      <alignment vertical="center"/>
      <protection locked="0"/>
    </xf>
    <xf numFmtId="3" fontId="45" fillId="0" borderId="105" xfId="79" applyNumberFormat="1" applyFont="1" applyBorder="1" applyAlignment="1" applyProtection="1">
      <alignment vertical="center"/>
      <protection locked="0"/>
    </xf>
    <xf numFmtId="164" fontId="8" fillId="0" borderId="33" xfId="0" applyNumberFormat="1" applyFont="1" applyBorder="1" applyAlignment="1">
      <alignment horizontal="center" vertical="center" wrapText="1"/>
    </xf>
    <xf numFmtId="164" fontId="5" fillId="0" borderId="16" xfId="0" applyNumberFormat="1" applyFont="1" applyBorder="1" applyAlignment="1">
      <alignment vertical="center" wrapText="1"/>
    </xf>
    <xf numFmtId="164" fontId="5" fillId="0" borderId="102" xfId="0" applyNumberFormat="1" applyFont="1" applyBorder="1" applyAlignment="1" applyProtection="1">
      <alignment horizontal="left" vertical="center" wrapText="1"/>
      <protection locked="0"/>
    </xf>
    <xf numFmtId="0" fontId="15" fillId="0" borderId="103" xfId="0" applyFont="1" applyBorder="1" applyAlignment="1">
      <alignment vertical="center" wrapText="1"/>
    </xf>
    <xf numFmtId="164" fontId="79" fillId="0" borderId="102" xfId="0" applyNumberFormat="1" applyFont="1" applyBorder="1" applyAlignment="1" applyProtection="1">
      <alignment vertical="center" wrapText="1"/>
      <protection locked="0"/>
    </xf>
    <xf numFmtId="164" fontId="15" fillId="0" borderId="102" xfId="0" applyNumberFormat="1" applyFont="1" applyBorder="1" applyAlignment="1" applyProtection="1">
      <alignment horizontal="left" vertical="center" wrapText="1"/>
      <protection locked="0"/>
    </xf>
    <xf numFmtId="0" fontId="8" fillId="0" borderId="37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6" fillId="0" borderId="37" xfId="0" applyFont="1" applyBorder="1" applyAlignment="1">
      <alignment horizontal="center" vertical="center" wrapText="1"/>
    </xf>
    <xf numFmtId="164" fontId="16" fillId="0" borderId="37" xfId="47" applyNumberFormat="1" applyFont="1" applyBorder="1" applyAlignment="1">
      <alignment horizontal="right" vertical="center" wrapText="1"/>
    </xf>
    <xf numFmtId="164" fontId="44" fillId="0" borderId="67" xfId="47" applyNumberFormat="1" applyFont="1" applyBorder="1" applyAlignment="1" applyProtection="1">
      <alignment horizontal="right" vertical="center" wrapText="1"/>
      <protection locked="0"/>
    </xf>
    <xf numFmtId="164" fontId="44" fillId="0" borderId="32" xfId="47" applyNumberFormat="1" applyFont="1" applyBorder="1" applyAlignment="1" applyProtection="1">
      <alignment horizontal="right" vertical="center" wrapText="1"/>
      <protection locked="0"/>
    </xf>
    <xf numFmtId="164" fontId="44" fillId="0" borderId="90" xfId="47" applyNumberFormat="1" applyFont="1" applyBorder="1" applyAlignment="1" applyProtection="1">
      <alignment horizontal="right" vertical="center" wrapText="1"/>
      <protection locked="0"/>
    </xf>
    <xf numFmtId="164" fontId="44" fillId="0" borderId="91" xfId="47" applyNumberFormat="1" applyFont="1" applyBorder="1" applyAlignment="1" applyProtection="1">
      <alignment horizontal="right" vertical="center" wrapText="1"/>
      <protection locked="0"/>
    </xf>
    <xf numFmtId="164" fontId="46" fillId="0" borderId="37" xfId="47" applyNumberFormat="1" applyFont="1" applyBorder="1" applyAlignment="1">
      <alignment horizontal="right" vertical="center" wrapText="1"/>
    </xf>
    <xf numFmtId="164" fontId="44" fillId="0" borderId="67" xfId="47" applyNumberFormat="1" applyFont="1" applyBorder="1" applyAlignment="1">
      <alignment horizontal="right" vertical="center" wrapText="1"/>
    </xf>
    <xf numFmtId="164" fontId="45" fillId="0" borderId="90" xfId="47" applyNumberFormat="1" applyFont="1" applyBorder="1" applyAlignment="1" applyProtection="1">
      <alignment horizontal="right" vertical="center" wrapText="1"/>
      <protection locked="0"/>
    </xf>
    <xf numFmtId="164" fontId="45" fillId="0" borderId="67" xfId="47" applyNumberFormat="1" applyFont="1" applyBorder="1" applyAlignment="1" applyProtection="1">
      <alignment horizontal="right" vertical="center" wrapText="1"/>
      <protection locked="0"/>
    </xf>
    <xf numFmtId="164" fontId="45" fillId="0" borderId="91" xfId="47" applyNumberFormat="1" applyFont="1" applyBorder="1" applyAlignment="1" applyProtection="1">
      <alignment horizontal="right" vertical="center" wrapText="1"/>
      <protection locked="0"/>
    </xf>
    <xf numFmtId="164" fontId="44" fillId="0" borderId="105" xfId="47" applyNumberFormat="1" applyFont="1" applyBorder="1" applyAlignment="1" applyProtection="1">
      <alignment horizontal="right" vertical="center" wrapText="1"/>
      <protection locked="0"/>
    </xf>
    <xf numFmtId="164" fontId="45" fillId="0" borderId="105" xfId="47" applyNumberFormat="1" applyFont="1" applyBorder="1" applyAlignment="1" applyProtection="1">
      <alignment horizontal="right" vertical="center" wrapText="1"/>
      <protection locked="0"/>
    </xf>
    <xf numFmtId="164" fontId="44" fillId="0" borderId="0" xfId="47" applyNumberFormat="1" applyFont="1" applyBorder="1" applyAlignment="1" applyProtection="1">
      <alignment horizontal="right" vertical="center" wrapText="1"/>
      <protection locked="0"/>
    </xf>
    <xf numFmtId="164" fontId="44" fillId="0" borderId="82" xfId="47" applyNumberFormat="1" applyFont="1" applyBorder="1" applyAlignment="1">
      <alignment horizontal="right" vertical="center" wrapText="1"/>
    </xf>
    <xf numFmtId="164" fontId="45" fillId="0" borderId="61" xfId="47" applyNumberFormat="1" applyFont="1" applyBorder="1" applyAlignment="1" applyProtection="1">
      <alignment horizontal="right" vertical="center" wrapText="1"/>
      <protection locked="0"/>
    </xf>
    <xf numFmtId="164" fontId="45" fillId="0" borderId="82" xfId="47" applyNumberFormat="1" applyFont="1" applyBorder="1" applyAlignment="1" applyProtection="1">
      <alignment horizontal="right" vertical="center" wrapText="1"/>
      <protection locked="0"/>
    </xf>
    <xf numFmtId="164" fontId="45" fillId="0" borderId="104" xfId="47" applyNumberFormat="1" applyFont="1" applyBorder="1" applyAlignment="1" applyProtection="1">
      <alignment horizontal="right" vertical="center" wrapText="1"/>
      <protection locked="0"/>
    </xf>
    <xf numFmtId="2" fontId="44" fillId="0" borderId="42" xfId="47" applyNumberFormat="1" applyFont="1" applyBorder="1" applyAlignment="1" applyProtection="1">
      <alignment horizontal="right" vertical="center" wrapText="1"/>
      <protection locked="0"/>
    </xf>
    <xf numFmtId="2" fontId="44" fillId="0" borderId="87" xfId="47" applyNumberFormat="1" applyFont="1" applyBorder="1" applyAlignment="1" applyProtection="1">
      <alignment horizontal="right" vertical="center" wrapText="1"/>
      <protection locked="0"/>
    </xf>
    <xf numFmtId="2" fontId="44" fillId="0" borderId="28" xfId="47" applyNumberFormat="1" applyFont="1" applyBorder="1" applyAlignment="1">
      <alignment horizontal="right" vertical="center" wrapText="1"/>
    </xf>
    <xf numFmtId="2" fontId="45" fillId="0" borderId="88" xfId="47" applyNumberFormat="1" applyFont="1" applyBorder="1" applyAlignment="1" applyProtection="1">
      <alignment horizontal="right" vertical="center" wrapText="1"/>
      <protection locked="0"/>
    </xf>
    <xf numFmtId="2" fontId="45" fillId="0" borderId="28" xfId="47" applyNumberFormat="1" applyFont="1" applyBorder="1" applyAlignment="1" applyProtection="1">
      <alignment horizontal="right" vertical="center" wrapText="1"/>
      <protection locked="0"/>
    </xf>
    <xf numFmtId="2" fontId="45" fillId="0" borderId="87" xfId="47" applyNumberFormat="1" applyFont="1" applyBorder="1" applyAlignment="1" applyProtection="1">
      <alignment horizontal="right" vertical="center" wrapText="1"/>
      <protection locked="0"/>
    </xf>
    <xf numFmtId="0" fontId="8" fillId="0" borderId="66" xfId="0" applyFont="1" applyBorder="1" applyAlignment="1">
      <alignment horizontal="center" vertical="center" wrapText="1"/>
    </xf>
    <xf numFmtId="164" fontId="16" fillId="0" borderId="37" xfId="47" applyNumberFormat="1" applyFont="1" applyBorder="1" applyAlignment="1">
      <alignment horizontal="right" vertical="center" wrapText="1" indent="1"/>
    </xf>
    <xf numFmtId="164" fontId="44" fillId="0" borderId="67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90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91" xfId="47" applyNumberFormat="1" applyFont="1" applyBorder="1" applyAlignment="1" applyProtection="1">
      <alignment horizontal="right" vertical="center" wrapText="1" indent="1"/>
      <protection locked="0"/>
    </xf>
    <xf numFmtId="164" fontId="46" fillId="0" borderId="37" xfId="47" applyNumberFormat="1" applyFont="1" applyBorder="1" applyAlignment="1">
      <alignment horizontal="right" vertical="center" wrapText="1" indent="1"/>
    </xf>
    <xf numFmtId="164" fontId="44" fillId="0" borderId="67" xfId="47" applyNumberFormat="1" applyFont="1" applyBorder="1" applyAlignment="1">
      <alignment horizontal="right" vertical="center" wrapText="1" indent="1"/>
    </xf>
    <xf numFmtId="164" fontId="45" fillId="0" borderId="67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90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91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36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65" xfId="47" applyNumberFormat="1" applyFont="1" applyBorder="1" applyAlignment="1">
      <alignment horizontal="right" vertical="center" wrapText="1" indent="1"/>
    </xf>
    <xf numFmtId="164" fontId="44" fillId="0" borderId="105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105" xfId="47" applyNumberFormat="1" applyFont="1" applyBorder="1" applyAlignment="1" applyProtection="1">
      <alignment horizontal="right" vertical="center" wrapText="1" indent="1"/>
      <protection locked="0"/>
    </xf>
    <xf numFmtId="0" fontId="8" fillId="0" borderId="69" xfId="0" applyFont="1" applyBorder="1" applyAlignment="1">
      <alignment horizontal="center" vertical="center" wrapText="1"/>
    </xf>
    <xf numFmtId="164" fontId="16" fillId="0" borderId="45" xfId="47" applyNumberFormat="1" applyFont="1" applyBorder="1" applyAlignment="1">
      <alignment horizontal="right" vertical="center" wrapText="1" indent="1"/>
    </xf>
    <xf numFmtId="164" fontId="44" fillId="0" borderId="82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61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104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82" xfId="47" applyNumberFormat="1" applyFont="1" applyBorder="1" applyAlignment="1">
      <alignment horizontal="right" vertical="center" wrapText="1" indent="1"/>
    </xf>
    <xf numFmtId="164" fontId="45" fillId="0" borderId="82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61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104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73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22" xfId="47" applyNumberFormat="1" applyFont="1" applyBorder="1" applyAlignment="1">
      <alignment horizontal="right" vertical="center" wrapText="1" indent="1"/>
    </xf>
    <xf numFmtId="2" fontId="8" fillId="0" borderId="48" xfId="0" applyNumberFormat="1" applyFont="1" applyBorder="1" applyAlignment="1">
      <alignment horizontal="center" vertical="center" wrapText="1"/>
    </xf>
    <xf numFmtId="2" fontId="16" fillId="0" borderId="16" xfId="47" applyNumberFormat="1" applyFont="1" applyBorder="1" applyAlignment="1">
      <alignment horizontal="right" vertical="center" wrapText="1" indent="1"/>
    </xf>
    <xf numFmtId="2" fontId="44" fillId="0" borderId="28" xfId="47" applyNumberFormat="1" applyFont="1" applyBorder="1" applyAlignment="1" applyProtection="1">
      <alignment horizontal="right" vertical="center" wrapText="1" indent="1"/>
      <protection locked="0"/>
    </xf>
    <xf numFmtId="2" fontId="44" fillId="0" borderId="88" xfId="47" applyNumberFormat="1" applyFont="1" applyBorder="1" applyAlignment="1" applyProtection="1">
      <alignment horizontal="right" vertical="center" wrapText="1" indent="1"/>
      <protection locked="0"/>
    </xf>
    <xf numFmtId="2" fontId="44" fillId="0" borderId="87" xfId="47" applyNumberFormat="1" applyFont="1" applyBorder="1" applyAlignment="1" applyProtection="1">
      <alignment horizontal="right" vertical="center" wrapText="1" indent="1"/>
      <protection locked="0"/>
    </xf>
    <xf numFmtId="2" fontId="46" fillId="0" borderId="16" xfId="47" applyNumberFormat="1" applyFont="1" applyBorder="1" applyAlignment="1">
      <alignment horizontal="right" vertical="center" wrapText="1" indent="1"/>
    </xf>
    <xf numFmtId="2" fontId="44" fillId="0" borderId="28" xfId="47" applyNumberFormat="1" applyFont="1" applyBorder="1" applyAlignment="1">
      <alignment horizontal="right" vertical="center" wrapText="1" indent="1"/>
    </xf>
    <xf numFmtId="2" fontId="45" fillId="0" borderId="28" xfId="47" applyNumberFormat="1" applyFont="1" applyBorder="1" applyAlignment="1" applyProtection="1">
      <alignment horizontal="right" vertical="center" wrapText="1" indent="1"/>
      <protection locked="0"/>
    </xf>
    <xf numFmtId="2" fontId="45" fillId="0" borderId="88" xfId="47" applyNumberFormat="1" applyFont="1" applyBorder="1" applyAlignment="1" applyProtection="1">
      <alignment horizontal="right" vertical="center" wrapText="1" indent="1"/>
      <protection locked="0"/>
    </xf>
    <xf numFmtId="2" fontId="45" fillId="0" borderId="87" xfId="47" applyNumberFormat="1" applyFont="1" applyBorder="1" applyAlignment="1" applyProtection="1">
      <alignment horizontal="right" vertical="center" wrapText="1" indent="1"/>
      <protection locked="0"/>
    </xf>
    <xf numFmtId="2" fontId="45" fillId="0" borderId="31" xfId="47" applyNumberFormat="1" applyFont="1" applyBorder="1" applyAlignment="1" applyProtection="1">
      <alignment horizontal="right" vertical="center" wrapText="1" indent="1"/>
      <protection locked="0"/>
    </xf>
    <xf numFmtId="2" fontId="16" fillId="0" borderId="46" xfId="47" applyNumberFormat="1" applyFont="1" applyBorder="1" applyAlignment="1">
      <alignment horizontal="right" vertical="center" wrapText="1" indent="1"/>
    </xf>
    <xf numFmtId="164" fontId="44" fillId="0" borderId="34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90" xfId="47" applyNumberFormat="1" applyFont="1" applyBorder="1" applyAlignment="1">
      <alignment horizontal="right" vertical="center" wrapText="1" indent="1"/>
    </xf>
    <xf numFmtId="164" fontId="50" fillId="0" borderId="37" xfId="0" quotePrefix="1" applyNumberFormat="1" applyFont="1" applyBorder="1" applyAlignment="1">
      <alignment horizontal="right" vertical="center" wrapText="1" indent="1"/>
    </xf>
    <xf numFmtId="164" fontId="16" fillId="0" borderId="69" xfId="47" applyNumberFormat="1" applyFont="1" applyBorder="1" applyAlignment="1">
      <alignment horizontal="right" vertical="center" wrapText="1" indent="1"/>
    </xf>
    <xf numFmtId="164" fontId="44" fillId="0" borderId="71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61" xfId="47" applyNumberFormat="1" applyFont="1" applyBorder="1" applyAlignment="1">
      <alignment horizontal="right" vertical="center" wrapText="1" indent="1"/>
    </xf>
    <xf numFmtId="164" fontId="50" fillId="0" borderId="45" xfId="0" quotePrefix="1" applyNumberFormat="1" applyFont="1" applyBorder="1" applyAlignment="1">
      <alignment horizontal="right" vertical="center" wrapText="1" indent="1"/>
    </xf>
    <xf numFmtId="0" fontId="7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3" fontId="8" fillId="0" borderId="37" xfId="0" applyNumberFormat="1" applyFont="1" applyBorder="1" applyAlignment="1" applyProtection="1">
      <alignment horizontal="right" vertical="center" wrapText="1" indent="1"/>
      <protection locked="0"/>
    </xf>
    <xf numFmtId="2" fontId="8" fillId="0" borderId="16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54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61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22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46" xfId="0" applyNumberFormat="1" applyFont="1" applyBorder="1" applyAlignment="1" applyProtection="1">
      <alignment horizontal="right" vertical="center" wrapText="1" indent="1"/>
      <protection locked="0"/>
    </xf>
    <xf numFmtId="0" fontId="8" fillId="0" borderId="98" xfId="0" applyFont="1" applyBorder="1" applyAlignment="1">
      <alignment horizontal="center" vertical="center" wrapText="1"/>
    </xf>
    <xf numFmtId="164" fontId="44" fillId="0" borderId="105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105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45" xfId="0" applyNumberFormat="1" applyFont="1" applyBorder="1" applyAlignment="1">
      <alignment horizontal="right" vertical="center" wrapText="1" indent="1"/>
    </xf>
    <xf numFmtId="164" fontId="44" fillId="0" borderId="71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61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0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104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45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82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0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3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1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104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73" xfId="0" applyNumberFormat="1" applyFont="1" applyBorder="1" applyAlignment="1" applyProtection="1">
      <alignment horizontal="right" vertical="center" wrapText="1" indent="1"/>
      <protection locked="0"/>
    </xf>
    <xf numFmtId="164" fontId="16" fillId="0" borderId="45" xfId="0" applyNumberFormat="1" applyFont="1" applyBorder="1" applyAlignment="1">
      <alignment horizontal="right" vertical="center" wrapText="1" indent="1"/>
    </xf>
    <xf numFmtId="164" fontId="46" fillId="0" borderId="105" xfId="0" applyNumberFormat="1" applyFont="1" applyBorder="1" applyAlignment="1" applyProtection="1">
      <alignment horizontal="right" vertical="center" wrapText="1" indent="1"/>
      <protection locked="0"/>
    </xf>
    <xf numFmtId="2" fontId="46" fillId="0" borderId="16" xfId="0" applyNumberFormat="1" applyFont="1" applyBorder="1" applyAlignment="1">
      <alignment horizontal="right" vertical="center" wrapText="1" indent="1"/>
    </xf>
    <xf numFmtId="2" fontId="44" fillId="0" borderId="40" xfId="0" applyNumberFormat="1" applyFont="1" applyBorder="1" applyAlignment="1" applyProtection="1">
      <alignment horizontal="right" vertical="center" wrapText="1" indent="1"/>
      <protection locked="0"/>
    </xf>
    <xf numFmtId="2" fontId="44" fillId="0" borderId="88" xfId="0" applyNumberFormat="1" applyFont="1" applyBorder="1" applyAlignment="1" applyProtection="1">
      <alignment horizontal="right" vertical="center" wrapText="1" indent="1"/>
      <protection locked="0"/>
    </xf>
    <xf numFmtId="2" fontId="44" fillId="0" borderId="42" xfId="0" applyNumberFormat="1" applyFont="1" applyBorder="1" applyAlignment="1" applyProtection="1">
      <alignment horizontal="right" vertical="center" wrapText="1" indent="1"/>
      <protection locked="0"/>
    </xf>
    <xf numFmtId="2" fontId="44" fillId="0" borderId="87" xfId="0" applyNumberFormat="1" applyFont="1" applyBorder="1" applyAlignment="1" applyProtection="1">
      <alignment horizontal="right" vertical="center" wrapText="1" indent="1"/>
      <protection locked="0"/>
    </xf>
    <xf numFmtId="2" fontId="46" fillId="0" borderId="16" xfId="0" applyNumberFormat="1" applyFont="1" applyBorder="1" applyAlignment="1" applyProtection="1">
      <alignment horizontal="right" vertical="center" wrapText="1" indent="1"/>
      <protection locked="0"/>
    </xf>
    <xf numFmtId="2" fontId="45" fillId="0" borderId="28" xfId="0" applyNumberFormat="1" applyFont="1" applyBorder="1" applyAlignment="1" applyProtection="1">
      <alignment horizontal="right" vertical="center" wrapText="1" indent="1"/>
      <protection locked="0"/>
    </xf>
    <xf numFmtId="2" fontId="45" fillId="0" borderId="42" xfId="0" applyNumberFormat="1" applyFont="1" applyBorder="1" applyAlignment="1" applyProtection="1">
      <alignment horizontal="right" vertical="center" wrapText="1" indent="1"/>
      <protection locked="0"/>
    </xf>
    <xf numFmtId="2" fontId="45" fillId="0" borderId="31" xfId="0" applyNumberFormat="1" applyFont="1" applyBorder="1" applyAlignment="1" applyProtection="1">
      <alignment horizontal="right" vertical="center" wrapText="1" indent="1"/>
      <protection locked="0"/>
    </xf>
    <xf numFmtId="2" fontId="45" fillId="0" borderId="40" xfId="0" applyNumberFormat="1" applyFont="1" applyBorder="1" applyAlignment="1" applyProtection="1">
      <alignment horizontal="right" vertical="center" wrapText="1" indent="1"/>
      <protection locked="0"/>
    </xf>
    <xf numFmtId="2" fontId="46" fillId="0" borderId="87" xfId="0" applyNumberFormat="1" applyFont="1" applyBorder="1" applyAlignment="1" applyProtection="1">
      <alignment horizontal="right" vertical="center" wrapText="1" indent="1"/>
      <protection locked="0"/>
    </xf>
    <xf numFmtId="2" fontId="46" fillId="0" borderId="31" xfId="0" applyNumberFormat="1" applyFont="1" applyBorder="1" applyAlignment="1" applyProtection="1">
      <alignment horizontal="right" vertical="center" wrapText="1" indent="1"/>
      <protection locked="0"/>
    </xf>
    <xf numFmtId="2" fontId="45" fillId="0" borderId="88" xfId="0" applyNumberFormat="1" applyFont="1" applyBorder="1" applyAlignment="1" applyProtection="1">
      <alignment horizontal="right" vertical="center" wrapText="1" indent="1"/>
      <protection locked="0"/>
    </xf>
    <xf numFmtId="2" fontId="45" fillId="0" borderId="46" xfId="0" applyNumberFormat="1" applyFont="1" applyBorder="1" applyAlignment="1" applyProtection="1">
      <alignment horizontal="right" vertical="center" wrapText="1" indent="1"/>
      <protection locked="0"/>
    </xf>
    <xf numFmtId="2" fontId="16" fillId="0" borderId="16" xfId="0" applyNumberFormat="1" applyFont="1" applyBorder="1" applyAlignment="1">
      <alignment horizontal="right" vertical="center" wrapText="1" indent="1"/>
    </xf>
    <xf numFmtId="164" fontId="46" fillId="0" borderId="37" xfId="0" applyNumberFormat="1" applyFont="1" applyBorder="1" applyAlignment="1">
      <alignment horizontal="right" vertical="center" wrapText="1" indent="1"/>
    </xf>
    <xf numFmtId="164" fontId="45" fillId="0" borderId="67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90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36" xfId="0" applyNumberFormat="1" applyFont="1" applyBorder="1" applyAlignment="1" applyProtection="1">
      <alignment horizontal="right" vertical="center" wrapText="1" indent="1"/>
      <protection locked="0"/>
    </xf>
    <xf numFmtId="164" fontId="16" fillId="0" borderId="37" xfId="0" applyNumberFormat="1" applyFont="1" applyBorder="1" applyAlignment="1">
      <alignment horizontal="right" vertical="center" wrapText="1" indent="1"/>
    </xf>
    <xf numFmtId="0" fontId="7" fillId="0" borderId="69" xfId="0" applyFont="1" applyBorder="1" applyAlignment="1">
      <alignment horizontal="center" vertical="center" wrapText="1"/>
    </xf>
    <xf numFmtId="3" fontId="7" fillId="0" borderId="71" xfId="0" applyNumberFormat="1" applyFont="1" applyBorder="1" applyAlignment="1">
      <alignment horizontal="right" vertical="center" wrapText="1"/>
    </xf>
    <xf numFmtId="3" fontId="43" fillId="0" borderId="104" xfId="46" applyNumberFormat="1" applyFont="1" applyBorder="1" applyAlignment="1">
      <alignment vertical="center"/>
    </xf>
    <xf numFmtId="3" fontId="43" fillId="0" borderId="0" xfId="46" applyNumberFormat="1" applyFont="1" applyBorder="1" applyAlignment="1">
      <alignment vertical="center"/>
    </xf>
    <xf numFmtId="3" fontId="43" fillId="0" borderId="0" xfId="46" applyNumberFormat="1" applyFont="1" applyFill="1" applyBorder="1" applyAlignment="1">
      <alignment vertical="center"/>
    </xf>
    <xf numFmtId="0" fontId="12" fillId="0" borderId="22" xfId="0" applyFont="1" applyBorder="1" applyAlignment="1">
      <alignment vertical="center"/>
    </xf>
    <xf numFmtId="3" fontId="7" fillId="0" borderId="35" xfId="0" applyNumberFormat="1" applyFont="1" applyBorder="1" applyAlignment="1">
      <alignment horizontal="right" vertical="center" wrapText="1"/>
    </xf>
    <xf numFmtId="3" fontId="43" fillId="0" borderId="105" xfId="46" applyNumberFormat="1" applyFont="1" applyBorder="1" applyAlignment="1">
      <alignment vertical="center"/>
    </xf>
    <xf numFmtId="3" fontId="43" fillId="0" borderId="105" xfId="46" applyNumberFormat="1" applyFont="1" applyFill="1" applyBorder="1" applyAlignment="1">
      <alignment vertical="center"/>
    </xf>
    <xf numFmtId="0" fontId="12" fillId="0" borderId="24" xfId="0" applyFont="1" applyBorder="1" applyAlignment="1">
      <alignment vertical="center"/>
    </xf>
    <xf numFmtId="3" fontId="43" fillId="0" borderId="104" xfId="46" applyNumberFormat="1" applyFont="1" applyFill="1" applyBorder="1" applyAlignment="1">
      <alignment vertical="center"/>
    </xf>
    <xf numFmtId="0" fontId="12" fillId="0" borderId="73" xfId="0" applyFont="1" applyBorder="1" applyAlignment="1">
      <alignment vertical="center"/>
    </xf>
    <xf numFmtId="3" fontId="7" fillId="0" borderId="22" xfId="0" applyNumberFormat="1" applyFont="1" applyBorder="1" applyAlignment="1">
      <alignment vertical="center"/>
    </xf>
    <xf numFmtId="0" fontId="12" fillId="0" borderId="31" xfId="0" applyFont="1" applyBorder="1" applyAlignment="1">
      <alignment vertical="center"/>
    </xf>
    <xf numFmtId="3" fontId="97" fillId="0" borderId="71" xfId="0" applyNumberFormat="1" applyFont="1" applyBorder="1" applyAlignment="1">
      <alignment vertical="center" wrapText="1"/>
    </xf>
    <xf numFmtId="3" fontId="7" fillId="0" borderId="82" xfId="46" applyNumberFormat="1" applyFont="1" applyBorder="1" applyAlignment="1">
      <alignment vertical="center"/>
    </xf>
    <xf numFmtId="3" fontId="97" fillId="0" borderId="61" xfId="0" applyNumberFormat="1" applyFont="1" applyBorder="1" applyAlignment="1">
      <alignment vertical="center"/>
    </xf>
    <xf numFmtId="0" fontId="98" fillId="0" borderId="30" xfId="46" applyFont="1" applyBorder="1" applyAlignment="1">
      <alignment horizontal="left" vertical="center"/>
    </xf>
    <xf numFmtId="3" fontId="60" fillId="0" borderId="24" xfId="46" applyNumberFormat="1" applyFont="1" applyBorder="1" applyAlignment="1">
      <alignment vertical="center"/>
    </xf>
    <xf numFmtId="3" fontId="60" fillId="0" borderId="58" xfId="46" applyNumberFormat="1" applyFont="1" applyBorder="1" applyAlignment="1">
      <alignment vertical="center"/>
    </xf>
    <xf numFmtId="43" fontId="21" fillId="0" borderId="104" xfId="52" applyFont="1" applyFill="1" applyBorder="1" applyAlignment="1">
      <alignment vertical="center"/>
    </xf>
    <xf numFmtId="43" fontId="21" fillId="0" borderId="73" xfId="52" applyFont="1" applyFill="1" applyBorder="1" applyAlignment="1">
      <alignment vertical="center"/>
    </xf>
    <xf numFmtId="3" fontId="12" fillId="0" borderId="98" xfId="52" applyNumberFormat="1" applyFont="1" applyFill="1" applyBorder="1" applyAlignment="1">
      <alignment vertical="center"/>
    </xf>
    <xf numFmtId="3" fontId="12" fillId="0" borderId="50" xfId="52" applyNumberFormat="1" applyFont="1" applyFill="1" applyBorder="1" applyAlignment="1">
      <alignment vertical="center"/>
    </xf>
    <xf numFmtId="43" fontId="12" fillId="0" borderId="61" xfId="52" applyFont="1" applyFill="1" applyBorder="1" applyAlignment="1">
      <alignment vertical="center"/>
    </xf>
    <xf numFmtId="43" fontId="12" fillId="0" borderId="85" xfId="52" applyFont="1" applyFill="1" applyBorder="1" applyAlignment="1">
      <alignment vertical="center"/>
    </xf>
    <xf numFmtId="43" fontId="12" fillId="0" borderId="45" xfId="52" applyFont="1" applyFill="1" applyBorder="1" applyAlignment="1">
      <alignment vertical="center"/>
    </xf>
    <xf numFmtId="43" fontId="96" fillId="0" borderId="61" xfId="52" applyFont="1" applyFill="1" applyBorder="1" applyAlignment="1">
      <alignment vertical="center"/>
    </xf>
    <xf numFmtId="43" fontId="96" fillId="0" borderId="104" xfId="52" applyFont="1" applyFill="1" applyBorder="1" applyAlignment="1">
      <alignment vertical="center"/>
    </xf>
    <xf numFmtId="3" fontId="100" fillId="0" borderId="61" xfId="0" applyNumberFormat="1" applyFont="1" applyBorder="1" applyAlignment="1">
      <alignment vertical="center"/>
    </xf>
    <xf numFmtId="3" fontId="43" fillId="0" borderId="104" xfId="0" applyNumberFormat="1" applyFont="1" applyBorder="1" applyAlignment="1">
      <alignment vertical="center"/>
    </xf>
    <xf numFmtId="3" fontId="100" fillId="0" borderId="104" xfId="0" applyNumberFormat="1" applyFont="1" applyBorder="1" applyAlignment="1">
      <alignment vertical="center"/>
    </xf>
    <xf numFmtId="0" fontId="43" fillId="0" borderId="73" xfId="0" applyFont="1" applyBorder="1" applyAlignment="1">
      <alignment vertical="center"/>
    </xf>
    <xf numFmtId="3" fontId="43" fillId="0" borderId="61" xfId="0" applyNumberFormat="1" applyFont="1" applyBorder="1" applyAlignment="1">
      <alignment vertical="center"/>
    </xf>
    <xf numFmtId="0" fontId="12" fillId="0" borderId="72" xfId="52" applyNumberFormat="1" applyFont="1" applyFill="1" applyBorder="1" applyAlignment="1">
      <alignment vertical="center"/>
    </xf>
    <xf numFmtId="43" fontId="12" fillId="0" borderId="82" xfId="52" applyFont="1" applyFill="1" applyBorder="1" applyAlignment="1">
      <alignment vertical="center"/>
    </xf>
    <xf numFmtId="43" fontId="12" fillId="0" borderId="13" xfId="52" applyFont="1" applyFill="1" applyBorder="1" applyAlignment="1">
      <alignment vertical="center"/>
    </xf>
    <xf numFmtId="0" fontId="53" fillId="0" borderId="25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 wrapText="1"/>
    </xf>
    <xf numFmtId="0" fontId="5" fillId="0" borderId="48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39" xfId="0" applyFont="1" applyBorder="1"/>
    <xf numFmtId="3" fontId="5" fillId="0" borderId="35" xfId="0" applyNumberFormat="1" applyFont="1" applyBorder="1"/>
    <xf numFmtId="0" fontId="15" fillId="0" borderId="30" xfId="0" applyFont="1" applyBorder="1" applyAlignment="1">
      <alignment vertical="center" wrapText="1"/>
    </xf>
    <xf numFmtId="3" fontId="15" fillId="0" borderId="24" xfId="0" applyNumberFormat="1" applyFont="1" applyBorder="1" applyAlignment="1"/>
    <xf numFmtId="3" fontId="15" fillId="0" borderId="24" xfId="0" applyNumberFormat="1" applyFont="1" applyBorder="1"/>
    <xf numFmtId="0" fontId="5" fillId="0" borderId="27" xfId="0" applyFont="1" applyBorder="1"/>
    <xf numFmtId="3" fontId="5" fillId="0" borderId="41" xfId="0" applyNumberFormat="1" applyFont="1" applyBorder="1" applyAlignment="1"/>
    <xf numFmtId="3" fontId="5" fillId="0" borderId="42" xfId="0" applyNumberFormat="1" applyFont="1" applyBorder="1" applyAlignment="1"/>
    <xf numFmtId="3" fontId="5" fillId="0" borderId="77" xfId="0" applyNumberFormat="1" applyFont="1" applyBorder="1"/>
    <xf numFmtId="3" fontId="5" fillId="0" borderId="41" xfId="0" applyNumberFormat="1" applyFont="1" applyBorder="1"/>
    <xf numFmtId="0" fontId="57" fillId="0" borderId="20" xfId="0" applyFont="1" applyBorder="1"/>
    <xf numFmtId="3" fontId="22" fillId="0" borderId="13" xfId="0" applyNumberFormat="1" applyFont="1" applyBorder="1"/>
    <xf numFmtId="3" fontId="22" fillId="0" borderId="28" xfId="0" applyNumberFormat="1" applyFont="1" applyBorder="1"/>
    <xf numFmtId="3" fontId="22" fillId="0" borderId="76" xfId="0" applyNumberFormat="1" applyFont="1" applyBorder="1"/>
    <xf numFmtId="3" fontId="22" fillId="0" borderId="43" xfId="0" applyNumberFormat="1" applyFont="1" applyBorder="1"/>
    <xf numFmtId="0" fontId="0" fillId="0" borderId="39" xfId="0" applyBorder="1" applyAlignment="1">
      <alignment vertical="center"/>
    </xf>
    <xf numFmtId="3" fontId="0" fillId="0" borderId="35" xfId="0" applyNumberFormat="1" applyBorder="1" applyAlignment="1">
      <alignment horizontal="right"/>
    </xf>
    <xf numFmtId="3" fontId="0" fillId="0" borderId="35" xfId="0" applyNumberFormat="1" applyFont="1" applyBorder="1" applyAlignment="1"/>
    <xf numFmtId="3" fontId="5" fillId="0" borderId="35" xfId="0" applyNumberFormat="1" applyFont="1" applyBorder="1" applyAlignment="1"/>
    <xf numFmtId="0" fontId="0" fillId="0" borderId="30" xfId="0" applyBorder="1"/>
    <xf numFmtId="0" fontId="0" fillId="0" borderId="24" xfId="0" applyBorder="1"/>
    <xf numFmtId="0" fontId="7" fillId="0" borderId="105" xfId="0" applyFont="1" applyBorder="1"/>
    <xf numFmtId="0" fontId="7" fillId="0" borderId="87" xfId="0" applyFont="1" applyBorder="1"/>
    <xf numFmtId="0" fontId="7" fillId="0" borderId="69" xfId="0" applyFont="1" applyBorder="1"/>
    <xf numFmtId="0" fontId="78" fillId="0" borderId="20" xfId="0" applyFont="1" applyBorder="1" applyAlignment="1">
      <alignment wrapText="1"/>
    </xf>
    <xf numFmtId="3" fontId="15" fillId="0" borderId="28" xfId="0" applyNumberFormat="1" applyFont="1" applyBorder="1"/>
    <xf numFmtId="0" fontId="5" fillId="0" borderId="10" xfId="0" applyFont="1" applyBorder="1"/>
    <xf numFmtId="0" fontId="15" fillId="0" borderId="103" xfId="0" applyFont="1" applyBorder="1" applyAlignment="1">
      <alignment wrapText="1"/>
    </xf>
    <xf numFmtId="3" fontId="15" fillId="0" borderId="105" xfId="0" applyNumberFormat="1" applyFont="1" applyBorder="1"/>
    <xf numFmtId="0" fontId="15" fillId="0" borderId="20" xfId="0" applyFont="1" applyBorder="1" applyAlignment="1">
      <alignment wrapText="1"/>
    </xf>
    <xf numFmtId="0" fontId="15" fillId="0" borderId="39" xfId="0" applyFont="1" applyBorder="1" applyAlignment="1">
      <alignment wrapText="1"/>
    </xf>
    <xf numFmtId="3" fontId="0" fillId="0" borderId="35" xfId="0" applyNumberFormat="1" applyBorder="1"/>
    <xf numFmtId="3" fontId="0" fillId="0" borderId="35" xfId="0" applyNumberFormat="1" applyFill="1" applyBorder="1"/>
    <xf numFmtId="3" fontId="15" fillId="0" borderId="35" xfId="0" applyNumberFormat="1" applyFont="1" applyFill="1" applyBorder="1"/>
    <xf numFmtId="0" fontId="15" fillId="0" borderId="30" xfId="0" applyFont="1" applyBorder="1" applyAlignment="1">
      <alignment wrapText="1"/>
    </xf>
    <xf numFmtId="3" fontId="15" fillId="0" borderId="105" xfId="0" applyNumberFormat="1" applyFont="1" applyFill="1" applyBorder="1"/>
    <xf numFmtId="4" fontId="5" fillId="0" borderId="40" xfId="0" applyNumberFormat="1" applyFont="1" applyBorder="1"/>
    <xf numFmtId="4" fontId="15" fillId="0" borderId="88" xfId="0" applyNumberFormat="1" applyFont="1" applyBorder="1"/>
    <xf numFmtId="4" fontId="15" fillId="0" borderId="31" xfId="0" applyNumberFormat="1" applyFont="1" applyBorder="1"/>
    <xf numFmtId="4" fontId="5" fillId="0" borderId="42" xfId="0" applyNumberFormat="1" applyFont="1" applyBorder="1"/>
    <xf numFmtId="4" fontId="15" fillId="0" borderId="88" xfId="0" applyNumberFormat="1" applyFont="1" applyFill="1" applyBorder="1"/>
    <xf numFmtId="4" fontId="0" fillId="0" borderId="31" xfId="0" applyNumberFormat="1" applyBorder="1"/>
    <xf numFmtId="4" fontId="22" fillId="0" borderId="46" xfId="0" applyNumberFormat="1" applyFont="1" applyBorder="1"/>
    <xf numFmtId="4" fontId="7" fillId="0" borderId="33" xfId="0" applyNumberFormat="1" applyFont="1" applyBorder="1"/>
    <xf numFmtId="4" fontId="5" fillId="0" borderId="16" xfId="0" applyNumberFormat="1" applyFont="1" applyBorder="1"/>
    <xf numFmtId="4" fontId="15" fillId="0" borderId="40" xfId="0" applyNumberFormat="1" applyFont="1" applyBorder="1"/>
    <xf numFmtId="4" fontId="15" fillId="0" borderId="87" xfId="0" applyNumberFormat="1" applyFont="1" applyBorder="1"/>
    <xf numFmtId="4" fontId="15" fillId="0" borderId="28" xfId="0" applyNumberFormat="1" applyFont="1" applyBorder="1"/>
    <xf numFmtId="4" fontId="15" fillId="0" borderId="46" xfId="0" applyNumberFormat="1" applyFont="1" applyBorder="1"/>
    <xf numFmtId="4" fontId="15" fillId="0" borderId="42" xfId="0" applyNumberFormat="1" applyFont="1" applyBorder="1"/>
    <xf numFmtId="4" fontId="15" fillId="0" borderId="87" xfId="0" applyNumberFormat="1" applyFont="1" applyFill="1" applyBorder="1"/>
    <xf numFmtId="4" fontId="0" fillId="0" borderId="40" xfId="0" applyNumberFormat="1" applyBorder="1"/>
    <xf numFmtId="4" fontId="0" fillId="0" borderId="28" xfId="0" applyNumberFormat="1" applyBorder="1"/>
    <xf numFmtId="4" fontId="5" fillId="0" borderId="33" xfId="0" applyNumberFormat="1" applyFont="1" applyBorder="1"/>
    <xf numFmtId="3" fontId="0" fillId="0" borderId="85" xfId="0" applyNumberFormat="1" applyFont="1" applyBorder="1"/>
    <xf numFmtId="4" fontId="0" fillId="0" borderId="88" xfId="0" applyNumberFormat="1" applyFont="1" applyBorder="1"/>
    <xf numFmtId="4" fontId="60" fillId="0" borderId="40" xfId="0" applyNumberFormat="1" applyFont="1" applyBorder="1" applyAlignment="1">
      <alignment vertical="center"/>
    </xf>
    <xf numFmtId="4" fontId="7" fillId="0" borderId="40" xfId="0" applyNumberFormat="1" applyFont="1" applyBorder="1" applyAlignment="1">
      <alignment horizontal="right" vertical="center" wrapText="1"/>
    </xf>
    <xf numFmtId="4" fontId="97" fillId="0" borderId="40" xfId="0" applyNumberFormat="1" applyFont="1" applyBorder="1" applyAlignment="1">
      <alignment vertical="center" wrapText="1"/>
    </xf>
    <xf numFmtId="4" fontId="99" fillId="0" borderId="88" xfId="46" applyNumberFormat="1" applyFont="1" applyBorder="1" applyAlignment="1">
      <alignment vertical="center"/>
    </xf>
    <xf numFmtId="4" fontId="97" fillId="0" borderId="88" xfId="46" applyNumberFormat="1" applyFont="1" applyBorder="1" applyAlignment="1">
      <alignment vertical="center"/>
    </xf>
    <xf numFmtId="4" fontId="43" fillId="0" borderId="88" xfId="46" applyNumberFormat="1" applyFont="1" applyBorder="1" applyAlignment="1">
      <alignment vertical="center"/>
    </xf>
    <xf numFmtId="4" fontId="43" fillId="0" borderId="87" xfId="46" applyNumberFormat="1" applyFont="1" applyBorder="1" applyAlignment="1">
      <alignment vertical="center"/>
    </xf>
    <xf numFmtId="4" fontId="7" fillId="0" borderId="16" xfId="0" applyNumberFormat="1" applyFont="1" applyBorder="1" applyAlignment="1">
      <alignment vertical="center"/>
    </xf>
    <xf numFmtId="4" fontId="7" fillId="0" borderId="28" xfId="46" applyNumberFormat="1" applyFont="1" applyBorder="1" applyAlignment="1">
      <alignment vertical="center"/>
    </xf>
    <xf numFmtId="4" fontId="43" fillId="0" borderId="88" xfId="46" applyNumberFormat="1" applyFont="1" applyFill="1" applyBorder="1" applyAlignment="1">
      <alignment vertical="center"/>
    </xf>
    <xf numFmtId="4" fontId="97" fillId="0" borderId="88" xfId="0" applyNumberFormat="1" applyFont="1" applyBorder="1" applyAlignment="1">
      <alignment vertical="center"/>
    </xf>
    <xf numFmtId="4" fontId="43" fillId="0" borderId="87" xfId="46" applyNumberFormat="1" applyFont="1" applyFill="1" applyBorder="1" applyAlignment="1">
      <alignment vertical="center"/>
    </xf>
    <xf numFmtId="4" fontId="12" fillId="0" borderId="31" xfId="0" applyNumberFormat="1" applyFont="1" applyBorder="1" applyAlignment="1">
      <alignment vertical="center"/>
    </xf>
    <xf numFmtId="4" fontId="7" fillId="0" borderId="46" xfId="0" applyNumberFormat="1" applyFont="1" applyBorder="1" applyAlignment="1">
      <alignment vertical="center"/>
    </xf>
    <xf numFmtId="4" fontId="43" fillId="0" borderId="80" xfId="0" applyNumberFormat="1" applyFont="1" applyBorder="1" applyAlignment="1">
      <alignment vertical="center"/>
    </xf>
    <xf numFmtId="4" fontId="7" fillId="0" borderId="78" xfId="52" applyNumberFormat="1" applyFont="1" applyFill="1" applyBorder="1" applyAlignment="1">
      <alignment vertical="center"/>
    </xf>
    <xf numFmtId="4" fontId="7" fillId="0" borderId="17" xfId="52" applyNumberFormat="1" applyFont="1" applyFill="1" applyBorder="1" applyAlignment="1">
      <alignment vertical="center"/>
    </xf>
    <xf numFmtId="4" fontId="100" fillId="0" borderId="52" xfId="52" applyNumberFormat="1" applyFont="1" applyFill="1" applyBorder="1" applyAlignment="1">
      <alignment vertical="center"/>
    </xf>
    <xf numFmtId="4" fontId="21" fillId="0" borderId="74" xfId="52" applyNumberFormat="1" applyFont="1" applyFill="1" applyBorder="1" applyAlignment="1">
      <alignment vertical="center"/>
    </xf>
    <xf numFmtId="4" fontId="12" fillId="0" borderId="16" xfId="52" applyNumberFormat="1" applyFont="1" applyFill="1" applyBorder="1" applyAlignment="1">
      <alignment vertical="center"/>
    </xf>
    <xf numFmtId="4" fontId="12" fillId="0" borderId="42" xfId="52" applyNumberFormat="1" applyFont="1" applyFill="1" applyBorder="1" applyAlignment="1">
      <alignment vertical="center"/>
    </xf>
    <xf numFmtId="4" fontId="12" fillId="0" borderId="87" xfId="52" applyNumberFormat="1" applyFont="1" applyFill="1" applyBorder="1" applyAlignment="1">
      <alignment vertical="center"/>
    </xf>
    <xf numFmtId="4" fontId="21" fillId="0" borderId="16" xfId="0" applyNumberFormat="1" applyFont="1" applyBorder="1" applyAlignment="1">
      <alignment vertical="center"/>
    </xf>
    <xf numFmtId="4" fontId="21" fillId="0" borderId="88" xfId="0" applyNumberFormat="1" applyFont="1" applyBorder="1" applyAlignment="1">
      <alignment vertical="center"/>
    </xf>
    <xf numFmtId="4" fontId="12" fillId="0" borderId="87" xfId="0" applyNumberFormat="1" applyFont="1" applyBorder="1" applyAlignment="1">
      <alignment vertical="center"/>
    </xf>
    <xf numFmtId="4" fontId="21" fillId="0" borderId="87" xfId="0" applyNumberFormat="1" applyFont="1" applyBorder="1" applyAlignment="1">
      <alignment vertical="center"/>
    </xf>
    <xf numFmtId="4" fontId="12" fillId="0" borderId="88" xfId="0" applyNumberFormat="1" applyFont="1" applyBorder="1" applyAlignment="1">
      <alignment vertical="center"/>
    </xf>
    <xf numFmtId="4" fontId="21" fillId="0" borderId="16" xfId="52" applyNumberFormat="1" applyFont="1" applyFill="1" applyBorder="1" applyAlignment="1">
      <alignment vertical="center"/>
    </xf>
    <xf numFmtId="4" fontId="21" fillId="0" borderId="42" xfId="52" applyNumberFormat="1" applyFont="1" applyFill="1" applyBorder="1" applyAlignment="1">
      <alignment vertical="center"/>
    </xf>
    <xf numFmtId="2" fontId="43" fillId="0" borderId="28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7" fillId="0" borderId="70" xfId="0" applyFont="1" applyBorder="1" applyAlignment="1">
      <alignment horizontal="center" vertical="center" wrapText="1"/>
    </xf>
    <xf numFmtId="2" fontId="12" fillId="0" borderId="40" xfId="0" applyNumberFormat="1" applyFont="1" applyBorder="1" applyAlignment="1">
      <alignment horizontal="right" vertical="center" wrapText="1"/>
    </xf>
    <xf numFmtId="2" fontId="43" fillId="0" borderId="88" xfId="0" applyNumberFormat="1" applyFont="1" applyBorder="1" applyAlignment="1">
      <alignment vertical="center"/>
    </xf>
    <xf numFmtId="3" fontId="43" fillId="0" borderId="105" xfId="0" applyNumberFormat="1" applyFont="1" applyBorder="1" applyAlignment="1">
      <alignment vertical="center"/>
    </xf>
    <xf numFmtId="2" fontId="43" fillId="0" borderId="87" xfId="0" applyNumberFormat="1" applyFont="1" applyBorder="1" applyAlignment="1">
      <alignment vertical="center"/>
    </xf>
    <xf numFmtId="164" fontId="45" fillId="0" borderId="45" xfId="0" applyNumberFormat="1" applyFont="1" applyBorder="1" applyAlignment="1" applyProtection="1">
      <alignment horizontal="right" vertical="center" wrapText="1" indent="1"/>
      <protection locked="0"/>
    </xf>
    <xf numFmtId="2" fontId="45" fillId="0" borderId="16" xfId="0" applyNumberFormat="1" applyFont="1" applyBorder="1" applyAlignment="1" applyProtection="1">
      <alignment horizontal="right" vertical="center" wrapText="1" indent="1"/>
      <protection locked="0"/>
    </xf>
    <xf numFmtId="0" fontId="45" fillId="0" borderId="0" xfId="0" applyFont="1" applyAlignment="1">
      <alignment horizontal="left" vertical="center" wrapText="1"/>
    </xf>
    <xf numFmtId="0" fontId="45" fillId="0" borderId="0" xfId="0" applyFont="1" applyAlignment="1">
      <alignment horizontal="right" vertical="center" wrapText="1" indent="1"/>
    </xf>
    <xf numFmtId="2" fontId="45" fillId="0" borderId="0" xfId="0" applyNumberFormat="1" applyFont="1" applyAlignment="1">
      <alignment horizontal="right" vertical="center" wrapText="1" indent="1"/>
    </xf>
    <xf numFmtId="0" fontId="46" fillId="0" borderId="37" xfId="0" applyFont="1" applyBorder="1" applyAlignment="1">
      <alignment horizontal="left" vertical="center"/>
    </xf>
    <xf numFmtId="0" fontId="46" fillId="0" borderId="10" xfId="0" applyFont="1" applyBorder="1" applyAlignment="1">
      <alignment vertical="center" wrapText="1"/>
    </xf>
    <xf numFmtId="3" fontId="46" fillId="0" borderId="15" xfId="0" applyNumberFormat="1" applyFont="1" applyBorder="1" applyAlignment="1" applyProtection="1">
      <alignment horizontal="right" vertical="center" wrapText="1" indent="1"/>
      <protection locked="0"/>
    </xf>
    <xf numFmtId="3" fontId="46" fillId="0" borderId="44" xfId="0" applyNumberFormat="1" applyFont="1" applyBorder="1" applyAlignment="1" applyProtection="1">
      <alignment horizontal="right" vertical="center" wrapText="1" indent="1"/>
      <protection locked="0"/>
    </xf>
    <xf numFmtId="3" fontId="46" fillId="0" borderId="33" xfId="0" applyNumberFormat="1" applyFont="1" applyBorder="1" applyAlignment="1" applyProtection="1">
      <alignment horizontal="right" vertical="center" wrapText="1" indent="1"/>
      <protection locked="0"/>
    </xf>
    <xf numFmtId="3" fontId="46" fillId="0" borderId="37" xfId="0" applyNumberFormat="1" applyFont="1" applyBorder="1" applyAlignment="1" applyProtection="1">
      <alignment horizontal="right" vertical="center" wrapText="1" indent="1"/>
      <protection locked="0"/>
    </xf>
    <xf numFmtId="3" fontId="46" fillId="0" borderId="45" xfId="0" applyNumberFormat="1" applyFont="1" applyBorder="1" applyAlignment="1" applyProtection="1">
      <alignment horizontal="right" vertical="center" wrapText="1" indent="1"/>
      <protection locked="0"/>
    </xf>
    <xf numFmtId="0" fontId="46" fillId="0" borderId="10" xfId="0" applyFont="1" applyBorder="1" applyAlignment="1">
      <alignment horizontal="left" vertical="center"/>
    </xf>
    <xf numFmtId="0" fontId="46" fillId="0" borderId="44" xfId="0" applyFont="1" applyBorder="1" applyAlignment="1">
      <alignment vertical="center" wrapText="1"/>
    </xf>
    <xf numFmtId="0" fontId="45" fillId="0" borderId="0" xfId="0" applyFont="1" applyAlignment="1">
      <alignment horizontal="right" vertical="center" wrapText="1"/>
    </xf>
    <xf numFmtId="0" fontId="88" fillId="0" borderId="44" xfId="0" applyFont="1" applyBorder="1" applyAlignment="1">
      <alignment horizontal="left" wrapText="1" indent="1"/>
    </xf>
    <xf numFmtId="164" fontId="49" fillId="0" borderId="61" xfId="47" applyNumberFormat="1" applyFont="1" applyBorder="1" applyAlignment="1">
      <alignment horizontal="right" vertical="center" wrapText="1" indent="1"/>
    </xf>
    <xf numFmtId="2" fontId="49" fillId="0" borderId="88" xfId="47" applyNumberFormat="1" applyFont="1" applyBorder="1" applyAlignment="1">
      <alignment horizontal="right" vertical="center" wrapText="1" indent="1"/>
    </xf>
    <xf numFmtId="164" fontId="50" fillId="0" borderId="44" xfId="0" applyNumberFormat="1" applyFont="1" applyBorder="1" applyAlignment="1">
      <alignment horizontal="left" vertical="center" wrapText="1" indent="1"/>
    </xf>
    <xf numFmtId="164" fontId="79" fillId="0" borderId="77" xfId="0" applyNumberFormat="1" applyFont="1" applyBorder="1" applyAlignment="1">
      <alignment horizontal="right" vertical="center" wrapText="1" indent="1"/>
    </xf>
    <xf numFmtId="4" fontId="79" fillId="0" borderId="42" xfId="0" applyNumberFormat="1" applyFont="1" applyBorder="1" applyAlignment="1">
      <alignment horizontal="right" vertical="center" wrapText="1" indent="1"/>
    </xf>
    <xf numFmtId="4" fontId="79" fillId="0" borderId="88" xfId="0" applyNumberFormat="1" applyFont="1" applyBorder="1" applyAlignment="1">
      <alignment horizontal="right" vertical="center" wrapText="1" indent="1"/>
    </xf>
    <xf numFmtId="164" fontId="46" fillId="0" borderId="15" xfId="0" applyNumberFormat="1" applyFont="1" applyBorder="1" applyAlignment="1">
      <alignment horizontal="right" vertical="center" wrapText="1"/>
    </xf>
    <xf numFmtId="164" fontId="49" fillId="0" borderId="90" xfId="47" applyNumberFormat="1" applyFont="1" applyBorder="1" applyAlignment="1">
      <alignment horizontal="right" vertical="center" wrapText="1"/>
    </xf>
    <xf numFmtId="164" fontId="49" fillId="0" borderId="61" xfId="47" applyNumberFormat="1" applyFont="1" applyBorder="1" applyAlignment="1">
      <alignment horizontal="right" vertical="center" wrapText="1"/>
    </xf>
    <xf numFmtId="2" fontId="49" fillId="0" borderId="88" xfId="47" applyNumberFormat="1" applyFont="1" applyBorder="1" applyAlignment="1">
      <alignment horizontal="right" vertical="center" wrapText="1"/>
    </xf>
    <xf numFmtId="0" fontId="8" fillId="0" borderId="0" xfId="0" applyFont="1" applyFill="1" applyAlignment="1">
      <alignment horizontal="right" vertical="center" indent="1"/>
    </xf>
    <xf numFmtId="0" fontId="8" fillId="0" borderId="38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64" fontId="16" fillId="0" borderId="44" xfId="47" applyNumberFormat="1" applyFont="1" applyFill="1" applyBorder="1" applyAlignment="1">
      <alignment horizontal="right" vertical="center" wrapText="1" indent="1"/>
    </xf>
    <xf numFmtId="164" fontId="44" fillId="0" borderId="13" xfId="47" applyNumberFormat="1" applyFont="1" applyFill="1" applyBorder="1" applyAlignment="1" applyProtection="1">
      <alignment horizontal="right" vertical="center" wrapText="1" indent="1"/>
      <protection locked="0"/>
    </xf>
    <xf numFmtId="164" fontId="44" fillId="0" borderId="85" xfId="47" applyNumberFormat="1" applyFont="1" applyFill="1" applyBorder="1" applyAlignment="1" applyProtection="1">
      <alignment horizontal="right" vertical="center" wrapText="1" indent="1"/>
      <protection locked="0"/>
    </xf>
    <xf numFmtId="164" fontId="44" fillId="0" borderId="86" xfId="47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92" xfId="47" applyNumberFormat="1" applyFont="1" applyFill="1" applyBorder="1" applyAlignment="1">
      <alignment horizontal="right" vertical="center" wrapText="1" indent="1"/>
    </xf>
    <xf numFmtId="164" fontId="46" fillId="0" borderId="44" xfId="47" applyNumberFormat="1" applyFont="1" applyFill="1" applyBorder="1" applyAlignment="1">
      <alignment horizontal="right" vertical="center" wrapText="1" indent="1"/>
    </xf>
    <xf numFmtId="164" fontId="44" fillId="0" borderId="13" xfId="47" applyNumberFormat="1" applyFont="1" applyFill="1" applyBorder="1" applyAlignment="1">
      <alignment horizontal="right" vertical="center" wrapText="1" indent="1"/>
    </xf>
    <xf numFmtId="164" fontId="45" fillId="0" borderId="13" xfId="47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85" xfId="47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86" xfId="47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24" xfId="47" applyNumberFormat="1" applyFont="1" applyFill="1" applyBorder="1" applyAlignment="1" applyProtection="1">
      <alignment horizontal="right" vertical="center" wrapText="1" indent="1"/>
      <protection locked="0"/>
    </xf>
    <xf numFmtId="164" fontId="16" fillId="0" borderId="76" xfId="47" applyNumberFormat="1" applyFont="1" applyFill="1" applyBorder="1" applyAlignment="1">
      <alignment horizontal="right" vertical="center" wrapText="1" indent="1"/>
    </xf>
    <xf numFmtId="164" fontId="16" fillId="0" borderId="69" xfId="0" applyNumberFormat="1" applyFont="1" applyFill="1" applyBorder="1" applyAlignment="1">
      <alignment horizontal="right" vertical="center" wrapText="1" indent="1"/>
    </xf>
    <xf numFmtId="164" fontId="16" fillId="0" borderId="81" xfId="47" applyNumberFormat="1" applyFont="1" applyFill="1" applyBorder="1" applyAlignment="1">
      <alignment horizontal="right" vertical="center" wrapText="1" indent="1"/>
    </xf>
    <xf numFmtId="164" fontId="44" fillId="0" borderId="35" xfId="47" applyNumberFormat="1" applyFont="1" applyFill="1" applyBorder="1" applyAlignment="1" applyProtection="1">
      <alignment horizontal="right" vertical="center" wrapText="1" indent="1"/>
      <protection locked="0"/>
    </xf>
    <xf numFmtId="164" fontId="44" fillId="0" borderId="93" xfId="47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85" xfId="47" applyNumberFormat="1" applyFont="1" applyFill="1" applyBorder="1" applyAlignment="1">
      <alignment horizontal="right" vertical="center" wrapText="1" indent="1"/>
    </xf>
    <xf numFmtId="164" fontId="44" fillId="0" borderId="24" xfId="47" applyNumberFormat="1" applyFont="1" applyFill="1" applyBorder="1" applyAlignment="1" applyProtection="1">
      <alignment horizontal="right" vertical="center" wrapText="1" indent="1"/>
      <protection locked="0"/>
    </xf>
    <xf numFmtId="164" fontId="44" fillId="0" borderId="12" xfId="47" applyNumberFormat="1" applyFont="1" applyFill="1" applyBorder="1" applyAlignment="1" applyProtection="1">
      <alignment horizontal="right" vertical="center" wrapText="1" indent="1"/>
      <protection locked="0"/>
    </xf>
    <xf numFmtId="164" fontId="44" fillId="0" borderId="92" xfId="47" applyNumberFormat="1" applyFont="1" applyFill="1" applyBorder="1" applyAlignment="1" applyProtection="1">
      <alignment horizontal="right" vertical="center" wrapText="1" indent="1"/>
      <protection locked="0"/>
    </xf>
    <xf numFmtId="164" fontId="16" fillId="0" borderId="15" xfId="47" applyNumberFormat="1" applyFont="1" applyFill="1" applyBorder="1" applyAlignment="1">
      <alignment horizontal="right" vertical="center" wrapText="1" indent="1"/>
    </xf>
    <xf numFmtId="164" fontId="48" fillId="0" borderId="44" xfId="0" quotePrefix="1" applyNumberFormat="1" applyFont="1" applyFill="1" applyBorder="1" applyAlignment="1">
      <alignment horizontal="right" vertical="center" wrapText="1" indent="1"/>
    </xf>
    <xf numFmtId="0" fontId="3" fillId="0" borderId="0" xfId="0" applyFont="1" applyFill="1" applyAlignment="1">
      <alignment horizontal="right" vertical="center" wrapText="1" indent="1"/>
    </xf>
    <xf numFmtId="3" fontId="8" fillId="0" borderId="44" xfId="0" applyNumberFormat="1" applyFont="1" applyFill="1" applyBorder="1" applyAlignment="1" applyProtection="1">
      <alignment horizontal="right" vertical="center" wrapText="1" indent="1"/>
      <protection locked="0"/>
    </xf>
    <xf numFmtId="164" fontId="3" fillId="0" borderId="0" xfId="0" applyNumberFormat="1" applyFont="1" applyFill="1" applyAlignment="1">
      <alignment horizontal="right" vertical="center" wrapText="1" indent="1"/>
    </xf>
    <xf numFmtId="3" fontId="0" fillId="0" borderId="35" xfId="0" applyNumberFormat="1" applyFont="1" applyBorder="1"/>
    <xf numFmtId="4" fontId="0" fillId="0" borderId="40" xfId="0" applyNumberFormat="1" applyFont="1" applyBorder="1"/>
    <xf numFmtId="3" fontId="12" fillId="0" borderId="35" xfId="0" applyNumberFormat="1" applyFont="1" applyBorder="1" applyAlignment="1">
      <alignment horizontal="right" vertical="center" wrapText="1"/>
    </xf>
    <xf numFmtId="164" fontId="45" fillId="0" borderId="85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43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104" xfId="0" applyNumberFormat="1" applyFont="1" applyBorder="1" applyAlignment="1" applyProtection="1">
      <alignment horizontal="right" vertical="center" wrapText="1" indent="1"/>
      <protection locked="0"/>
    </xf>
    <xf numFmtId="2" fontId="45" fillId="0" borderId="87" xfId="0" applyNumberFormat="1" applyFont="1" applyBorder="1" applyAlignment="1" applyProtection="1">
      <alignment horizontal="right" vertical="center" wrapText="1" indent="1"/>
      <protection locked="0"/>
    </xf>
    <xf numFmtId="0" fontId="8" fillId="0" borderId="37" xfId="0" applyFont="1" applyBorder="1" applyAlignment="1">
      <alignment horizontal="center" vertical="center" wrapText="1"/>
    </xf>
    <xf numFmtId="4" fontId="60" fillId="0" borderId="88" xfId="0" applyNumberFormat="1" applyFont="1" applyBorder="1" applyAlignment="1">
      <alignment vertical="center"/>
    </xf>
    <xf numFmtId="4" fontId="61" fillId="0" borderId="88" xfId="0" applyNumberFormat="1" applyFont="1" applyBorder="1" applyAlignment="1">
      <alignment vertical="center"/>
    </xf>
    <xf numFmtId="4" fontId="61" fillId="0" borderId="31" xfId="0" applyNumberFormat="1" applyFont="1" applyBorder="1" applyAlignment="1">
      <alignment vertical="center"/>
    </xf>
    <xf numFmtId="4" fontId="7" fillId="0" borderId="46" xfId="0" applyNumberFormat="1" applyFont="1" applyBorder="1" applyAlignment="1">
      <alignment horizontal="right" vertical="center" wrapText="1"/>
    </xf>
    <xf numFmtId="169" fontId="65" fillId="0" borderId="28" xfId="0" applyNumberFormat="1" applyFont="1" applyBorder="1" applyAlignment="1" applyProtection="1">
      <alignment horizontal="right" vertical="center" wrapText="1"/>
      <protection locked="0"/>
    </xf>
    <xf numFmtId="169" fontId="65" fillId="0" borderId="88" xfId="0" applyNumberFormat="1" applyFont="1" applyBorder="1" applyAlignment="1" applyProtection="1">
      <alignment horizontal="right" vertical="center" wrapText="1"/>
      <protection locked="0"/>
    </xf>
    <xf numFmtId="169" fontId="65" fillId="0" borderId="42" xfId="0" applyNumberFormat="1" applyFont="1" applyBorder="1" applyAlignment="1" applyProtection="1">
      <alignment horizontal="right" vertical="center" wrapText="1"/>
      <protection locked="0"/>
    </xf>
    <xf numFmtId="169" fontId="23" fillId="0" borderId="16" xfId="0" applyNumberFormat="1" applyFont="1" applyBorder="1" applyAlignment="1">
      <alignment horizontal="right" vertical="center" wrapText="1"/>
    </xf>
    <xf numFmtId="169" fontId="79" fillId="0" borderId="28" xfId="0" applyNumberFormat="1" applyFont="1" applyBorder="1" applyAlignment="1">
      <alignment horizontal="right" vertical="center" wrapText="1"/>
    </xf>
    <xf numFmtId="169" fontId="79" fillId="0" borderId="88" xfId="0" applyNumberFormat="1" applyFont="1" applyBorder="1" applyAlignment="1" applyProtection="1">
      <alignment horizontal="right" vertical="center" wrapText="1"/>
      <protection locked="0"/>
    </xf>
    <xf numFmtId="169" fontId="111" fillId="0" borderId="88" xfId="0" applyNumberFormat="1" applyFont="1" applyBorder="1" applyAlignment="1">
      <alignment horizontal="right" vertical="center" wrapText="1"/>
    </xf>
    <xf numFmtId="169" fontId="79" fillId="0" borderId="31" xfId="0" applyNumberFormat="1" applyFont="1" applyBorder="1" applyAlignment="1" applyProtection="1">
      <alignment horizontal="right" vertical="center" wrapText="1"/>
      <protection locked="0"/>
    </xf>
    <xf numFmtId="2" fontId="16" fillId="0" borderId="48" xfId="47" applyNumberFormat="1" applyFont="1" applyBorder="1" applyAlignment="1">
      <alignment horizontal="right" vertical="center" wrapText="1" indent="1"/>
    </xf>
    <xf numFmtId="2" fontId="44" fillId="0" borderId="40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105" xfId="47" applyNumberFormat="1" applyFont="1" applyFill="1" applyBorder="1" applyAlignment="1" applyProtection="1">
      <alignment horizontal="right" vertical="center" wrapText="1" indent="1"/>
      <protection locked="0"/>
    </xf>
    <xf numFmtId="2" fontId="45" fillId="0" borderId="88" xfId="47" applyNumberFormat="1" applyFont="1" applyBorder="1" applyAlignment="1">
      <alignment horizontal="right" vertical="center" wrapText="1" indent="1"/>
    </xf>
    <xf numFmtId="0" fontId="44" fillId="0" borderId="105" xfId="47" applyFont="1" applyBorder="1" applyAlignment="1">
      <alignment horizontal="left" vertical="center" wrapText="1" indent="3"/>
    </xf>
    <xf numFmtId="0" fontId="44" fillId="0" borderId="105" xfId="47" applyFont="1" applyBorder="1" applyAlignment="1">
      <alignment horizontal="left" vertical="center" wrapText="1" indent="1"/>
    </xf>
    <xf numFmtId="0" fontId="47" fillId="0" borderId="105" xfId="0" applyFont="1" applyBorder="1" applyAlignment="1">
      <alignment horizontal="left" vertical="center" wrapText="1" indent="1"/>
    </xf>
    <xf numFmtId="2" fontId="50" fillId="0" borderId="16" xfId="0" quotePrefix="1" applyNumberFormat="1" applyFont="1" applyBorder="1" applyAlignment="1">
      <alignment horizontal="right" vertical="center" wrapText="1" indent="1"/>
    </xf>
    <xf numFmtId="3" fontId="8" fillId="0" borderId="15" xfId="0" applyNumberFormat="1" applyFont="1" applyFill="1" applyBorder="1" applyAlignment="1" applyProtection="1">
      <alignment horizontal="right" vertical="center" wrapText="1" indent="1"/>
      <protection locked="0"/>
    </xf>
    <xf numFmtId="164" fontId="65" fillId="0" borderId="13" xfId="0" applyNumberFormat="1" applyFont="1" applyBorder="1" applyAlignment="1" applyProtection="1">
      <alignment horizontal="right" vertical="center" wrapText="1"/>
      <protection locked="0"/>
    </xf>
    <xf numFmtId="164" fontId="65" fillId="0" borderId="85" xfId="0" applyNumberFormat="1" applyFont="1" applyBorder="1" applyAlignment="1" applyProtection="1">
      <alignment horizontal="right" vertical="center" wrapText="1"/>
      <protection locked="0"/>
    </xf>
    <xf numFmtId="164" fontId="65" fillId="0" borderId="41" xfId="0" applyNumberFormat="1" applyFont="1" applyBorder="1" applyAlignment="1" applyProtection="1">
      <alignment horizontal="right" vertical="center" wrapText="1"/>
      <protection locked="0"/>
    </xf>
    <xf numFmtId="164" fontId="23" fillId="0" borderId="15" xfId="0" applyNumberFormat="1" applyFont="1" applyBorder="1" applyAlignment="1">
      <alignment horizontal="right" vertical="center" wrapText="1"/>
    </xf>
    <xf numFmtId="164" fontId="79" fillId="0" borderId="13" xfId="0" applyNumberFormat="1" applyFont="1" applyBorder="1" applyAlignment="1">
      <alignment horizontal="right" vertical="center" wrapText="1"/>
    </xf>
    <xf numFmtId="164" fontId="79" fillId="0" borderId="85" xfId="0" applyNumberFormat="1" applyFont="1" applyBorder="1" applyAlignment="1" applyProtection="1">
      <alignment horizontal="right" vertical="center" wrapText="1"/>
      <protection locked="0"/>
    </xf>
    <xf numFmtId="164" fontId="111" fillId="0" borderId="85" xfId="0" applyNumberFormat="1" applyFont="1" applyBorder="1" applyAlignment="1">
      <alignment horizontal="right" vertical="center" wrapText="1"/>
    </xf>
    <xf numFmtId="164" fontId="79" fillId="0" borderId="24" xfId="0" applyNumberFormat="1" applyFont="1" applyBorder="1" applyAlignment="1" applyProtection="1">
      <alignment horizontal="right" vertical="center" wrapText="1"/>
      <protection locked="0"/>
    </xf>
    <xf numFmtId="164" fontId="50" fillId="0" borderId="15" xfId="0" applyNumberFormat="1" applyFont="1" applyBorder="1" applyAlignment="1">
      <alignment horizontal="right" vertical="center" wrapText="1" indent="2"/>
    </xf>
    <xf numFmtId="164" fontId="65" fillId="0" borderId="12" xfId="0" applyNumberFormat="1" applyFont="1" applyBorder="1" applyAlignment="1">
      <alignment horizontal="left" vertical="center" wrapText="1" indent="1"/>
    </xf>
    <xf numFmtId="164" fontId="65" fillId="0" borderId="92" xfId="0" applyNumberFormat="1" applyFont="1" applyBorder="1" applyAlignment="1">
      <alignment horizontal="left" vertical="center" wrapText="1" indent="1"/>
    </xf>
    <xf numFmtId="164" fontId="65" fillId="0" borderId="92" xfId="0" applyNumberFormat="1" applyFont="1" applyBorder="1" applyAlignment="1" applyProtection="1">
      <alignment horizontal="left" vertical="center" wrapText="1" indent="1"/>
      <protection locked="0"/>
    </xf>
    <xf numFmtId="164" fontId="23" fillId="0" borderId="44" xfId="0" applyNumberFormat="1" applyFont="1" applyBorder="1" applyAlignment="1">
      <alignment horizontal="left" vertical="center" wrapText="1" indent="1"/>
    </xf>
    <xf numFmtId="164" fontId="79" fillId="0" borderId="70" xfId="0" applyNumberFormat="1" applyFont="1" applyBorder="1" applyAlignment="1">
      <alignment horizontal="left" vertical="center" wrapText="1" indent="1"/>
    </xf>
    <xf numFmtId="0" fontId="65" fillId="0" borderId="12" xfId="47" applyFont="1" applyBorder="1" applyAlignment="1">
      <alignment horizontal="left" vertical="center" wrapText="1" indent="4"/>
    </xf>
    <xf numFmtId="0" fontId="51" fillId="0" borderId="92" xfId="0" applyFont="1" applyBorder="1" applyAlignment="1">
      <alignment horizontal="left" wrapText="1" indent="4"/>
    </xf>
    <xf numFmtId="164" fontId="79" fillId="0" borderId="92" xfId="0" applyNumberFormat="1" applyFont="1" applyBorder="1" applyAlignment="1">
      <alignment horizontal="left" vertical="center" wrapText="1" indent="1"/>
    </xf>
    <xf numFmtId="0" fontId="65" fillId="0" borderId="92" xfId="47" applyFont="1" applyBorder="1" applyAlignment="1">
      <alignment horizontal="left" vertical="center" wrapText="1" indent="4"/>
    </xf>
    <xf numFmtId="164" fontId="79" fillId="0" borderId="58" xfId="0" applyNumberFormat="1" applyFont="1" applyBorder="1" applyAlignment="1">
      <alignment vertical="center" wrapText="1"/>
    </xf>
    <xf numFmtId="164" fontId="65" fillId="0" borderId="105" xfId="0" applyNumberFormat="1" applyFont="1" applyBorder="1" applyAlignment="1" applyProtection="1">
      <alignment horizontal="right" vertical="center" wrapText="1" indent="1"/>
      <protection locked="0"/>
    </xf>
    <xf numFmtId="4" fontId="50" fillId="0" borderId="16" xfId="0" applyNumberFormat="1" applyFont="1" applyBorder="1" applyAlignment="1">
      <alignment horizontal="right" vertical="center" wrapText="1"/>
    </xf>
    <xf numFmtId="0" fontId="45" fillId="0" borderId="0" xfId="0" applyFont="1" applyFill="1" applyAlignment="1">
      <alignment vertical="center" wrapText="1"/>
    </xf>
    <xf numFmtId="3" fontId="46" fillId="0" borderId="15" xfId="0" applyNumberFormat="1" applyFont="1" applyFill="1" applyBorder="1" applyAlignment="1" applyProtection="1">
      <alignment horizontal="right" vertical="center" wrapText="1" indent="1"/>
      <protection locked="0"/>
    </xf>
    <xf numFmtId="3" fontId="15" fillId="21" borderId="0" xfId="0" applyNumberFormat="1" applyFont="1" applyFill="1" applyBorder="1"/>
    <xf numFmtId="164" fontId="45" fillId="0" borderId="85" xfId="47" applyNumberFormat="1" applyFont="1" applyFill="1" applyBorder="1" applyAlignment="1" applyProtection="1">
      <alignment horizontal="right" vertical="center" wrapText="1"/>
      <protection locked="0"/>
    </xf>
    <xf numFmtId="164" fontId="44" fillId="0" borderId="85" xfId="0" applyNumberFormat="1" applyFont="1" applyFill="1" applyBorder="1" applyAlignment="1" applyProtection="1">
      <alignment horizontal="right" vertical="center" wrapText="1" indent="1"/>
      <protection locked="0"/>
    </xf>
    <xf numFmtId="0" fontId="8" fillId="0" borderId="0" xfId="0" applyFont="1" applyAlignment="1">
      <alignment horizontal="center" vertical="center"/>
    </xf>
    <xf numFmtId="0" fontId="8" fillId="0" borderId="22" xfId="0" applyFont="1" applyBorder="1" applyAlignment="1">
      <alignment horizontal="right" vertical="center"/>
    </xf>
    <xf numFmtId="0" fontId="51" fillId="0" borderId="0" xfId="0" applyFont="1" applyAlignment="1" applyProtection="1">
      <alignment horizontal="right" vertical="top"/>
      <protection locked="0"/>
    </xf>
    <xf numFmtId="0" fontId="51" fillId="0" borderId="0" xfId="0" applyFont="1" applyAlignment="1" applyProtection="1">
      <alignment horizontal="right" vertical="center"/>
      <protection locked="0"/>
    </xf>
    <xf numFmtId="0" fontId="0" fillId="0" borderId="69" xfId="0" applyFont="1" applyBorder="1" applyAlignment="1">
      <alignment horizontal="right" vertical="center" wrapText="1"/>
    </xf>
    <xf numFmtId="0" fontId="42" fillId="0" borderId="22" xfId="0" applyFont="1" applyBorder="1" applyAlignment="1">
      <alignment horizontal="right" vertical="center"/>
    </xf>
    <xf numFmtId="0" fontId="46" fillId="0" borderId="0" xfId="47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164" fontId="108" fillId="0" borderId="69" xfId="0" applyNumberFormat="1" applyFont="1" applyBorder="1" applyAlignment="1">
      <alignment horizontal="center" vertical="center" wrapText="1"/>
    </xf>
    <xf numFmtId="164" fontId="42" fillId="0" borderId="22" xfId="0" applyNumberFormat="1" applyFont="1" applyBorder="1" applyAlignment="1">
      <alignment horizontal="right" vertical="center"/>
    </xf>
    <xf numFmtId="164" fontId="8" fillId="0" borderId="37" xfId="0" applyNumberFormat="1" applyFont="1" applyBorder="1" applyAlignment="1">
      <alignment horizontal="center" vertical="center" wrapText="1"/>
    </xf>
    <xf numFmtId="164" fontId="8" fillId="0" borderId="45" xfId="0" applyNumberFormat="1" applyFont="1" applyBorder="1" applyAlignment="1">
      <alignment horizontal="center" vertical="center" wrapText="1"/>
    </xf>
    <xf numFmtId="164" fontId="8" fillId="0" borderId="33" xfId="0" applyNumberFormat="1" applyFont="1" applyBorder="1" applyAlignment="1">
      <alignment horizontal="center" vertical="center" wrapText="1"/>
    </xf>
    <xf numFmtId="164" fontId="0" fillId="0" borderId="0" xfId="0" applyNumberFormat="1" applyAlignment="1">
      <alignment horizontal="right" textRotation="180" wrapText="1"/>
    </xf>
    <xf numFmtId="164" fontId="8" fillId="0" borderId="57" xfId="0" applyNumberFormat="1" applyFont="1" applyBorder="1" applyAlignment="1">
      <alignment horizontal="center" vertical="center" wrapText="1"/>
    </xf>
    <xf numFmtId="164" fontId="8" fillId="0" borderId="64" xfId="0" applyNumberFormat="1" applyFont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top" wrapText="1"/>
    </xf>
    <xf numFmtId="164" fontId="0" fillId="0" borderId="69" xfId="0" applyNumberFormat="1" applyBorder="1" applyAlignment="1">
      <alignment horizontal="right" vertical="center" wrapText="1"/>
    </xf>
    <xf numFmtId="164" fontId="0" fillId="0" borderId="0" xfId="0" applyNumberFormat="1" applyAlignment="1">
      <alignment horizontal="center" textRotation="180" wrapText="1"/>
    </xf>
    <xf numFmtId="164" fontId="8" fillId="0" borderId="34" xfId="0" applyNumberFormat="1" applyFont="1" applyBorder="1" applyAlignment="1">
      <alignment horizontal="center" vertical="center" wrapText="1"/>
    </xf>
    <xf numFmtId="164" fontId="8" fillId="0" borderId="36" xfId="0" applyNumberFormat="1" applyFont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0" fontId="55" fillId="0" borderId="22" xfId="0" applyFont="1" applyBorder="1" applyAlignment="1">
      <alignment horizontal="right" vertical="center" wrapText="1"/>
    </xf>
    <xf numFmtId="164" fontId="8" fillId="0" borderId="75" xfId="0" quotePrefix="1" applyNumberFormat="1" applyFont="1" applyBorder="1" applyAlignment="1">
      <alignment horizontal="right" vertical="center"/>
    </xf>
    <xf numFmtId="164" fontId="8" fillId="0" borderId="71" xfId="0" quotePrefix="1" applyNumberFormat="1" applyFont="1" applyBorder="1" applyAlignment="1">
      <alignment horizontal="right" vertical="center"/>
    </xf>
    <xf numFmtId="164" fontId="8" fillId="0" borderId="72" xfId="0" quotePrefix="1" applyNumberFormat="1" applyFont="1" applyBorder="1" applyAlignment="1">
      <alignment horizontal="right" vertical="center"/>
    </xf>
    <xf numFmtId="164" fontId="8" fillId="0" borderId="97" xfId="0" applyNumberFormat="1" applyFont="1" applyBorder="1" applyAlignment="1">
      <alignment horizontal="right" vertical="center" wrapText="1"/>
    </xf>
    <xf numFmtId="164" fontId="8" fillId="0" borderId="73" xfId="0" applyNumberFormat="1" applyFont="1" applyBorder="1" applyAlignment="1">
      <alignment horizontal="right" vertical="center" wrapText="1"/>
    </xf>
    <xf numFmtId="164" fontId="8" fillId="0" borderId="74" xfId="0" applyNumberFormat="1" applyFont="1" applyBorder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2" fillId="0" borderId="22" xfId="0" applyFont="1" applyBorder="1" applyAlignment="1">
      <alignment horizontal="right"/>
    </xf>
    <xf numFmtId="49" fontId="8" fillId="0" borderId="75" xfId="0" applyNumberFormat="1" applyFont="1" applyBorder="1" applyAlignment="1">
      <alignment horizontal="right" vertical="center"/>
    </xf>
    <xf numFmtId="49" fontId="8" fillId="0" borderId="71" xfId="0" applyNumberFormat="1" applyFont="1" applyBorder="1" applyAlignment="1">
      <alignment horizontal="right" vertical="center"/>
    </xf>
    <xf numFmtId="49" fontId="8" fillId="0" borderId="72" xfId="0" applyNumberFormat="1" applyFont="1" applyBorder="1" applyAlignment="1">
      <alignment horizontal="right" vertical="center"/>
    </xf>
    <xf numFmtId="49" fontId="8" fillId="0" borderId="97" xfId="0" applyNumberFormat="1" applyFont="1" applyBorder="1" applyAlignment="1">
      <alignment horizontal="right" vertical="center"/>
    </xf>
    <xf numFmtId="49" fontId="8" fillId="0" borderId="73" xfId="0" applyNumberFormat="1" applyFont="1" applyBorder="1" applyAlignment="1">
      <alignment horizontal="right" vertical="center"/>
    </xf>
    <xf numFmtId="49" fontId="8" fillId="0" borderId="74" xfId="0" applyNumberFormat="1" applyFont="1" applyBorder="1" applyAlignment="1">
      <alignment horizontal="right" vertical="center"/>
    </xf>
    <xf numFmtId="0" fontId="42" fillId="0" borderId="45" xfId="0" applyFont="1" applyBorder="1" applyAlignment="1">
      <alignment horizontal="right"/>
    </xf>
    <xf numFmtId="0" fontId="7" fillId="0" borderId="0" xfId="0" applyFont="1" applyAlignment="1">
      <alignment horizontal="center" vertical="center"/>
    </xf>
    <xf numFmtId="2" fontId="96" fillId="0" borderId="22" xfId="0" applyNumberFormat="1" applyFont="1" applyBorder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7" fillId="0" borderId="65" xfId="52" applyNumberFormat="1" applyFont="1" applyFill="1" applyBorder="1" applyAlignment="1" applyProtection="1">
      <alignment horizontal="left" vertical="center"/>
      <protection locked="0"/>
    </xf>
    <xf numFmtId="0" fontId="7" fillId="0" borderId="22" xfId="52" applyNumberFormat="1" applyFont="1" applyFill="1" applyBorder="1" applyAlignment="1" applyProtection="1">
      <alignment horizontal="left" vertical="center"/>
      <protection locked="0"/>
    </xf>
    <xf numFmtId="0" fontId="60" fillId="0" borderId="0" xfId="0" applyFont="1" applyAlignment="1" applyProtection="1">
      <alignment horizontal="right" vertical="center"/>
      <protection locked="0"/>
    </xf>
    <xf numFmtId="0" fontId="7" fillId="0" borderId="0" xfId="46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2" fontId="80" fillId="0" borderId="22" xfId="0" applyNumberFormat="1" applyFont="1" applyBorder="1" applyAlignment="1">
      <alignment horizontal="right" vertical="center"/>
    </xf>
    <xf numFmtId="3" fontId="21" fillId="0" borderId="96" xfId="52" applyNumberFormat="1" applyFont="1" applyFill="1" applyBorder="1" applyAlignment="1">
      <alignment horizontal="center" vertical="center"/>
    </xf>
    <xf numFmtId="3" fontId="21" fillId="0" borderId="22" xfId="52" applyNumberFormat="1" applyFont="1" applyFill="1" applyBorder="1" applyAlignment="1">
      <alignment horizontal="center" vertical="center"/>
    </xf>
    <xf numFmtId="3" fontId="21" fillId="0" borderId="78" xfId="52" applyNumberFormat="1" applyFont="1" applyFill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7" fillId="0" borderId="103" xfId="0" applyFont="1" applyBorder="1" applyAlignment="1">
      <alignment horizontal="center"/>
    </xf>
    <xf numFmtId="0" fontId="7" fillId="0" borderId="105" xfId="0" applyFont="1" applyBorder="1" applyAlignment="1">
      <alignment horizontal="center"/>
    </xf>
    <xf numFmtId="2" fontId="56" fillId="0" borderId="22" xfId="0" applyNumberFormat="1" applyFont="1" applyBorder="1" applyAlignment="1">
      <alignment horizontal="right"/>
    </xf>
    <xf numFmtId="0" fontId="18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81" fillId="0" borderId="75" xfId="47" applyFont="1" applyBorder="1" applyAlignment="1">
      <alignment horizontal="center" vertical="center" wrapText="1"/>
    </xf>
    <xf numFmtId="0" fontId="81" fillId="0" borderId="71" xfId="47" applyFont="1" applyBorder="1" applyAlignment="1">
      <alignment horizontal="center" vertical="center" wrapText="1"/>
    </xf>
    <xf numFmtId="0" fontId="81" fillId="0" borderId="70" xfId="47" applyFont="1" applyBorder="1" applyAlignment="1">
      <alignment horizontal="center" vertical="center" wrapText="1"/>
    </xf>
    <xf numFmtId="0" fontId="65" fillId="0" borderId="0" xfId="47" applyFont="1" applyAlignment="1">
      <alignment horizontal="right"/>
    </xf>
    <xf numFmtId="164" fontId="82" fillId="0" borderId="0" xfId="47" applyNumberFormat="1" applyFont="1" applyAlignment="1">
      <alignment horizontal="center" vertical="center" wrapText="1"/>
    </xf>
    <xf numFmtId="0" fontId="64" fillId="0" borderId="0" xfId="0" applyFont="1" applyAlignment="1">
      <alignment horizontal="right" vertical="center"/>
    </xf>
    <xf numFmtId="0" fontId="86" fillId="0" borderId="0" xfId="0" applyFont="1" applyAlignment="1">
      <alignment horizontal="right" vertical="center"/>
    </xf>
    <xf numFmtId="0" fontId="81" fillId="0" borderId="39" xfId="47" applyFont="1" applyBorder="1" applyAlignment="1">
      <alignment horizontal="center" vertical="center" wrapText="1"/>
    </xf>
    <xf numFmtId="0" fontId="81" fillId="0" borderId="89" xfId="47" applyFont="1" applyBorder="1" applyAlignment="1">
      <alignment horizontal="center" vertical="center" wrapText="1"/>
    </xf>
    <xf numFmtId="0" fontId="81" fillId="0" borderId="35" xfId="47" applyFont="1" applyBorder="1" applyAlignment="1">
      <alignment horizontal="center" vertical="center" wrapText="1"/>
    </xf>
    <xf numFmtId="0" fontId="81" fillId="0" borderId="86" xfId="47" applyFont="1" applyBorder="1" applyAlignment="1">
      <alignment horizontal="center" vertical="center" wrapText="1"/>
    </xf>
    <xf numFmtId="0" fontId="81" fillId="0" borderId="40" xfId="47" applyFont="1" applyBorder="1" applyAlignment="1">
      <alignment horizontal="center" vertical="center" wrapText="1"/>
    </xf>
    <xf numFmtId="0" fontId="81" fillId="0" borderId="87" xfId="47" applyFont="1" applyBorder="1" applyAlignment="1">
      <alignment horizontal="center" vertical="center" wrapText="1"/>
    </xf>
    <xf numFmtId="0" fontId="66" fillId="0" borderId="69" xfId="47" applyFont="1" applyBorder="1" applyAlignment="1">
      <alignment horizontal="justify" vertical="center" wrapText="1"/>
    </xf>
    <xf numFmtId="0" fontId="83" fillId="0" borderId="0" xfId="53" applyFont="1" applyAlignment="1" applyProtection="1">
      <alignment horizontal="center" vertical="center" wrapText="1"/>
      <protection locked="0"/>
    </xf>
    <xf numFmtId="0" fontId="83" fillId="0" borderId="57" xfId="53" applyFont="1" applyBorder="1" applyAlignment="1" applyProtection="1">
      <alignment horizontal="center" vertical="center" wrapText="1"/>
      <protection locked="0"/>
    </xf>
    <xf numFmtId="0" fontId="83" fillId="0" borderId="51" xfId="53" applyFont="1" applyBorder="1" applyAlignment="1" applyProtection="1">
      <alignment horizontal="center" vertical="center" wrapText="1"/>
      <protection locked="0"/>
    </xf>
    <xf numFmtId="0" fontId="83" fillId="0" borderId="64" xfId="53" applyFont="1" applyBorder="1" applyAlignment="1" applyProtection="1">
      <alignment horizontal="center" vertical="center" wrapText="1"/>
      <protection locked="0"/>
    </xf>
    <xf numFmtId="0" fontId="83" fillId="0" borderId="25" xfId="53" applyFont="1" applyBorder="1" applyAlignment="1" applyProtection="1">
      <alignment horizontal="center" vertical="center" wrapText="1"/>
      <protection locked="0"/>
    </xf>
    <xf numFmtId="0" fontId="83" fillId="0" borderId="27" xfId="53" applyFont="1" applyBorder="1" applyAlignment="1" applyProtection="1">
      <alignment horizontal="center" vertical="center" wrapText="1"/>
      <protection locked="0"/>
    </xf>
    <xf numFmtId="0" fontId="83" fillId="0" borderId="47" xfId="53" applyFont="1" applyBorder="1" applyAlignment="1" applyProtection="1">
      <alignment horizontal="center" vertical="center" wrapText="1"/>
      <protection locked="0"/>
    </xf>
    <xf numFmtId="0" fontId="83" fillId="0" borderId="48" xfId="53" applyFont="1" applyBorder="1" applyAlignment="1" applyProtection="1">
      <alignment horizontal="center" vertical="center" wrapText="1"/>
      <protection locked="0"/>
    </xf>
    <xf numFmtId="0" fontId="83" fillId="0" borderId="42" xfId="53" applyFont="1" applyBorder="1" applyAlignment="1" applyProtection="1">
      <alignment horizontal="center" vertical="center" wrapText="1"/>
      <protection locked="0"/>
    </xf>
    <xf numFmtId="0" fontId="83" fillId="0" borderId="46" xfId="53" applyFont="1" applyBorder="1" applyAlignment="1" applyProtection="1">
      <alignment horizontal="center" vertical="center" wrapText="1"/>
      <protection locked="0"/>
    </xf>
    <xf numFmtId="164" fontId="24" fillId="0" borderId="0" xfId="47" applyNumberFormat="1" applyFont="1" applyAlignment="1">
      <alignment horizontal="center" vertical="center" wrapText="1"/>
    </xf>
    <xf numFmtId="0" fontId="53" fillId="0" borderId="0" xfId="0" applyFont="1" applyAlignment="1">
      <alignment horizontal="center" wrapText="1"/>
    </xf>
    <xf numFmtId="0" fontId="72" fillId="0" borderId="0" xfId="0" applyFont="1" applyAlignment="1" applyProtection="1">
      <alignment horizontal="left"/>
      <protection locked="0"/>
    </xf>
    <xf numFmtId="0" fontId="72" fillId="0" borderId="83" xfId="0" applyFont="1" applyBorder="1" applyAlignment="1">
      <alignment horizontal="center"/>
    </xf>
    <xf numFmtId="0" fontId="7" fillId="0" borderId="49" xfId="0" applyFont="1" applyFill="1" applyBorder="1" applyAlignment="1">
      <alignment horizontal="left"/>
    </xf>
    <xf numFmtId="0" fontId="7" fillId="0" borderId="92" xfId="0" applyFont="1" applyFill="1" applyBorder="1" applyAlignment="1">
      <alignment horizontal="left"/>
    </xf>
    <xf numFmtId="0" fontId="7" fillId="0" borderId="49" xfId="0" applyFont="1" applyBorder="1" applyAlignment="1">
      <alignment horizontal="left"/>
    </xf>
    <xf numFmtId="0" fontId="7" fillId="0" borderId="61" xfId="0" applyFont="1" applyBorder="1" applyAlignment="1">
      <alignment horizontal="left"/>
    </xf>
    <xf numFmtId="0" fontId="7" fillId="22" borderId="49" xfId="0" applyFont="1" applyFill="1" applyBorder="1" applyAlignment="1">
      <alignment horizontal="left"/>
    </xf>
    <xf numFmtId="0" fontId="7" fillId="22" borderId="92" xfId="0" applyFont="1" applyFill="1" applyBorder="1" applyAlignment="1">
      <alignment horizontal="left"/>
    </xf>
    <xf numFmtId="0" fontId="43" fillId="0" borderId="85" xfId="0" applyFont="1" applyBorder="1" applyAlignment="1">
      <alignment horizontal="center" vertical="center" wrapText="1"/>
    </xf>
    <xf numFmtId="0" fontId="7" fillId="0" borderId="61" xfId="0" applyFont="1" applyFill="1" applyBorder="1" applyAlignment="1">
      <alignment horizontal="left"/>
    </xf>
    <xf numFmtId="0" fontId="7" fillId="22" borderId="85" xfId="0" applyFont="1" applyFill="1" applyBorder="1" applyAlignment="1">
      <alignment horizontal="left"/>
    </xf>
    <xf numFmtId="0" fontId="15" fillId="0" borderId="85" xfId="0" applyFont="1" applyBorder="1" applyAlignment="1">
      <alignment horizontal="center" wrapText="1"/>
    </xf>
    <xf numFmtId="0" fontId="15" fillId="0" borderId="8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left"/>
    </xf>
    <xf numFmtId="0" fontId="7" fillId="22" borderId="85" xfId="0" applyFont="1" applyFill="1" applyBorder="1"/>
    <xf numFmtId="0" fontId="43" fillId="22" borderId="85" xfId="0" applyFont="1" applyFill="1" applyBorder="1"/>
    <xf numFmtId="0" fontId="18" fillId="0" borderId="0" xfId="0" applyFont="1" applyAlignment="1">
      <alignment horizontal="center" vertical="center"/>
    </xf>
    <xf numFmtId="0" fontId="61" fillId="0" borderId="0" xfId="0" applyFont="1" applyAlignment="1" applyProtection="1">
      <alignment horizontal="right" vertical="top"/>
      <protection locked="0"/>
    </xf>
    <xf numFmtId="0" fontId="21" fillId="0" borderId="66" xfId="0" applyFont="1" applyBorder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/>
    </xf>
    <xf numFmtId="0" fontId="21" fillId="0" borderId="45" xfId="0" applyFont="1" applyBorder="1" applyAlignment="1">
      <alignment horizontal="center"/>
    </xf>
    <xf numFmtId="0" fontId="0" fillId="0" borderId="45" xfId="0" applyBorder="1" applyAlignment="1">
      <alignment horizontal="center"/>
    </xf>
    <xf numFmtId="0" fontId="18" fillId="0" borderId="0" xfId="0" applyFont="1" applyAlignment="1">
      <alignment horizontal="center"/>
    </xf>
    <xf numFmtId="0" fontId="21" fillId="0" borderId="0" xfId="53" applyFont="1" applyAlignment="1">
      <alignment horizontal="center" vertical="center"/>
    </xf>
    <xf numFmtId="0" fontId="21" fillId="0" borderId="0" xfId="53" applyFont="1" applyAlignment="1" applyProtection="1">
      <alignment horizontal="center" vertical="center"/>
      <protection locked="0"/>
    </xf>
    <xf numFmtId="0" fontId="79" fillId="0" borderId="0" xfId="0" applyFont="1" applyAlignment="1">
      <alignment horizontal="right"/>
    </xf>
    <xf numFmtId="49" fontId="21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56" fillId="0" borderId="0" xfId="0" applyFont="1" applyAlignment="1">
      <alignment horizontal="right"/>
    </xf>
    <xf numFmtId="0" fontId="23" fillId="0" borderId="37" xfId="0" applyFont="1" applyBorder="1" applyAlignment="1">
      <alignment horizontal="left" indent="1"/>
    </xf>
    <xf numFmtId="0" fontId="23" fillId="0" borderId="45" xfId="0" applyFont="1" applyBorder="1" applyAlignment="1">
      <alignment horizontal="left" indent="1"/>
    </xf>
    <xf numFmtId="0" fontId="23" fillId="0" borderId="44" xfId="0" applyFont="1" applyBorder="1" applyAlignment="1">
      <alignment horizontal="left" indent="1"/>
    </xf>
    <xf numFmtId="0" fontId="46" fillId="0" borderId="15" xfId="0" applyFont="1" applyBorder="1" applyAlignment="1">
      <alignment horizontal="right" indent="1"/>
    </xf>
    <xf numFmtId="0" fontId="46" fillId="0" borderId="16" xfId="0" applyFont="1" applyBorder="1" applyAlignment="1">
      <alignment horizontal="right" indent="1"/>
    </xf>
    <xf numFmtId="0" fontId="23" fillId="0" borderId="66" xfId="0" applyFont="1" applyBorder="1" applyAlignment="1">
      <alignment horizontal="center"/>
    </xf>
    <xf numFmtId="0" fontId="23" fillId="0" borderId="69" xfId="0" applyFont="1" applyBorder="1" applyAlignment="1">
      <alignment horizontal="center"/>
    </xf>
    <xf numFmtId="0" fontId="23" fillId="0" borderId="81" xfId="0" applyFont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23" fillId="0" borderId="48" xfId="0" applyFont="1" applyBorder="1" applyAlignment="1">
      <alignment horizontal="center"/>
    </xf>
    <xf numFmtId="0" fontId="45" fillId="0" borderId="34" xfId="0" applyFont="1" applyBorder="1" applyAlignment="1" applyProtection="1">
      <alignment horizontal="left" indent="1"/>
      <protection locked="0"/>
    </xf>
    <xf numFmtId="0" fontId="45" fillId="0" borderId="71" xfId="0" applyFont="1" applyBorder="1" applyAlignment="1" applyProtection="1">
      <alignment horizontal="left" indent="1"/>
      <protection locked="0"/>
    </xf>
    <xf numFmtId="0" fontId="45" fillId="0" borderId="70" xfId="0" applyFont="1" applyBorder="1" applyAlignment="1" applyProtection="1">
      <alignment horizontal="left" indent="1"/>
      <protection locked="0"/>
    </xf>
    <xf numFmtId="3" fontId="45" fillId="0" borderId="35" xfId="0" applyNumberFormat="1" applyFont="1" applyBorder="1" applyAlignment="1" applyProtection="1">
      <alignment horizontal="right" indent="1"/>
      <protection locked="0"/>
    </xf>
    <xf numFmtId="0" fontId="45" fillId="0" borderId="40" xfId="0" applyFont="1" applyBorder="1" applyAlignment="1" applyProtection="1">
      <alignment horizontal="right" indent="1"/>
      <protection locked="0"/>
    </xf>
    <xf numFmtId="0" fontId="45" fillId="0" borderId="62" xfId="0" applyFont="1" applyBorder="1" applyAlignment="1" applyProtection="1">
      <alignment horizontal="left" indent="1"/>
      <protection locked="0"/>
    </xf>
    <xf numFmtId="0" fontId="45" fillId="0" borderId="60" xfId="0" applyFont="1" applyBorder="1" applyAlignment="1" applyProtection="1">
      <alignment horizontal="left" indent="1"/>
      <protection locked="0"/>
    </xf>
    <xf numFmtId="0" fontId="45" fillId="0" borderId="11" xfId="0" applyFont="1" applyBorder="1" applyAlignment="1" applyProtection="1">
      <alignment horizontal="left" indent="1"/>
      <protection locked="0"/>
    </xf>
    <xf numFmtId="0" fontId="45" fillId="0" borderId="23" xfId="0" applyFont="1" applyBorder="1" applyAlignment="1" applyProtection="1">
      <alignment horizontal="right" indent="1"/>
      <protection locked="0"/>
    </xf>
    <xf numFmtId="0" fontId="45" fillId="0" borderId="29" xfId="0" applyFont="1" applyBorder="1" applyAlignment="1" applyProtection="1">
      <alignment horizontal="right" indent="1"/>
      <protection locked="0"/>
    </xf>
    <xf numFmtId="0" fontId="22" fillId="0" borderId="0" xfId="79" applyFont="1" applyAlignment="1">
      <alignment horizontal="left" vertical="center" wrapText="1"/>
    </xf>
    <xf numFmtId="0" fontId="87" fillId="0" borderId="22" xfId="0" applyFont="1" applyBorder="1" applyAlignment="1" applyProtection="1">
      <alignment horizontal="right" vertical="top"/>
      <protection locked="0"/>
    </xf>
    <xf numFmtId="0" fontId="11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86" fillId="0" borderId="22" xfId="0" applyFont="1" applyBorder="1" applyAlignment="1">
      <alignment horizontal="right"/>
    </xf>
    <xf numFmtId="0" fontId="8" fillId="0" borderId="75" xfId="0" quotePrefix="1" applyFont="1" applyBorder="1" applyAlignment="1">
      <alignment horizontal="right" vertical="center"/>
    </xf>
    <xf numFmtId="0" fontId="8" fillId="0" borderId="71" xfId="0" quotePrefix="1" applyFont="1" applyBorder="1" applyAlignment="1">
      <alignment horizontal="right" vertical="center"/>
    </xf>
    <xf numFmtId="0" fontId="8" fillId="0" borderId="72" xfId="0" quotePrefix="1" applyFont="1" applyBorder="1" applyAlignment="1">
      <alignment horizontal="right" vertical="center"/>
    </xf>
    <xf numFmtId="0" fontId="8" fillId="0" borderId="97" xfId="0" quotePrefix="1" applyFont="1" applyBorder="1" applyAlignment="1">
      <alignment horizontal="right" vertical="center"/>
    </xf>
    <xf numFmtId="0" fontId="8" fillId="0" borderId="73" xfId="0" quotePrefix="1" applyFont="1" applyBorder="1" applyAlignment="1">
      <alignment horizontal="right" vertical="center"/>
    </xf>
    <xf numFmtId="0" fontId="8" fillId="0" borderId="74" xfId="0" quotePrefix="1" applyFont="1" applyBorder="1" applyAlignment="1">
      <alignment horizontal="right" vertical="center"/>
    </xf>
    <xf numFmtId="0" fontId="86" fillId="0" borderId="45" xfId="0" applyFont="1" applyBorder="1" applyAlignment="1">
      <alignment horizontal="right"/>
    </xf>
    <xf numFmtId="0" fontId="86" fillId="0" borderId="33" xfId="0" applyFont="1" applyBorder="1" applyAlignment="1">
      <alignment horizontal="right"/>
    </xf>
    <xf numFmtId="0" fontId="8" fillId="0" borderId="37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0" fillId="0" borderId="32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8" fillId="0" borderId="96" xfId="0" applyNumberFormat="1" applyFont="1" applyBorder="1" applyAlignment="1">
      <alignment horizontal="right" vertical="center"/>
    </xf>
    <xf numFmtId="49" fontId="8" fillId="0" borderId="22" xfId="0" applyNumberFormat="1" applyFont="1" applyBorder="1" applyAlignment="1">
      <alignment horizontal="right" vertical="center"/>
    </xf>
    <xf numFmtId="49" fontId="8" fillId="0" borderId="78" xfId="0" applyNumberFormat="1" applyFont="1" applyBorder="1" applyAlignment="1">
      <alignment horizontal="right" vertical="center"/>
    </xf>
    <xf numFmtId="49" fontId="8" fillId="0" borderId="68" xfId="0" applyNumberFormat="1" applyFont="1" applyBorder="1" applyAlignment="1">
      <alignment horizontal="right" vertical="center"/>
    </xf>
    <xf numFmtId="49" fontId="8" fillId="0" borderId="82" xfId="0" applyNumberFormat="1" applyFont="1" applyBorder="1" applyAlignment="1">
      <alignment horizontal="right" vertical="center"/>
    </xf>
    <xf numFmtId="49" fontId="8" fillId="0" borderId="79" xfId="0" applyNumberFormat="1" applyFont="1" applyBorder="1" applyAlignment="1">
      <alignment horizontal="right" vertical="center"/>
    </xf>
    <xf numFmtId="0" fontId="20" fillId="0" borderId="23" xfId="0" applyFont="1" applyBorder="1" applyAlignment="1">
      <alignment horizontal="center" wrapText="1"/>
    </xf>
    <xf numFmtId="0" fontId="20" fillId="0" borderId="13" xfId="0" applyFont="1" applyBorder="1" applyAlignment="1">
      <alignment horizontal="center" wrapText="1"/>
    </xf>
  </cellXfs>
  <cellStyles count="83">
    <cellStyle name="20% - 1. jelölőszín" xfId="1" builtinId="30" customBuiltin="1"/>
    <cellStyle name="20% - 1. jelölőszín 2" xfId="2"/>
    <cellStyle name="20% - 1. jelölőszín 3" xfId="56"/>
    <cellStyle name="20% - 2. jelölőszín" xfId="3" builtinId="34" customBuiltin="1"/>
    <cellStyle name="20% - 2. jelölőszín 2" xfId="4"/>
    <cellStyle name="20% - 2. jelölőszín 3" xfId="57"/>
    <cellStyle name="20% - 3. jelölőszín" xfId="5" builtinId="38" customBuiltin="1"/>
    <cellStyle name="20% - 3. jelölőszín 2" xfId="6"/>
    <cellStyle name="20% - 3. jelölőszín 3" xfId="58"/>
    <cellStyle name="20% - 4. jelölőszín" xfId="7" builtinId="42" customBuiltin="1"/>
    <cellStyle name="20% - 4. jelölőszín 2" xfId="8"/>
    <cellStyle name="20% - 4. jelölőszín 3" xfId="59"/>
    <cellStyle name="20% - 5. jelölőszín" xfId="9" builtinId="46" customBuiltin="1"/>
    <cellStyle name="20% - 5. jelölőszín 2" xfId="10"/>
    <cellStyle name="20% - 6. jelölőszín" xfId="11" builtinId="50" customBuiltin="1"/>
    <cellStyle name="20% - 6. jelölőszín 2" xfId="12"/>
    <cellStyle name="20% - 6. jelölőszín 3" xfId="60"/>
    <cellStyle name="40% - 1. jelölőszín" xfId="13" builtinId="31" customBuiltin="1"/>
    <cellStyle name="40% - 1. jelölőszín 2" xfId="14"/>
    <cellStyle name="40% - 1. jelölőszín 3" xfId="61"/>
    <cellStyle name="40% - 2. jelölőszín" xfId="15" builtinId="35" customBuiltin="1"/>
    <cellStyle name="40% - 2. jelölőszín 2" xfId="16"/>
    <cellStyle name="40% - 3. jelölőszín" xfId="17" builtinId="39" customBuiltin="1"/>
    <cellStyle name="40% - 3. jelölőszín 2" xfId="18"/>
    <cellStyle name="40% - 3. jelölőszín 3" xfId="62"/>
    <cellStyle name="40% - 4. jelölőszín" xfId="19" builtinId="43" customBuiltin="1"/>
    <cellStyle name="40% - 4. jelölőszín 2" xfId="20"/>
    <cellStyle name="40% - 4. jelölőszín 3" xfId="63"/>
    <cellStyle name="40% - 5. jelölőszín" xfId="21" builtinId="47" customBuiltin="1"/>
    <cellStyle name="40% - 5. jelölőszín 2" xfId="22"/>
    <cellStyle name="40% - 6. jelölőszín" xfId="23" builtinId="51" customBuiltin="1"/>
    <cellStyle name="40% - 6. jelölőszín 2" xfId="24"/>
    <cellStyle name="40% - 6. jelölőszín 3" xfId="64"/>
    <cellStyle name="60% - 1. jelölőszín" xfId="25" builtinId="32" customBuiltin="1"/>
    <cellStyle name="60% - 1. jelölőszín 2" xfId="65"/>
    <cellStyle name="60% - 2. jelölőszín" xfId="26" builtinId="36" customBuiltin="1"/>
    <cellStyle name="60% - 3. jelölőszín" xfId="27" builtinId="40" customBuiltin="1"/>
    <cellStyle name="60% - 3. jelölőszín 2" xfId="66"/>
    <cellStyle name="60% - 4. jelölőszín" xfId="28" builtinId="44" customBuiltin="1"/>
    <cellStyle name="60% - 4. jelölőszín 2" xfId="67"/>
    <cellStyle name="60% - 5. jelölőszín" xfId="29" builtinId="48" customBuiltin="1"/>
    <cellStyle name="60% - 6. jelölőszín" xfId="30" builtinId="52" customBuiltin="1"/>
    <cellStyle name="60% - 6. jelölőszín 2" xfId="68"/>
    <cellStyle name="Bevitel" xfId="31" builtinId="20" customBuiltin="1"/>
    <cellStyle name="Bevitel 2" xfId="69"/>
    <cellStyle name="Cím" xfId="32" builtinId="15" customBuiltin="1"/>
    <cellStyle name="Cím 2" xfId="70"/>
    <cellStyle name="Címsor 1" xfId="33" builtinId="16" customBuiltin="1"/>
    <cellStyle name="Címsor 1 2" xfId="71"/>
    <cellStyle name="Címsor 2" xfId="34" builtinId="17" customBuiltin="1"/>
    <cellStyle name="Címsor 2 2" xfId="72"/>
    <cellStyle name="Címsor 3" xfId="35" builtinId="18" customBuiltin="1"/>
    <cellStyle name="Címsor 3 2" xfId="73"/>
    <cellStyle name="Címsor 4" xfId="36" builtinId="19" customBuiltin="1"/>
    <cellStyle name="Címsor 4 2" xfId="74"/>
    <cellStyle name="Ellenőrzőcella" xfId="37" builtinId="23" customBuiltin="1"/>
    <cellStyle name="Ezres" xfId="52" builtinId="3"/>
    <cellStyle name="Ezres 2" xfId="54"/>
    <cellStyle name="Ezres 3" xfId="75"/>
    <cellStyle name="Figyelmeztetés" xfId="38" builtinId="11" customBuiltin="1"/>
    <cellStyle name="Hiperhivatkozás" xfId="39"/>
    <cellStyle name="Hivatkozott cella" xfId="40" builtinId="24" customBuiltin="1"/>
    <cellStyle name="Jegyzet" xfId="41" builtinId="10" customBuiltin="1"/>
    <cellStyle name="Jegyzet 2" xfId="76"/>
    <cellStyle name="Jó" xfId="42" builtinId="26" customBuiltin="1"/>
    <cellStyle name="Kimenet" xfId="43" builtinId="21" customBuiltin="1"/>
    <cellStyle name="Kimenet 2" xfId="77"/>
    <cellStyle name="Magyarázó szöveg" xfId="44" builtinId="53" customBuiltin="1"/>
    <cellStyle name="Már látott hiperhivatkozás" xfId="45"/>
    <cellStyle name="Normál" xfId="0" builtinId="0"/>
    <cellStyle name="Normál 2" xfId="53"/>
    <cellStyle name="Normál 2 2" xfId="78"/>
    <cellStyle name="Normál 3" xfId="55"/>
    <cellStyle name="Normál 5" xfId="79"/>
    <cellStyle name="Normál 5 2" xfId="80"/>
    <cellStyle name="Normál_6MELL" xfId="46"/>
    <cellStyle name="Normál_KVRENMUNKA" xfId="47"/>
    <cellStyle name="Összesen" xfId="48" builtinId="25" customBuiltin="1"/>
    <cellStyle name="Összesen 2" xfId="81"/>
    <cellStyle name="Rossz" xfId="49" builtinId="27" customBuiltin="1"/>
    <cellStyle name="Semleges" xfId="50" builtinId="28" customBuiltin="1"/>
    <cellStyle name="Számítás" xfId="51" builtinId="22" customBuiltin="1"/>
    <cellStyle name="Számítás 2" xfId="82"/>
  </cellStyles>
  <dxfs count="5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1021080</xdr:colOff>
      <xdr:row>10</xdr:row>
      <xdr:rowOff>1905</xdr:rowOff>
    </xdr:from>
    <xdr:to>
      <xdr:col>4</xdr:col>
      <xdr:colOff>9509</xdr:colOff>
      <xdr:row>17</xdr:row>
      <xdr:rowOff>76222</xdr:rowOff>
    </xdr:to>
    <xdr:cxnSp macro="">
      <xdr:nvCxnSpPr>
        <xdr:cNvPr id="6" name="Egyenes összekötő 5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CxnSpPr/>
      </xdr:nvCxnSpPr>
      <xdr:spPr>
        <a:xfrm flipH="1">
          <a:off x="4707255" y="1992630"/>
          <a:ext cx="7604" cy="452249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10</xdr:row>
      <xdr:rowOff>28575</xdr:rowOff>
    </xdr:from>
    <xdr:to>
      <xdr:col>11</xdr:col>
      <xdr:colOff>6408</xdr:colOff>
      <xdr:row>16</xdr:row>
      <xdr:rowOff>544833</xdr:rowOff>
    </xdr:to>
    <xdr:cxnSp macro="">
      <xdr:nvCxnSpPr>
        <xdr:cNvPr id="7" name="Egyenes összekötő 6">
          <a:extLst>
            <a:ext uri="{FF2B5EF4-FFF2-40B4-BE49-F238E27FC236}">
              <a16:creationId xmlns="" xmlns:a16="http://schemas.microsoft.com/office/drawing/2014/main" id="{00000000-0008-0000-1700-000006000000}"/>
            </a:ext>
          </a:extLst>
        </xdr:cNvPr>
        <xdr:cNvCxnSpPr/>
      </xdr:nvCxnSpPr>
      <xdr:spPr>
        <a:xfrm>
          <a:off x="10287000" y="2019300"/>
          <a:ext cx="6408" cy="442150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4"/>
  <sheetViews>
    <sheetView view="pageBreakPreview" zoomScale="142" zoomScaleNormal="160" zoomScaleSheetLayoutView="142" workbookViewId="0">
      <selection sqref="A1:L1"/>
    </sheetView>
  </sheetViews>
  <sheetFormatPr defaultColWidth="9.33203125" defaultRowHeight="12.75" x14ac:dyDescent="0.2"/>
  <cols>
    <col min="1" max="1" width="7.33203125" style="81" customWidth="1"/>
    <col min="2" max="2" width="61.83203125" style="82" customWidth="1"/>
    <col min="3" max="3" width="13.6640625" style="457" customWidth="1"/>
    <col min="4" max="4" width="14.33203125" style="458" hidden="1" customWidth="1"/>
    <col min="5" max="5" width="14" style="458" customWidth="1"/>
    <col min="6" max="6" width="14.1640625" style="458" customWidth="1"/>
    <col min="7" max="7" width="19" style="458" hidden="1" customWidth="1"/>
    <col min="8" max="8" width="14.1640625" style="458" hidden="1" customWidth="1"/>
    <col min="9" max="9" width="16.83203125" style="458" hidden="1" customWidth="1"/>
    <col min="10" max="10" width="12.6640625" style="458" customWidth="1"/>
    <col min="11" max="11" width="15.83203125" style="458" hidden="1" customWidth="1"/>
    <col min="12" max="12" width="7.33203125" style="459" customWidth="1"/>
    <col min="13" max="13" width="12.1640625" style="25" bestFit="1" customWidth="1"/>
    <col min="14" max="14" width="14" style="25" customWidth="1"/>
    <col min="15" max="16384" width="9.33203125" style="25"/>
  </cols>
  <sheetData>
    <row r="1" spans="1:15" ht="12.75" customHeight="1" x14ac:dyDescent="0.2">
      <c r="A1" s="1773" t="s">
        <v>812</v>
      </c>
      <c r="B1" s="1773"/>
      <c r="C1" s="1773"/>
      <c r="D1" s="1773"/>
      <c r="E1" s="1773"/>
      <c r="F1" s="1773"/>
      <c r="G1" s="1773"/>
      <c r="H1" s="1773"/>
      <c r="I1" s="1773"/>
      <c r="J1" s="1773"/>
      <c r="K1" s="1773"/>
      <c r="L1" s="1773"/>
    </row>
    <row r="2" spans="1:15" x14ac:dyDescent="0.2">
      <c r="A2" s="1774"/>
      <c r="B2" s="1774"/>
      <c r="C2" s="1774"/>
      <c r="D2" s="1774"/>
      <c r="E2" s="1774"/>
      <c r="F2" s="1774"/>
      <c r="G2" s="1774"/>
      <c r="H2" s="1774"/>
    </row>
    <row r="3" spans="1:15" s="24" customFormat="1" ht="13.7" customHeight="1" x14ac:dyDescent="0.2">
      <c r="A3" s="1774"/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</row>
    <row r="4" spans="1:15" s="38" customFormat="1" ht="15.75" customHeight="1" x14ac:dyDescent="0.2">
      <c r="A4" s="1771" t="s">
        <v>232</v>
      </c>
      <c r="B4" s="1771"/>
      <c r="C4" s="1771"/>
      <c r="D4" s="1771"/>
      <c r="E4" s="1771"/>
      <c r="F4" s="1771"/>
      <c r="G4" s="1771"/>
      <c r="H4" s="1771"/>
      <c r="I4" s="1771"/>
      <c r="J4" s="1771"/>
      <c r="K4" s="1771"/>
      <c r="L4" s="1771"/>
      <c r="M4" s="24"/>
    </row>
    <row r="5" spans="1:15" s="38" customFormat="1" ht="15.75" customHeight="1" x14ac:dyDescent="0.2">
      <c r="A5" s="1771" t="s">
        <v>665</v>
      </c>
      <c r="B5" s="1771"/>
      <c r="C5" s="1771"/>
      <c r="D5" s="1771"/>
      <c r="E5" s="1771"/>
      <c r="F5" s="1771"/>
      <c r="G5" s="1771"/>
      <c r="H5" s="1771"/>
      <c r="I5" s="1771"/>
      <c r="J5" s="1771"/>
      <c r="K5" s="1771"/>
      <c r="L5" s="1771"/>
      <c r="M5" s="24"/>
    </row>
    <row r="6" spans="1:15" s="38" customFormat="1" ht="15.75" customHeight="1" x14ac:dyDescent="0.2">
      <c r="A6" s="1771" t="s">
        <v>11</v>
      </c>
      <c r="B6" s="1771"/>
      <c r="C6" s="1771"/>
      <c r="D6" s="1771"/>
      <c r="E6" s="1771"/>
      <c r="F6" s="1771"/>
      <c r="G6" s="1771"/>
      <c r="H6" s="1771"/>
      <c r="I6" s="1771"/>
      <c r="J6" s="1771"/>
      <c r="K6" s="1771"/>
      <c r="L6" s="1771"/>
      <c r="M6" s="24"/>
    </row>
    <row r="7" spans="1:15" s="511" customFormat="1" ht="15.75" customHeight="1" thickBot="1" x14ac:dyDescent="0.25">
      <c r="A7" s="1772" t="s">
        <v>362</v>
      </c>
      <c r="B7" s="1772"/>
      <c r="C7" s="1772"/>
      <c r="D7" s="1772"/>
      <c r="E7" s="1772"/>
      <c r="F7" s="1772"/>
      <c r="G7" s="1772"/>
      <c r="H7" s="1772"/>
      <c r="I7" s="1772"/>
      <c r="J7" s="1772"/>
      <c r="K7" s="1772"/>
      <c r="L7" s="1772"/>
      <c r="M7" s="510"/>
    </row>
    <row r="8" spans="1:15" s="46" customFormat="1" ht="50.25" customHeight="1" thickBot="1" x14ac:dyDescent="0.25">
      <c r="A8" s="43" t="s">
        <v>129</v>
      </c>
      <c r="B8" s="44" t="s">
        <v>132</v>
      </c>
      <c r="C8" s="989" t="s">
        <v>733</v>
      </c>
      <c r="D8" s="182" t="s">
        <v>773</v>
      </c>
      <c r="E8" s="44" t="s">
        <v>797</v>
      </c>
      <c r="F8" s="44" t="s">
        <v>832</v>
      </c>
      <c r="G8" s="44" t="s">
        <v>587</v>
      </c>
      <c r="H8" s="721" t="s">
        <v>774</v>
      </c>
      <c r="I8" s="1415" t="s">
        <v>666</v>
      </c>
      <c r="J8" s="44" t="s">
        <v>667</v>
      </c>
      <c r="K8" s="620" t="s">
        <v>668</v>
      </c>
      <c r="L8" s="137" t="s">
        <v>382</v>
      </c>
      <c r="M8" s="151"/>
    </row>
    <row r="9" spans="1:15" s="46" customFormat="1" ht="15.95" customHeight="1" thickBot="1" x14ac:dyDescent="0.25">
      <c r="A9" s="43" t="s">
        <v>297</v>
      </c>
      <c r="B9" s="44" t="s">
        <v>298</v>
      </c>
      <c r="C9" s="989" t="s">
        <v>299</v>
      </c>
      <c r="D9" s="182" t="s">
        <v>300</v>
      </c>
      <c r="E9" s="44" t="s">
        <v>300</v>
      </c>
      <c r="F9" s="44" t="s">
        <v>301</v>
      </c>
      <c r="G9" s="44" t="s">
        <v>424</v>
      </c>
      <c r="H9" s="180" t="s">
        <v>388</v>
      </c>
      <c r="I9" s="1415" t="s">
        <v>299</v>
      </c>
      <c r="J9" s="44" t="s">
        <v>388</v>
      </c>
      <c r="K9" s="620" t="s">
        <v>299</v>
      </c>
      <c r="L9" s="137" t="s">
        <v>424</v>
      </c>
      <c r="M9" s="152"/>
      <c r="O9" s="993" t="s">
        <v>385</v>
      </c>
    </row>
    <row r="10" spans="1:15" s="46" customFormat="1" ht="12.2" customHeight="1" thickBot="1" x14ac:dyDescent="0.25">
      <c r="A10" s="14" t="s">
        <v>12</v>
      </c>
      <c r="B10" s="428" t="s">
        <v>622</v>
      </c>
      <c r="C10" s="431">
        <f>C18+C19+C20+C21+C22</f>
        <v>2496155970</v>
      </c>
      <c r="D10" s="430">
        <f>D18+D19+D20+D21+D22</f>
        <v>2718887746</v>
      </c>
      <c r="E10" s="431">
        <f t="shared" ref="E10:K10" si="0">E18+E19+E20+E21+E22</f>
        <v>2779489080</v>
      </c>
      <c r="F10" s="431">
        <f t="shared" si="0"/>
        <v>2788165792</v>
      </c>
      <c r="G10" s="431">
        <f t="shared" si="0"/>
        <v>0</v>
      </c>
      <c r="H10" s="1007">
        <f>+E10-D10</f>
        <v>60601334</v>
      </c>
      <c r="I10" s="1416">
        <f t="shared" si="0"/>
        <v>0</v>
      </c>
      <c r="J10" s="431">
        <f t="shared" ref="J10" si="1">J18+J19+J20+J21+J22</f>
        <v>2186945509</v>
      </c>
      <c r="K10" s="614">
        <f t="shared" si="0"/>
        <v>0</v>
      </c>
      <c r="L10" s="471">
        <f t="shared" ref="L10:L41" si="2">IF(F10=0,"",J10/F10*100)</f>
        <v>78.436709727769312</v>
      </c>
      <c r="M10" s="153"/>
    </row>
    <row r="11" spans="1:15" s="26" customFormat="1" ht="12.2" customHeight="1" x14ac:dyDescent="0.2">
      <c r="A11" s="12" t="s">
        <v>91</v>
      </c>
      <c r="B11" s="689" t="s">
        <v>188</v>
      </c>
      <c r="C11" s="434">
        <f>'4. mell.Önkorm'!C13</f>
        <v>347696168</v>
      </c>
      <c r="D11" s="433">
        <f>'4. mell.Önkorm'!D13</f>
        <v>359573768</v>
      </c>
      <c r="E11" s="434">
        <f>'4. mell.Önkorm'!E13</f>
        <v>359573768</v>
      </c>
      <c r="F11" s="434">
        <f>'4. mell.Önkorm'!F13</f>
        <v>359573768</v>
      </c>
      <c r="G11" s="434">
        <f>'4. mell.Önkorm'!G13</f>
        <v>0</v>
      </c>
      <c r="H11" s="1008">
        <f>+E11-D11</f>
        <v>0</v>
      </c>
      <c r="I11" s="1417">
        <f>'4. mell.Önkorm'!R13</f>
        <v>0</v>
      </c>
      <c r="J11" s="434">
        <f>'4. mell.Önkorm'!J13</f>
        <v>273276053</v>
      </c>
      <c r="K11" s="621">
        <f>'4. mell.Önkorm'!T13</f>
        <v>0</v>
      </c>
      <c r="L11" s="470">
        <f t="shared" si="2"/>
        <v>75.999997029816697</v>
      </c>
      <c r="M11" s="153"/>
    </row>
    <row r="12" spans="1:15" s="54" customFormat="1" ht="12.2" customHeight="1" x14ac:dyDescent="0.2">
      <c r="A12" s="1003" t="s">
        <v>92</v>
      </c>
      <c r="B12" s="690" t="s">
        <v>532</v>
      </c>
      <c r="C12" s="434">
        <f>'4. mell.Önkorm'!C14</f>
        <v>377696960</v>
      </c>
      <c r="D12" s="433">
        <f>'4. mell.Önkorm'!D14</f>
        <v>424643546</v>
      </c>
      <c r="E12" s="434">
        <f>'4. mell.Önkorm'!E14</f>
        <v>416324777</v>
      </c>
      <c r="F12" s="434">
        <f>'4. mell.Önkorm'!F14</f>
        <v>416324777</v>
      </c>
      <c r="G12" s="434">
        <f>'4. mell.Önkorm'!G14</f>
        <v>0</v>
      </c>
      <c r="H12" s="1008">
        <f t="shared" ref="H12:H75" si="3">+E12-D12</f>
        <v>-8318769</v>
      </c>
      <c r="I12" s="1417">
        <f>'4. mell.Önkorm'!R14</f>
        <v>0</v>
      </c>
      <c r="J12" s="434">
        <f>'4. mell.Önkorm'!J14</f>
        <v>318569711</v>
      </c>
      <c r="K12" s="621">
        <f>'4. mell.Önkorm'!T14</f>
        <v>0</v>
      </c>
      <c r="L12" s="470">
        <f t="shared" si="2"/>
        <v>76.519517597675915</v>
      </c>
      <c r="M12" s="153"/>
    </row>
    <row r="13" spans="1:15" s="54" customFormat="1" ht="12.2" customHeight="1" x14ac:dyDescent="0.2">
      <c r="A13" s="1003" t="s">
        <v>93</v>
      </c>
      <c r="B13" s="690" t="s">
        <v>533</v>
      </c>
      <c r="C13" s="434">
        <f>'4. mell.Önkorm'!C15</f>
        <v>400034324</v>
      </c>
      <c r="D13" s="433">
        <f>'4. mell.Önkorm'!D15</f>
        <v>508238691</v>
      </c>
      <c r="E13" s="434">
        <f>'4. mell.Önkorm'!E15</f>
        <v>546489046</v>
      </c>
      <c r="F13" s="434">
        <f>'4. mell.Önkorm'!F15</f>
        <v>555165758</v>
      </c>
      <c r="G13" s="434">
        <f>'4. mell.Önkorm'!G15</f>
        <v>0</v>
      </c>
      <c r="H13" s="1008">
        <f t="shared" si="3"/>
        <v>38250355</v>
      </c>
      <c r="I13" s="1417">
        <f>'4. mell.Önkorm'!R15</f>
        <v>0</v>
      </c>
      <c r="J13" s="434">
        <f>'4. mell.Önkorm'!J15</f>
        <v>434866984</v>
      </c>
      <c r="K13" s="621">
        <f>'4. mell.Önkorm'!T15</f>
        <v>0</v>
      </c>
      <c r="L13" s="470">
        <f t="shared" si="2"/>
        <v>78.331016950076389</v>
      </c>
      <c r="M13" s="153"/>
    </row>
    <row r="14" spans="1:15" s="54" customFormat="1" ht="12.2" customHeight="1" x14ac:dyDescent="0.2">
      <c r="A14" s="1003" t="s">
        <v>90</v>
      </c>
      <c r="B14" s="690" t="s">
        <v>534</v>
      </c>
      <c r="C14" s="434">
        <f>'4. mell.Önkorm'!C16</f>
        <v>142059812</v>
      </c>
      <c r="D14" s="433">
        <f>'4. mell.Önkorm'!D16</f>
        <v>149375054</v>
      </c>
      <c r="E14" s="434">
        <f>'4. mell.Önkorm'!E16</f>
        <v>161469787</v>
      </c>
      <c r="F14" s="434">
        <f>'4. mell.Önkorm'!F16</f>
        <v>161469787</v>
      </c>
      <c r="G14" s="434">
        <f>'4. mell.Önkorm'!G16</f>
        <v>0</v>
      </c>
      <c r="H14" s="1008">
        <f t="shared" si="3"/>
        <v>12094733</v>
      </c>
      <c r="I14" s="1417"/>
      <c r="J14" s="434">
        <f>'4. mell.Önkorm'!J16</f>
        <v>119572409</v>
      </c>
      <c r="K14" s="621"/>
      <c r="L14" s="470">
        <f t="shared" si="2"/>
        <v>74.052496892189495</v>
      </c>
      <c r="M14" s="153"/>
    </row>
    <row r="15" spans="1:15" s="54" customFormat="1" ht="12.2" customHeight="1" x14ac:dyDescent="0.2">
      <c r="A15" s="1003" t="s">
        <v>147</v>
      </c>
      <c r="B15" s="690" t="s">
        <v>189</v>
      </c>
      <c r="C15" s="434">
        <f>'4. mell.Önkorm'!C17</f>
        <v>33741611</v>
      </c>
      <c r="D15" s="433">
        <f>'4. mell.Önkorm'!D17</f>
        <v>65030355</v>
      </c>
      <c r="E15" s="434">
        <f>'4. mell.Önkorm'!E17</f>
        <v>65030355</v>
      </c>
      <c r="F15" s="434">
        <f>'4. mell.Önkorm'!F17</f>
        <v>65030355</v>
      </c>
      <c r="G15" s="434">
        <f>'4. mell.Önkorm'!G17</f>
        <v>0</v>
      </c>
      <c r="H15" s="1008">
        <f t="shared" si="3"/>
        <v>0</v>
      </c>
      <c r="I15" s="1417">
        <f>'4. mell.Önkorm'!R17</f>
        <v>0</v>
      </c>
      <c r="J15" s="434">
        <f>'4. mell.Önkorm'!J17</f>
        <v>49423075</v>
      </c>
      <c r="K15" s="621">
        <f>'4. mell.Önkorm'!T17</f>
        <v>0</v>
      </c>
      <c r="L15" s="470">
        <f t="shared" si="2"/>
        <v>76.000007996265737</v>
      </c>
      <c r="M15" s="153"/>
    </row>
    <row r="16" spans="1:15" s="54" customFormat="1" ht="12.2" customHeight="1" x14ac:dyDescent="0.2">
      <c r="A16" s="1005" t="s">
        <v>149</v>
      </c>
      <c r="B16" s="690" t="s">
        <v>271</v>
      </c>
      <c r="C16" s="434">
        <f>'4. mell.Önkorm'!C18</f>
        <v>0</v>
      </c>
      <c r="D16" s="433">
        <f>'4. mell.Önkorm'!D18</f>
        <v>0</v>
      </c>
      <c r="E16" s="434">
        <f>'4. mell.Önkorm'!E18</f>
        <v>0</v>
      </c>
      <c r="F16" s="434">
        <f>'4. mell.Önkorm'!F18</f>
        <v>0</v>
      </c>
      <c r="G16" s="434">
        <f>'4. mell.Önkorm'!G18</f>
        <v>0</v>
      </c>
      <c r="H16" s="1008">
        <f t="shared" si="3"/>
        <v>0</v>
      </c>
      <c r="I16" s="1417">
        <f>'4. mell.Önkorm'!R18</f>
        <v>0</v>
      </c>
      <c r="J16" s="434">
        <f>'4. mell.Önkorm'!J18</f>
        <v>0</v>
      </c>
      <c r="K16" s="621">
        <f>'4. mell.Önkorm'!T18</f>
        <v>0</v>
      </c>
      <c r="L16" s="470" t="str">
        <f t="shared" si="2"/>
        <v/>
      </c>
      <c r="M16" s="153"/>
    </row>
    <row r="17" spans="1:14" s="26" customFormat="1" ht="12.2" customHeight="1" x14ac:dyDescent="0.2">
      <c r="A17" s="1005" t="s">
        <v>151</v>
      </c>
      <c r="B17" s="435" t="s">
        <v>272</v>
      </c>
      <c r="C17" s="434">
        <f>'4. mell.Önkorm'!C19</f>
        <v>0</v>
      </c>
      <c r="D17" s="474">
        <f>'4. mell.Önkorm'!D19</f>
        <v>0</v>
      </c>
      <c r="E17" s="827">
        <f>'4. mell.Önkorm'!E19</f>
        <v>15019663</v>
      </c>
      <c r="F17" s="827">
        <f>'4. mell.Önkorm'!F19</f>
        <v>15019663</v>
      </c>
      <c r="G17" s="827">
        <f>'4. mell.Önkorm'!G19</f>
        <v>0</v>
      </c>
      <c r="H17" s="1009">
        <f t="shared" si="3"/>
        <v>15019663</v>
      </c>
      <c r="I17" s="1418">
        <f>'4. mell.Önkorm'!R19</f>
        <v>0</v>
      </c>
      <c r="J17" s="827">
        <f>'4. mell.Önkorm'!J19</f>
        <v>15019663</v>
      </c>
      <c r="K17" s="1428">
        <f>'4. mell.Önkorm'!T19</f>
        <v>0</v>
      </c>
      <c r="L17" s="1433">
        <f t="shared" si="2"/>
        <v>100</v>
      </c>
      <c r="M17" s="153"/>
      <c r="N17" s="437">
        <f>K1717</f>
        <v>0</v>
      </c>
    </row>
    <row r="18" spans="1:14" s="26" customFormat="1" ht="12.2" customHeight="1" x14ac:dyDescent="0.2">
      <c r="A18" s="1010" t="s">
        <v>153</v>
      </c>
      <c r="B18" s="691" t="s">
        <v>623</v>
      </c>
      <c r="C18" s="990">
        <f>SUM(C11:C17)</f>
        <v>1301228875</v>
      </c>
      <c r="D18" s="990">
        <f>SUM(D11:D17)</f>
        <v>1506861414</v>
      </c>
      <c r="E18" s="1326">
        <f t="shared" ref="E18:K18" si="4">SUM(E11:E17)</f>
        <v>1563907396</v>
      </c>
      <c r="F18" s="1326">
        <f t="shared" si="4"/>
        <v>1572584108</v>
      </c>
      <c r="G18" s="1326">
        <f>SUM(G11:G17)</f>
        <v>0</v>
      </c>
      <c r="H18" s="1123">
        <f t="shared" si="3"/>
        <v>57045982</v>
      </c>
      <c r="I18" s="1685">
        <f t="shared" si="4"/>
        <v>0</v>
      </c>
      <c r="J18" s="1326">
        <f t="shared" ref="J18" si="5">SUM(J11:J17)</f>
        <v>1210727895</v>
      </c>
      <c r="K18" s="1686">
        <f t="shared" si="4"/>
        <v>0</v>
      </c>
      <c r="L18" s="1687">
        <f t="shared" si="2"/>
        <v>76.989706867875839</v>
      </c>
      <c r="M18" s="153"/>
    </row>
    <row r="19" spans="1:14" s="26" customFormat="1" ht="12.2" customHeight="1" x14ac:dyDescent="0.2">
      <c r="A19" s="12" t="s">
        <v>154</v>
      </c>
      <c r="B19" s="689" t="s">
        <v>159</v>
      </c>
      <c r="C19" s="434">
        <f>'4. mell.Önkorm'!C21</f>
        <v>0</v>
      </c>
      <c r="D19" s="433">
        <f>'4. mell.Önkorm'!D21</f>
        <v>0</v>
      </c>
      <c r="E19" s="434">
        <f>'4. mell.Önkorm'!E21</f>
        <v>0</v>
      </c>
      <c r="F19" s="434">
        <f>'4. mell.Önkorm'!F21</f>
        <v>0</v>
      </c>
      <c r="G19" s="434">
        <f>'4. mell.Önkorm'!G21</f>
        <v>0</v>
      </c>
      <c r="H19" s="1008">
        <f t="shared" si="3"/>
        <v>0</v>
      </c>
      <c r="I19" s="1417">
        <f>'4. mell.Önkorm'!R21</f>
        <v>0</v>
      </c>
      <c r="J19" s="434">
        <f>'4. mell.Önkorm'!J21</f>
        <v>0</v>
      </c>
      <c r="K19" s="621">
        <f>'4. mell.Önkorm'!T21</f>
        <v>0</v>
      </c>
      <c r="L19" s="470" t="str">
        <f t="shared" si="2"/>
        <v/>
      </c>
      <c r="M19" s="153"/>
    </row>
    <row r="20" spans="1:14" s="26" customFormat="1" ht="12.2" customHeight="1" x14ac:dyDescent="0.2">
      <c r="A20" s="12" t="s">
        <v>156</v>
      </c>
      <c r="B20" s="690" t="s">
        <v>190</v>
      </c>
      <c r="C20" s="474">
        <f>'4. mell.Önkorm'!C22</f>
        <v>0</v>
      </c>
      <c r="D20" s="439">
        <f>'4. mell.Önkorm'!D22</f>
        <v>0</v>
      </c>
      <c r="E20" s="474">
        <f>'4. mell.Önkorm'!E22</f>
        <v>0</v>
      </c>
      <c r="F20" s="474">
        <f>'4. mell.Önkorm'!F22</f>
        <v>0</v>
      </c>
      <c r="G20" s="474">
        <f>'4. mell.Önkorm'!G22</f>
        <v>0</v>
      </c>
      <c r="H20" s="1011">
        <f t="shared" si="3"/>
        <v>0</v>
      </c>
      <c r="I20" s="1419">
        <f>'4. mell.Önkorm'!R22</f>
        <v>0</v>
      </c>
      <c r="J20" s="474">
        <f>'4. mell.Önkorm'!J22</f>
        <v>0</v>
      </c>
      <c r="K20" s="622">
        <f>'4. mell.Önkorm'!T22</f>
        <v>0</v>
      </c>
      <c r="L20" s="475" t="str">
        <f t="shared" si="2"/>
        <v/>
      </c>
      <c r="M20" s="153"/>
    </row>
    <row r="21" spans="1:14" s="26" customFormat="1" ht="12.2" customHeight="1" x14ac:dyDescent="0.2">
      <c r="A21" s="12" t="s">
        <v>276</v>
      </c>
      <c r="B21" s="690" t="s">
        <v>191</v>
      </c>
      <c r="C21" s="474">
        <f>'4. mell.Önkorm'!C23</f>
        <v>0</v>
      </c>
      <c r="D21" s="439">
        <f>'4. mell.Önkorm'!D23</f>
        <v>0</v>
      </c>
      <c r="E21" s="474">
        <f>'4. mell.Önkorm'!E23</f>
        <v>0</v>
      </c>
      <c r="F21" s="474">
        <f>'4. mell.Önkorm'!F23</f>
        <v>0</v>
      </c>
      <c r="G21" s="474">
        <f>'4. mell.Önkorm'!G23</f>
        <v>0</v>
      </c>
      <c r="H21" s="1011">
        <f t="shared" si="3"/>
        <v>0</v>
      </c>
      <c r="I21" s="1419">
        <f>'4. mell.Önkorm'!R23</f>
        <v>0</v>
      </c>
      <c r="J21" s="474">
        <f>'4. mell.Önkorm'!J23</f>
        <v>0</v>
      </c>
      <c r="K21" s="622">
        <f>'4. mell.Önkorm'!T23</f>
        <v>0</v>
      </c>
      <c r="L21" s="475" t="str">
        <f t="shared" si="2"/>
        <v/>
      </c>
      <c r="M21" s="154"/>
    </row>
    <row r="22" spans="1:14" s="26" customFormat="1" ht="12.2" customHeight="1" x14ac:dyDescent="0.2">
      <c r="A22" s="12" t="s">
        <v>595</v>
      </c>
      <c r="B22" s="690" t="s">
        <v>192</v>
      </c>
      <c r="C22" s="474">
        <f>'4. mell.Önkorm'!C24+'5.Int.össz'!C25</f>
        <v>1194927095</v>
      </c>
      <c r="D22" s="439">
        <f>'4. mell.Önkorm'!D24+'5.Int.össz'!D25</f>
        <v>1212026332</v>
      </c>
      <c r="E22" s="474">
        <f>'4. mell.Önkorm'!E24+'5.Int.össz'!E25</f>
        <v>1215581684</v>
      </c>
      <c r="F22" s="474">
        <f>'4. mell.Önkorm'!F24+'5.Int.össz'!F25</f>
        <v>1215581684</v>
      </c>
      <c r="G22" s="474">
        <f>'4. mell.Önkorm'!G24+'5.Int.össz'!G25</f>
        <v>0</v>
      </c>
      <c r="H22" s="1011">
        <f t="shared" si="3"/>
        <v>3555352</v>
      </c>
      <c r="I22" s="1419">
        <f>'4. mell.Önkorm'!R24+'5.Int.össz'!I25</f>
        <v>0</v>
      </c>
      <c r="J22" s="474">
        <f>'4. mell.Önkorm'!J24+'5.Int.össz'!J25</f>
        <v>976217614</v>
      </c>
      <c r="K22" s="622">
        <f>'4. mell.Önkorm'!T24+'5.Int.össz'!K25</f>
        <v>0</v>
      </c>
      <c r="L22" s="475">
        <f t="shared" si="2"/>
        <v>80.308680761596605</v>
      </c>
      <c r="M22" s="154"/>
    </row>
    <row r="23" spans="1:14" s="54" customFormat="1" ht="12.2" customHeight="1" thickBot="1" x14ac:dyDescent="0.25">
      <c r="A23" s="12" t="s">
        <v>596</v>
      </c>
      <c r="B23" s="435" t="s">
        <v>643</v>
      </c>
      <c r="C23" s="991">
        <f>'4. mell.Önkorm'!C25+'5.Int.össz'!C26</f>
        <v>0</v>
      </c>
      <c r="D23" s="440">
        <f>'4. mell.Önkorm'!D25+'5.Int.össz'!D26</f>
        <v>16489854</v>
      </c>
      <c r="E23" s="991">
        <f>'4. mell.Önkorm'!E25+'5.Int.össz'!E26</f>
        <v>16489854</v>
      </c>
      <c r="F23" s="991">
        <f>'4. mell.Önkorm'!F25+'5.Int.össz'!F26</f>
        <v>16489854</v>
      </c>
      <c r="G23" s="991">
        <f>'4. mell.Önkorm'!G25+'5.Int.össz'!G26</f>
        <v>0</v>
      </c>
      <c r="H23" s="1012">
        <f t="shared" si="3"/>
        <v>0</v>
      </c>
      <c r="I23" s="1420">
        <f>'4. mell.Önkorm'!R25+'5.Int.össz'!I26</f>
        <v>0</v>
      </c>
      <c r="J23" s="1426">
        <f>'4. mell.Önkorm'!J25+'5.Int.össz'!J26</f>
        <v>16489854</v>
      </c>
      <c r="K23" s="1000">
        <f>'4. mell.Önkorm'!T25+'5.Int.össz'!K26</f>
        <v>0</v>
      </c>
      <c r="L23" s="1434">
        <f t="shared" si="2"/>
        <v>100</v>
      </c>
      <c r="M23" s="154"/>
    </row>
    <row r="24" spans="1:14" s="54" customFormat="1" ht="12.2" customHeight="1" thickBot="1" x14ac:dyDescent="0.25">
      <c r="A24" s="14" t="s">
        <v>13</v>
      </c>
      <c r="B24" s="428" t="s">
        <v>597</v>
      </c>
      <c r="C24" s="431">
        <f>+C25+C26+C27+C28</f>
        <v>0</v>
      </c>
      <c r="D24" s="430">
        <f>+D25+D26+D27+D28</f>
        <v>229697587</v>
      </c>
      <c r="E24" s="431">
        <f>+E25+E26+E27+E28</f>
        <v>229697587</v>
      </c>
      <c r="F24" s="431">
        <f>+F25+F26+F27+F28</f>
        <v>229697587</v>
      </c>
      <c r="G24" s="431">
        <f>+G25+G26+G27+G28</f>
        <v>0</v>
      </c>
      <c r="H24" s="1007">
        <f t="shared" si="3"/>
        <v>0</v>
      </c>
      <c r="I24" s="1416">
        <f>+I25+I26+I27+I28</f>
        <v>0</v>
      </c>
      <c r="J24" s="431">
        <f>+J25+J26+J27+J28</f>
        <v>229697587</v>
      </c>
      <c r="K24" s="614">
        <f>+K25+K26+K27+K28</f>
        <v>0</v>
      </c>
      <c r="L24" s="471">
        <f t="shared" si="2"/>
        <v>100</v>
      </c>
      <c r="M24" s="154"/>
    </row>
    <row r="25" spans="1:14" s="54" customFormat="1" ht="12.2" customHeight="1" x14ac:dyDescent="0.2">
      <c r="A25" s="12" t="s">
        <v>94</v>
      </c>
      <c r="B25" s="432" t="s">
        <v>193</v>
      </c>
      <c r="C25" s="434">
        <f>'4. mell.Önkorm'!C27</f>
        <v>0</v>
      </c>
      <c r="D25" s="433">
        <f>'4. mell.Önkorm'!D27</f>
        <v>0</v>
      </c>
      <c r="E25" s="434">
        <f>'4. mell.Önkorm'!E27</f>
        <v>0</v>
      </c>
      <c r="F25" s="434">
        <f>'4. mell.Önkorm'!F27</f>
        <v>0</v>
      </c>
      <c r="G25" s="434">
        <f>'4. mell.Önkorm'!G27</f>
        <v>0</v>
      </c>
      <c r="H25" s="1008">
        <f t="shared" si="3"/>
        <v>0</v>
      </c>
      <c r="I25" s="1417">
        <f>'4. mell.Önkorm'!R27</f>
        <v>0</v>
      </c>
      <c r="J25" s="434">
        <f>'4. mell.Önkorm'!J27</f>
        <v>0</v>
      </c>
      <c r="K25" s="621">
        <f>'4. mell.Önkorm'!T27</f>
        <v>0</v>
      </c>
      <c r="L25" s="470" t="str">
        <f t="shared" si="2"/>
        <v/>
      </c>
      <c r="M25" s="155"/>
    </row>
    <row r="26" spans="1:14" s="54" customFormat="1" ht="12.2" customHeight="1" x14ac:dyDescent="0.2">
      <c r="A26" s="1003" t="s">
        <v>95</v>
      </c>
      <c r="B26" s="435" t="s">
        <v>194</v>
      </c>
      <c r="C26" s="474">
        <f>'4. mell.Önkorm'!C28</f>
        <v>0</v>
      </c>
      <c r="D26" s="439">
        <f>'4. mell.Önkorm'!D28</f>
        <v>0</v>
      </c>
      <c r="E26" s="474">
        <f>'4. mell.Önkorm'!E28</f>
        <v>0</v>
      </c>
      <c r="F26" s="474">
        <f>'4. mell.Önkorm'!F28</f>
        <v>0</v>
      </c>
      <c r="G26" s="474">
        <f>'4. mell.Önkorm'!G28</f>
        <v>0</v>
      </c>
      <c r="H26" s="1011">
        <f t="shared" si="3"/>
        <v>0</v>
      </c>
      <c r="I26" s="1419">
        <f>'4. mell.Önkorm'!R28</f>
        <v>0</v>
      </c>
      <c r="J26" s="474">
        <f>'4. mell.Önkorm'!J28</f>
        <v>0</v>
      </c>
      <c r="K26" s="622">
        <f>'4. mell.Önkorm'!T28</f>
        <v>0</v>
      </c>
      <c r="L26" s="475" t="str">
        <f t="shared" si="2"/>
        <v/>
      </c>
      <c r="M26" s="155"/>
    </row>
    <row r="27" spans="1:14" s="54" customFormat="1" ht="12.2" customHeight="1" x14ac:dyDescent="0.2">
      <c r="A27" s="1003" t="s">
        <v>96</v>
      </c>
      <c r="B27" s="435" t="s">
        <v>196</v>
      </c>
      <c r="C27" s="474">
        <f>'4. mell.Önkorm'!C29</f>
        <v>0</v>
      </c>
      <c r="D27" s="439">
        <f>'4. mell.Önkorm'!D29</f>
        <v>0</v>
      </c>
      <c r="E27" s="474">
        <f>'4. mell.Önkorm'!E29</f>
        <v>0</v>
      </c>
      <c r="F27" s="474">
        <f>'4. mell.Önkorm'!F29</f>
        <v>0</v>
      </c>
      <c r="G27" s="474">
        <f>'4. mell.Önkorm'!G29</f>
        <v>0</v>
      </c>
      <c r="H27" s="1011">
        <f t="shared" si="3"/>
        <v>0</v>
      </c>
      <c r="I27" s="1419">
        <f>'4. mell.Önkorm'!R29</f>
        <v>0</v>
      </c>
      <c r="J27" s="474">
        <f>'4. mell.Önkorm'!J29</f>
        <v>0</v>
      </c>
      <c r="K27" s="622">
        <f>'4. mell.Önkorm'!T29</f>
        <v>0</v>
      </c>
      <c r="L27" s="475" t="str">
        <f t="shared" si="2"/>
        <v/>
      </c>
      <c r="M27" s="155"/>
    </row>
    <row r="28" spans="1:14" s="54" customFormat="1" ht="12.2" customHeight="1" x14ac:dyDescent="0.2">
      <c r="A28" s="1003" t="s">
        <v>97</v>
      </c>
      <c r="B28" s="435" t="s">
        <v>197</v>
      </c>
      <c r="C28" s="474">
        <f>'4. mell.Önkorm'!C30</f>
        <v>0</v>
      </c>
      <c r="D28" s="439">
        <f>'4. mell.Önkorm'!D30</f>
        <v>229697587</v>
      </c>
      <c r="E28" s="474">
        <f>'4. mell.Önkorm'!E30+'5.Int.össz'!E30</f>
        <v>229697587</v>
      </c>
      <c r="F28" s="474">
        <f>'4. mell.Önkorm'!F30</f>
        <v>229697587</v>
      </c>
      <c r="G28" s="474">
        <f>'4. mell.Önkorm'!G30</f>
        <v>0</v>
      </c>
      <c r="H28" s="1011">
        <f t="shared" si="3"/>
        <v>0</v>
      </c>
      <c r="I28" s="1419">
        <f>'4. mell.Önkorm'!R30</f>
        <v>0</v>
      </c>
      <c r="J28" s="474">
        <f>'4. mell.Önkorm'!J30</f>
        <v>229697587</v>
      </c>
      <c r="K28" s="622">
        <f>'4. mell.Önkorm'!T30</f>
        <v>0</v>
      </c>
      <c r="L28" s="475">
        <f t="shared" si="2"/>
        <v>100</v>
      </c>
      <c r="M28" s="155"/>
    </row>
    <row r="29" spans="1:14" s="54" customFormat="1" ht="12.2" customHeight="1" thickBot="1" x14ac:dyDescent="0.25">
      <c r="A29" s="1005" t="s">
        <v>321</v>
      </c>
      <c r="B29" s="436" t="s">
        <v>273</v>
      </c>
      <c r="C29" s="991">
        <f>'4. mell.Önkorm'!C31</f>
        <v>0</v>
      </c>
      <c r="D29" s="440">
        <f>'4. mell.Önkorm'!D31</f>
        <v>229697587</v>
      </c>
      <c r="E29" s="991">
        <f>'4. mell.Önkorm'!E31</f>
        <v>229697587</v>
      </c>
      <c r="F29" s="991">
        <f>'4. mell.Önkorm'!F31</f>
        <v>229697587</v>
      </c>
      <c r="G29" s="991">
        <f>'4. mell.Önkorm'!G31</f>
        <v>0</v>
      </c>
      <c r="H29" s="1012">
        <f t="shared" si="3"/>
        <v>0</v>
      </c>
      <c r="I29" s="1420">
        <f>'4. mell.Önkorm'!R31</f>
        <v>0</v>
      </c>
      <c r="J29" s="1426">
        <f>'4. mell.Önkorm'!J31</f>
        <v>229697587</v>
      </c>
      <c r="K29" s="1000">
        <f>'4. mell.Önkorm'!T31</f>
        <v>0</v>
      </c>
      <c r="L29" s="1434">
        <f t="shared" si="2"/>
        <v>100</v>
      </c>
      <c r="M29" s="155"/>
    </row>
    <row r="30" spans="1:14" s="54" customFormat="1" ht="12.2" customHeight="1" thickBot="1" x14ac:dyDescent="0.25">
      <c r="A30" s="14" t="s">
        <v>625</v>
      </c>
      <c r="B30" s="428" t="s">
        <v>598</v>
      </c>
      <c r="C30" s="443">
        <f>C31+C33+C35+C36+C39</f>
        <v>3877000000</v>
      </c>
      <c r="D30" s="442">
        <f>D31+D33+D35+D36+D39</f>
        <v>3877000000</v>
      </c>
      <c r="E30" s="443">
        <f>E31+E33+E35+E36+E39</f>
        <v>5377000000</v>
      </c>
      <c r="F30" s="443">
        <f>F31+F33+F35+F36+F39</f>
        <v>5377000000</v>
      </c>
      <c r="G30" s="443">
        <f>G31+G33+G35+G36+G39</f>
        <v>0</v>
      </c>
      <c r="H30" s="1013">
        <f t="shared" si="3"/>
        <v>1500000000</v>
      </c>
      <c r="I30" s="1421">
        <f>I31+I33+I35+I36+I39</f>
        <v>0</v>
      </c>
      <c r="J30" s="443">
        <f>J31+J33+J35+J36+J39</f>
        <v>5896649464</v>
      </c>
      <c r="K30" s="623">
        <f>K31+K33+K35+K36+K39</f>
        <v>0</v>
      </c>
      <c r="L30" s="476">
        <f t="shared" si="2"/>
        <v>109.66430098567974</v>
      </c>
      <c r="M30" s="155"/>
    </row>
    <row r="31" spans="1:14" s="54" customFormat="1" ht="12.2" customHeight="1" x14ac:dyDescent="0.2">
      <c r="A31" s="12" t="s">
        <v>98</v>
      </c>
      <c r="B31" s="432" t="s">
        <v>278</v>
      </c>
      <c r="C31" s="445">
        <f>C32</f>
        <v>650000000</v>
      </c>
      <c r="D31" s="444">
        <f>D32</f>
        <v>650000000</v>
      </c>
      <c r="E31" s="445">
        <f>E32</f>
        <v>650000000</v>
      </c>
      <c r="F31" s="445">
        <f>F32</f>
        <v>650000000</v>
      </c>
      <c r="G31" s="445">
        <f>G32</f>
        <v>0</v>
      </c>
      <c r="H31" s="1014">
        <f t="shared" si="3"/>
        <v>0</v>
      </c>
      <c r="I31" s="1422">
        <f>I32</f>
        <v>0</v>
      </c>
      <c r="J31" s="445">
        <f>J32</f>
        <v>667954053</v>
      </c>
      <c r="K31" s="1429">
        <f>K32</f>
        <v>0</v>
      </c>
      <c r="L31" s="1435">
        <f t="shared" si="2"/>
        <v>102.76216199999999</v>
      </c>
      <c r="M31" s="155"/>
    </row>
    <row r="32" spans="1:14" s="54" customFormat="1" ht="12.2" customHeight="1" x14ac:dyDescent="0.2">
      <c r="A32" s="1003" t="s">
        <v>599</v>
      </c>
      <c r="B32" s="435" t="s">
        <v>230</v>
      </c>
      <c r="C32" s="474">
        <f>'4. mell.Önkorm'!C34</f>
        <v>650000000</v>
      </c>
      <c r="D32" s="439">
        <f>'4. mell.Önkorm'!D34</f>
        <v>650000000</v>
      </c>
      <c r="E32" s="474">
        <f>'4. mell.Önkorm'!E34</f>
        <v>650000000</v>
      </c>
      <c r="F32" s="474">
        <f>'4. mell.Önkorm'!F34</f>
        <v>650000000</v>
      </c>
      <c r="G32" s="474">
        <f>'4. mell.Önkorm'!G34</f>
        <v>0</v>
      </c>
      <c r="H32" s="1011">
        <f t="shared" si="3"/>
        <v>0</v>
      </c>
      <c r="I32" s="1419">
        <f>'4. mell.Önkorm'!R34</f>
        <v>0</v>
      </c>
      <c r="J32" s="474">
        <f>'4. mell.Önkorm'!J34</f>
        <v>667954053</v>
      </c>
      <c r="K32" s="622">
        <f>'4. mell.Önkorm'!T34</f>
        <v>0</v>
      </c>
      <c r="L32" s="475">
        <f t="shared" si="2"/>
        <v>102.76216199999999</v>
      </c>
      <c r="M32" s="155"/>
    </row>
    <row r="33" spans="1:17" s="54" customFormat="1" ht="12.2" customHeight="1" x14ac:dyDescent="0.2">
      <c r="A33" s="1003" t="s">
        <v>99</v>
      </c>
      <c r="B33" s="432" t="s">
        <v>279</v>
      </c>
      <c r="C33" s="474">
        <f>C34</f>
        <v>3200000000</v>
      </c>
      <c r="D33" s="439">
        <f>D34</f>
        <v>3200000000</v>
      </c>
      <c r="E33" s="474">
        <f>E34</f>
        <v>4700000000</v>
      </c>
      <c r="F33" s="474">
        <f>F34</f>
        <v>4700000000</v>
      </c>
      <c r="G33" s="474">
        <f>G34</f>
        <v>0</v>
      </c>
      <c r="H33" s="1011">
        <f t="shared" si="3"/>
        <v>1500000000</v>
      </c>
      <c r="I33" s="1419">
        <f>I34</f>
        <v>0</v>
      </c>
      <c r="J33" s="474">
        <f>J34</f>
        <v>5199156612</v>
      </c>
      <c r="K33" s="622">
        <f>K34</f>
        <v>0</v>
      </c>
      <c r="L33" s="475">
        <f t="shared" si="2"/>
        <v>110.62035344680852</v>
      </c>
      <c r="M33" s="155"/>
    </row>
    <row r="34" spans="1:17" s="54" customFormat="1" ht="12.2" customHeight="1" x14ac:dyDescent="0.2">
      <c r="A34" s="1003" t="s">
        <v>600</v>
      </c>
      <c r="B34" s="435" t="s">
        <v>280</v>
      </c>
      <c r="C34" s="474">
        <f>'4. mell.Önkorm'!C36</f>
        <v>3200000000</v>
      </c>
      <c r="D34" s="439">
        <f>'4. mell.Önkorm'!D36</f>
        <v>3200000000</v>
      </c>
      <c r="E34" s="474">
        <f>'4. mell.Önkorm'!E36</f>
        <v>4700000000</v>
      </c>
      <c r="F34" s="474">
        <f>'4. mell.Önkorm'!F36</f>
        <v>4700000000</v>
      </c>
      <c r="G34" s="474">
        <f>'4. mell.Önkorm'!G36</f>
        <v>0</v>
      </c>
      <c r="H34" s="1011">
        <f t="shared" si="3"/>
        <v>1500000000</v>
      </c>
      <c r="I34" s="1419">
        <f>'4. mell.Önkorm'!R36</f>
        <v>0</v>
      </c>
      <c r="J34" s="474">
        <f>'4. mell.Önkorm'!J36</f>
        <v>5199156612</v>
      </c>
      <c r="K34" s="622">
        <f>'4. mell.Önkorm'!T36</f>
        <v>0</v>
      </c>
      <c r="L34" s="475">
        <f t="shared" si="2"/>
        <v>110.62035344680852</v>
      </c>
      <c r="M34" s="155"/>
    </row>
    <row r="35" spans="1:17" s="54" customFormat="1" ht="12.2" customHeight="1" x14ac:dyDescent="0.2">
      <c r="A35" s="1003" t="s">
        <v>106</v>
      </c>
      <c r="B35" s="435" t="s">
        <v>198</v>
      </c>
      <c r="C35" s="474">
        <f>'4. mell.Önkorm'!C37</f>
        <v>0</v>
      </c>
      <c r="D35" s="439">
        <f>'4. mell.Önkorm'!D37</f>
        <v>0</v>
      </c>
      <c r="E35" s="474">
        <f>'4. mell.Önkorm'!E37</f>
        <v>0</v>
      </c>
      <c r="F35" s="474">
        <f>'4. mell.Önkorm'!F37</f>
        <v>0</v>
      </c>
      <c r="G35" s="474">
        <f>'4. mell.Önkorm'!G37</f>
        <v>0</v>
      </c>
      <c r="H35" s="1011">
        <f t="shared" si="3"/>
        <v>0</v>
      </c>
      <c r="I35" s="1419">
        <f>'4. mell.Önkorm'!R37</f>
        <v>0</v>
      </c>
      <c r="J35" s="474">
        <f>'4. mell.Önkorm'!J37</f>
        <v>0</v>
      </c>
      <c r="K35" s="622">
        <f>'4. mell.Önkorm'!T37</f>
        <v>0</v>
      </c>
      <c r="L35" s="475" t="str">
        <f t="shared" si="2"/>
        <v/>
      </c>
      <c r="M35" s="155"/>
    </row>
    <row r="36" spans="1:17" s="54" customFormat="1" ht="12.2" customHeight="1" x14ac:dyDescent="0.2">
      <c r="A36" s="1003" t="s">
        <v>195</v>
      </c>
      <c r="B36" s="435" t="s">
        <v>199</v>
      </c>
      <c r="C36" s="474">
        <f>SUM(C37:C38)</f>
        <v>12000000</v>
      </c>
      <c r="D36" s="439">
        <f>SUM(D37:D38)</f>
        <v>12000000</v>
      </c>
      <c r="E36" s="474">
        <f>SUM(E37:E38)</f>
        <v>12000000</v>
      </c>
      <c r="F36" s="474">
        <f>SUM(F37:F38)</f>
        <v>12000000</v>
      </c>
      <c r="G36" s="474">
        <f>SUM(G37:G38)</f>
        <v>0</v>
      </c>
      <c r="H36" s="1011">
        <f t="shared" si="3"/>
        <v>0</v>
      </c>
      <c r="I36" s="1419">
        <f>SUM(I37:I38)</f>
        <v>0</v>
      </c>
      <c r="J36" s="474">
        <f>SUM(J37:J38)</f>
        <v>12566010</v>
      </c>
      <c r="K36" s="622">
        <f>SUM(K37:K38)</f>
        <v>0</v>
      </c>
      <c r="L36" s="475">
        <f t="shared" si="2"/>
        <v>104.71675</v>
      </c>
      <c r="M36" s="155"/>
    </row>
    <row r="37" spans="1:17" s="54" customFormat="1" ht="12.2" customHeight="1" x14ac:dyDescent="0.2">
      <c r="A37" s="1005" t="s">
        <v>322</v>
      </c>
      <c r="B37" s="435" t="s">
        <v>231</v>
      </c>
      <c r="C37" s="991">
        <f>'4. mell.Önkorm'!C39</f>
        <v>12000000</v>
      </c>
      <c r="D37" s="440">
        <f>'4. mell.Önkorm'!D39</f>
        <v>12000000</v>
      </c>
      <c r="E37" s="991">
        <f>'4. mell.Önkorm'!E39</f>
        <v>12000000</v>
      </c>
      <c r="F37" s="991">
        <f>'4. mell.Önkorm'!F39</f>
        <v>12000000</v>
      </c>
      <c r="G37" s="991">
        <f>'4. mell.Önkorm'!G39</f>
        <v>0</v>
      </c>
      <c r="H37" s="1012">
        <f t="shared" si="3"/>
        <v>0</v>
      </c>
      <c r="I37" s="1420">
        <f>'4. mell.Önkorm'!R39</f>
        <v>0</v>
      </c>
      <c r="J37" s="1426">
        <f>'4. mell.Önkorm'!J39</f>
        <v>12566010</v>
      </c>
      <c r="K37" s="1000">
        <f>'4. mell.Önkorm'!T39</f>
        <v>0</v>
      </c>
      <c r="L37" s="1434">
        <f t="shared" si="2"/>
        <v>104.71675</v>
      </c>
      <c r="M37" s="155"/>
    </row>
    <row r="38" spans="1:17" s="54" customFormat="1" ht="12.2" customHeight="1" x14ac:dyDescent="0.2">
      <c r="A38" s="1005" t="s">
        <v>601</v>
      </c>
      <c r="B38" s="435" t="s">
        <v>792</v>
      </c>
      <c r="C38" s="991">
        <f>'4. mell.Önkorm'!C40</f>
        <v>0</v>
      </c>
      <c r="D38" s="440">
        <f>'4. mell.Önkorm'!D40</f>
        <v>0</v>
      </c>
      <c r="E38" s="991">
        <f>'4. mell.Önkorm'!E40</f>
        <v>0</v>
      </c>
      <c r="F38" s="991">
        <f>'4. mell.Önkorm'!F40</f>
        <v>0</v>
      </c>
      <c r="G38" s="991">
        <f>'4. mell.Önkorm'!G40</f>
        <v>0</v>
      </c>
      <c r="H38" s="1012">
        <f t="shared" si="3"/>
        <v>0</v>
      </c>
      <c r="I38" s="1420">
        <f>'4. mell.Önkorm'!R40</f>
        <v>0</v>
      </c>
      <c r="J38" s="1426">
        <f>'4. mell.Önkorm'!J40</f>
        <v>0</v>
      </c>
      <c r="K38" s="1000">
        <f>'4. mell.Önkorm'!T40</f>
        <v>0</v>
      </c>
      <c r="L38" s="1434" t="str">
        <f t="shared" si="2"/>
        <v/>
      </c>
      <c r="M38" s="155"/>
    </row>
    <row r="39" spans="1:17" s="54" customFormat="1" ht="12.2" customHeight="1" thickBot="1" x14ac:dyDescent="0.25">
      <c r="A39" s="1005" t="s">
        <v>602</v>
      </c>
      <c r="B39" s="436" t="s">
        <v>118</v>
      </c>
      <c r="C39" s="991">
        <f>'4. mell.Önkorm'!C41</f>
        <v>15000000</v>
      </c>
      <c r="D39" s="440">
        <f>'4. mell.Önkorm'!D41</f>
        <v>15000000</v>
      </c>
      <c r="E39" s="991">
        <f>'4. mell.Önkorm'!E41</f>
        <v>15000000</v>
      </c>
      <c r="F39" s="991">
        <f>'4. mell.Önkorm'!F41</f>
        <v>15000000</v>
      </c>
      <c r="G39" s="991">
        <f>'4. mell.Önkorm'!G41</f>
        <v>0</v>
      </c>
      <c r="H39" s="1012">
        <f t="shared" si="3"/>
        <v>0</v>
      </c>
      <c r="I39" s="1420">
        <f>'4. mell.Önkorm'!R41</f>
        <v>0</v>
      </c>
      <c r="J39" s="1426">
        <f>'4. mell.Önkorm'!J41</f>
        <v>16972789</v>
      </c>
      <c r="K39" s="1000">
        <f>'4. mell.Önkorm'!T41</f>
        <v>0</v>
      </c>
      <c r="L39" s="1434">
        <f t="shared" si="2"/>
        <v>113.15192666666667</v>
      </c>
      <c r="M39" s="155"/>
    </row>
    <row r="40" spans="1:17" s="54" customFormat="1" ht="12.2" customHeight="1" thickBot="1" x14ac:dyDescent="0.25">
      <c r="A40" s="14" t="s">
        <v>15</v>
      </c>
      <c r="B40" s="428" t="s">
        <v>626</v>
      </c>
      <c r="C40" s="431">
        <f>SUM(C41:C51)</f>
        <v>717532540</v>
      </c>
      <c r="D40" s="430">
        <f>SUM(D41:D51)</f>
        <v>731466540</v>
      </c>
      <c r="E40" s="431">
        <f>SUM(E41:E51)</f>
        <v>983931540</v>
      </c>
      <c r="F40" s="431">
        <f>SUM(F41:F51)</f>
        <v>983931540</v>
      </c>
      <c r="G40" s="431">
        <f>SUM(G41:G51)</f>
        <v>0</v>
      </c>
      <c r="H40" s="1007">
        <f t="shared" si="3"/>
        <v>252465000</v>
      </c>
      <c r="I40" s="1416">
        <f>SUM(I41:I51)</f>
        <v>0</v>
      </c>
      <c r="J40" s="431">
        <f>SUM(J41:J51)</f>
        <v>978506689</v>
      </c>
      <c r="K40" s="614">
        <f>SUM(K41:K51)</f>
        <v>0</v>
      </c>
      <c r="L40" s="471">
        <f t="shared" si="2"/>
        <v>99.448655645290117</v>
      </c>
      <c r="M40" s="155"/>
    </row>
    <row r="41" spans="1:17" s="54" customFormat="1" ht="12.2" customHeight="1" x14ac:dyDescent="0.2">
      <c r="A41" s="12" t="s">
        <v>100</v>
      </c>
      <c r="B41" s="432" t="s">
        <v>143</v>
      </c>
      <c r="C41" s="474">
        <f>'4. mell.Önkorm'!C43+'5.Int.össz'!C11</f>
        <v>0</v>
      </c>
      <c r="D41" s="433">
        <f>'4. mell.Önkorm'!D43+'5.Int.össz'!D11</f>
        <v>0</v>
      </c>
      <c r="E41" s="434">
        <f>'4. mell.Önkorm'!E43+'5.Int.össz'!E11</f>
        <v>0</v>
      </c>
      <c r="F41" s="434">
        <f>'4. mell.Önkorm'!F43+'5.Int.össz'!F11</f>
        <v>0</v>
      </c>
      <c r="G41" s="434">
        <f>'4. mell.Önkorm'!G43+'5.Int.össz'!G11</f>
        <v>0</v>
      </c>
      <c r="H41" s="1008">
        <f t="shared" si="3"/>
        <v>0</v>
      </c>
      <c r="I41" s="1417">
        <f>'4. mell.Önkorm'!R43+'5.Int.össz'!I11</f>
        <v>0</v>
      </c>
      <c r="J41" s="434">
        <f>'4. mell.Önkorm'!J43+'5.Int.össz'!J11</f>
        <v>4069</v>
      </c>
      <c r="K41" s="621">
        <f>'4. mell.Önkorm'!T43+'5.Int.össz'!K11</f>
        <v>0</v>
      </c>
      <c r="L41" s="470" t="str">
        <f t="shared" si="2"/>
        <v/>
      </c>
      <c r="M41" s="155"/>
    </row>
    <row r="42" spans="1:17" s="54" customFormat="1" ht="12.2" customHeight="1" x14ac:dyDescent="0.2">
      <c r="A42" s="1003" t="s">
        <v>101</v>
      </c>
      <c r="B42" s="435" t="s">
        <v>144</v>
      </c>
      <c r="C42" s="474">
        <f>'4. mell.Önkorm'!C44+'5.Int.össz'!C12</f>
        <v>78127648</v>
      </c>
      <c r="D42" s="439">
        <f>'4. mell.Önkorm'!D44+'5.Int.össz'!D12</f>
        <v>78127648</v>
      </c>
      <c r="E42" s="474">
        <f>'4. mell.Önkorm'!E44+'5.Int.össz'!E12</f>
        <v>78127648</v>
      </c>
      <c r="F42" s="474">
        <f>'4. mell.Önkorm'!F44+'5.Int.össz'!F12</f>
        <v>78127648</v>
      </c>
      <c r="G42" s="474">
        <f>'4. mell.Önkorm'!G44+'5.Int.össz'!G12</f>
        <v>0</v>
      </c>
      <c r="H42" s="1011">
        <f t="shared" si="3"/>
        <v>0</v>
      </c>
      <c r="I42" s="1419">
        <f>'4. mell.Önkorm'!R44+'5.Int.össz'!I12</f>
        <v>0</v>
      </c>
      <c r="J42" s="474">
        <f>'4. mell.Önkorm'!J44+'5.Int.össz'!J12</f>
        <v>93633164</v>
      </c>
      <c r="K42" s="622">
        <f>'4. mell.Önkorm'!T44+'5.Int.össz'!K12</f>
        <v>0</v>
      </c>
      <c r="L42" s="475">
        <f t="shared" ref="L42:L73" si="6">IF(F42=0,"",J42/F42*100)</f>
        <v>119.8463877985934</v>
      </c>
      <c r="M42" s="155"/>
    </row>
    <row r="43" spans="1:17" s="54" customFormat="1" ht="12.2" customHeight="1" x14ac:dyDescent="0.2">
      <c r="A43" s="1003" t="s">
        <v>164</v>
      </c>
      <c r="B43" s="435" t="s">
        <v>274</v>
      </c>
      <c r="C43" s="474">
        <f>'4. mell.Önkorm'!C45+'5.Int.össz'!C13</f>
        <v>10384660</v>
      </c>
      <c r="D43" s="439">
        <f>'4. mell.Önkorm'!D45+'5.Int.össz'!D13</f>
        <v>10384660</v>
      </c>
      <c r="E43" s="474">
        <f>'4. mell.Önkorm'!E45+'5.Int.össz'!E13</f>
        <v>12849660</v>
      </c>
      <c r="F43" s="474">
        <f>'4. mell.Önkorm'!F45+'5.Int.össz'!F13</f>
        <v>12849660</v>
      </c>
      <c r="G43" s="474">
        <f>'4. mell.Önkorm'!G45+'5.Int.össz'!G13</f>
        <v>0</v>
      </c>
      <c r="H43" s="1011">
        <f t="shared" si="3"/>
        <v>2465000</v>
      </c>
      <c r="I43" s="1419">
        <f>'4. mell.Önkorm'!R45+'5.Int.össz'!I13</f>
        <v>0</v>
      </c>
      <c r="J43" s="474">
        <f>'4. mell.Önkorm'!J45+'5.Int.össz'!J13</f>
        <v>13893650</v>
      </c>
      <c r="K43" s="622">
        <f>'4. mell.Önkorm'!T45+'5.Int.össz'!K13</f>
        <v>0</v>
      </c>
      <c r="L43" s="475">
        <f t="shared" si="6"/>
        <v>108.12465076896976</v>
      </c>
      <c r="M43" s="155"/>
      <c r="Q43" s="54" t="s">
        <v>385</v>
      </c>
    </row>
    <row r="44" spans="1:17" s="54" customFormat="1" ht="12.2" customHeight="1" x14ac:dyDescent="0.2">
      <c r="A44" s="1003" t="s">
        <v>200</v>
      </c>
      <c r="B44" s="435" t="s">
        <v>146</v>
      </c>
      <c r="C44" s="474">
        <f>'4. mell.Önkorm'!C46+'5.Int.össz'!C14</f>
        <v>78517110</v>
      </c>
      <c r="D44" s="439">
        <f>'4. mell.Önkorm'!D46+'5.Int.össz'!D14</f>
        <v>78517110</v>
      </c>
      <c r="E44" s="474">
        <f>'4. mell.Önkorm'!E46+'5.Int.össz'!E14</f>
        <v>78517110</v>
      </c>
      <c r="F44" s="474">
        <f>'4. mell.Önkorm'!F46+'5.Int.össz'!F14</f>
        <v>78517110</v>
      </c>
      <c r="G44" s="474">
        <f>'4. mell.Önkorm'!G46+'5.Int.össz'!G14</f>
        <v>0</v>
      </c>
      <c r="H44" s="1011">
        <f t="shared" si="3"/>
        <v>0</v>
      </c>
      <c r="I44" s="1419">
        <f>'4. mell.Önkorm'!R46+'5.Int.össz'!I14</f>
        <v>0</v>
      </c>
      <c r="J44" s="474">
        <f>'4. mell.Önkorm'!J46+'5.Int.össz'!J14</f>
        <v>28556024</v>
      </c>
      <c r="K44" s="622">
        <f>'4. mell.Önkorm'!T46+'5.Int.össz'!K14</f>
        <v>0</v>
      </c>
      <c r="L44" s="475">
        <f t="shared" si="6"/>
        <v>36.36917354701415</v>
      </c>
      <c r="M44" s="155"/>
    </row>
    <row r="45" spans="1:17" s="54" customFormat="1" ht="12.2" customHeight="1" x14ac:dyDescent="0.2">
      <c r="A45" s="1003" t="s">
        <v>282</v>
      </c>
      <c r="B45" s="435" t="s">
        <v>148</v>
      </c>
      <c r="C45" s="474">
        <f>'4. mell.Önkorm'!C47+'5.Int.össz'!C15</f>
        <v>176659740</v>
      </c>
      <c r="D45" s="439">
        <f>'4. mell.Önkorm'!D47+'5.Int.össz'!D15</f>
        <v>176659740</v>
      </c>
      <c r="E45" s="474">
        <f>'4. mell.Önkorm'!E47+'5.Int.össz'!E15</f>
        <v>176659740</v>
      </c>
      <c r="F45" s="474">
        <f>'4. mell.Önkorm'!F47+'5.Int.össz'!F15</f>
        <v>176659740</v>
      </c>
      <c r="G45" s="474">
        <f>'4. mell.Önkorm'!G47+'5.Int.össz'!G15</f>
        <v>0</v>
      </c>
      <c r="H45" s="1011">
        <f t="shared" si="3"/>
        <v>0</v>
      </c>
      <c r="I45" s="1419">
        <f>'4. mell.Önkorm'!R47+'5.Int.össz'!I15</f>
        <v>0</v>
      </c>
      <c r="J45" s="474">
        <f>'4. mell.Önkorm'!J47+'5.Int.össz'!J15</f>
        <v>163778559</v>
      </c>
      <c r="K45" s="622">
        <f>'4. mell.Önkorm'!T47+'5.Int.össz'!K15</f>
        <v>0</v>
      </c>
      <c r="L45" s="475">
        <f t="shared" si="6"/>
        <v>92.708479589067665</v>
      </c>
      <c r="M45" s="155"/>
    </row>
    <row r="46" spans="1:17" s="54" customFormat="1" ht="12.2" customHeight="1" x14ac:dyDescent="0.2">
      <c r="A46" s="1003" t="s">
        <v>603</v>
      </c>
      <c r="B46" s="435" t="s">
        <v>203</v>
      </c>
      <c r="C46" s="474">
        <f>'4. mell.Önkorm'!C48+'5.Int.össz'!C16</f>
        <v>80894912</v>
      </c>
      <c r="D46" s="439">
        <f>'4. mell.Önkorm'!D48+'5.Int.össz'!D16</f>
        <v>80894912</v>
      </c>
      <c r="E46" s="474">
        <f>'4. mell.Önkorm'!E48+'5.Int.össz'!E16</f>
        <v>80894912</v>
      </c>
      <c r="F46" s="474">
        <f>'4. mell.Önkorm'!F48+'5.Int.össz'!F16</f>
        <v>80894912</v>
      </c>
      <c r="G46" s="474">
        <f>'4. mell.Önkorm'!G48+'5.Int.össz'!G16</f>
        <v>0</v>
      </c>
      <c r="H46" s="1011">
        <f t="shared" si="3"/>
        <v>0</v>
      </c>
      <c r="I46" s="1419">
        <f>'4. mell.Önkorm'!R48+'5.Int.össz'!I16</f>
        <v>0</v>
      </c>
      <c r="J46" s="474">
        <f>'4. mell.Önkorm'!J48+'5.Int.össz'!J16</f>
        <v>63145011</v>
      </c>
      <c r="K46" s="622">
        <f>'4. mell.Önkorm'!T48+'5.Int.össz'!K16</f>
        <v>0</v>
      </c>
      <c r="L46" s="475">
        <f t="shared" si="6"/>
        <v>78.058074900928247</v>
      </c>
      <c r="M46" s="155"/>
    </row>
    <row r="47" spans="1:17" s="54" customFormat="1" ht="12.2" customHeight="1" x14ac:dyDescent="0.2">
      <c r="A47" s="1003" t="s">
        <v>604</v>
      </c>
      <c r="B47" s="435" t="s">
        <v>204</v>
      </c>
      <c r="C47" s="474">
        <f>'4. mell.Önkorm'!C49+'5.Int.össz'!C17</f>
        <v>0</v>
      </c>
      <c r="D47" s="439">
        <f>'4. mell.Önkorm'!D49+'5.Int.össz'!D17</f>
        <v>13934000</v>
      </c>
      <c r="E47" s="474">
        <f>'4. mell.Önkorm'!E49+'5.Int.össz'!E17</f>
        <v>13934000</v>
      </c>
      <c r="F47" s="474">
        <f>'4. mell.Önkorm'!F49+'5.Int.össz'!F17</f>
        <v>13934000</v>
      </c>
      <c r="G47" s="474">
        <f>'4. mell.Önkorm'!G49+'5.Int.össz'!G17</f>
        <v>0</v>
      </c>
      <c r="H47" s="1011">
        <f t="shared" si="3"/>
        <v>0</v>
      </c>
      <c r="I47" s="1419">
        <f>'4. mell.Önkorm'!R49+'5.Int.össz'!I17</f>
        <v>0</v>
      </c>
      <c r="J47" s="474">
        <f>'4. mell.Önkorm'!J49+'5.Int.össz'!J17</f>
        <v>13934000</v>
      </c>
      <c r="K47" s="622">
        <f>'4. mell.Önkorm'!T49+'5.Int.össz'!K17</f>
        <v>0</v>
      </c>
      <c r="L47" s="475">
        <f t="shared" si="6"/>
        <v>100</v>
      </c>
      <c r="M47" s="155"/>
    </row>
    <row r="48" spans="1:17" s="54" customFormat="1" ht="12.2" customHeight="1" x14ac:dyDescent="0.2">
      <c r="A48" s="1003" t="s">
        <v>605</v>
      </c>
      <c r="B48" s="435" t="s">
        <v>302</v>
      </c>
      <c r="C48" s="474">
        <f>'4. mell.Önkorm'!C50+'5.Int.össz'!C18</f>
        <v>280630000</v>
      </c>
      <c r="D48" s="439">
        <f>'4. mell.Önkorm'!D50+'5.Int.össz'!D18</f>
        <v>280630000</v>
      </c>
      <c r="E48" s="474">
        <f>'4. mell.Önkorm'!E50+'5.Int.össz'!E18</f>
        <v>530630000</v>
      </c>
      <c r="F48" s="474">
        <f>'4. mell.Önkorm'!F50+'5.Int.össz'!F18</f>
        <v>530630000</v>
      </c>
      <c r="G48" s="474">
        <f>'4. mell.Önkorm'!G50+'5.Int.össz'!G18</f>
        <v>0</v>
      </c>
      <c r="H48" s="1011">
        <f t="shared" si="3"/>
        <v>250000000</v>
      </c>
      <c r="I48" s="1419">
        <f>'4. mell.Önkorm'!R50+'5.Int.össz'!I18</f>
        <v>0</v>
      </c>
      <c r="J48" s="474">
        <f>'4. mell.Önkorm'!J50+'5.Int.össz'!J18</f>
        <v>579356222</v>
      </c>
      <c r="K48" s="622">
        <f>'4. mell.Önkorm'!T50+'5.Int.össz'!K18</f>
        <v>0</v>
      </c>
      <c r="L48" s="475">
        <f t="shared" si="6"/>
        <v>109.18271149388463</v>
      </c>
      <c r="M48" s="155"/>
    </row>
    <row r="49" spans="1:13" s="54" customFormat="1" ht="12.2" customHeight="1" x14ac:dyDescent="0.2">
      <c r="A49" s="1003" t="s">
        <v>606</v>
      </c>
      <c r="B49" s="435" t="s">
        <v>155</v>
      </c>
      <c r="C49" s="451">
        <f>'4. mell.Önkorm'!C51+'5.Int.össz'!C19</f>
        <v>0</v>
      </c>
      <c r="D49" s="446">
        <f>'4. mell.Önkorm'!D51+'5.Int.össz'!D19</f>
        <v>0</v>
      </c>
      <c r="E49" s="451">
        <f>'4. mell.Önkorm'!E51+'5.Int.össz'!E19</f>
        <v>0</v>
      </c>
      <c r="F49" s="451">
        <f>'4. mell.Önkorm'!F51+'5.Int.össz'!F19</f>
        <v>0</v>
      </c>
      <c r="G49" s="451">
        <f>'4. mell.Önkorm'!G51+'5.Int.össz'!G19</f>
        <v>0</v>
      </c>
      <c r="H49" s="1015">
        <f t="shared" si="3"/>
        <v>0</v>
      </c>
      <c r="I49" s="1423">
        <f>'4. mell.Önkorm'!R51+'5.Int.össz'!I19</f>
        <v>0</v>
      </c>
      <c r="J49" s="451">
        <f>'4. mell.Önkorm'!J51+'5.Int.össz'!J19</f>
        <v>0</v>
      </c>
      <c r="K49" s="1430">
        <f>'4. mell.Önkorm'!T51+'5.Int.össz'!K19</f>
        <v>0</v>
      </c>
      <c r="L49" s="1436" t="str">
        <f t="shared" si="6"/>
        <v/>
      </c>
      <c r="M49" s="155"/>
    </row>
    <row r="50" spans="1:13" s="54" customFormat="1" ht="12.2" customHeight="1" x14ac:dyDescent="0.2">
      <c r="A50" s="1005" t="s">
        <v>607</v>
      </c>
      <c r="B50" s="436" t="s">
        <v>275</v>
      </c>
      <c r="C50" s="451">
        <f>'4. mell.Önkorm'!C52+'5.Int.össz'!C20</f>
        <v>0</v>
      </c>
      <c r="D50" s="446">
        <f>'4. mell.Önkorm'!D52+'5.Int.össz'!D20</f>
        <v>0</v>
      </c>
      <c r="E50" s="451">
        <f>'4. mell.Önkorm'!E52+'5.Int.össz'!E20</f>
        <v>0</v>
      </c>
      <c r="F50" s="451">
        <f>'4. mell.Önkorm'!F52+'5.Int.össz'!F20</f>
        <v>0</v>
      </c>
      <c r="G50" s="451">
        <f>'4. mell.Önkorm'!G52+'5.Int.össz'!G20</f>
        <v>0</v>
      </c>
      <c r="H50" s="1015">
        <f t="shared" si="3"/>
        <v>0</v>
      </c>
      <c r="I50" s="1423">
        <f>'4. mell.Önkorm'!R52+'5.Int.össz'!I20</f>
        <v>0</v>
      </c>
      <c r="J50" s="451">
        <f>'4. mell.Önkorm'!J52+'5.Int.össz'!J20</f>
        <v>623468</v>
      </c>
      <c r="K50" s="1430">
        <f>'4. mell.Önkorm'!T52+'5.Int.össz'!K20</f>
        <v>0</v>
      </c>
      <c r="L50" s="1436" t="str">
        <f t="shared" si="6"/>
        <v/>
      </c>
      <c r="M50" s="155"/>
    </row>
    <row r="51" spans="1:13" s="54" customFormat="1" ht="12.2" customHeight="1" thickBot="1" x14ac:dyDescent="0.25">
      <c r="A51" s="1005" t="s">
        <v>608</v>
      </c>
      <c r="B51" s="436" t="s">
        <v>157</v>
      </c>
      <c r="C51" s="451">
        <f>'4. mell.Önkorm'!C53+'5.Int.össz'!C21</f>
        <v>12318470</v>
      </c>
      <c r="D51" s="446">
        <f>'4. mell.Önkorm'!D53+'5.Int.össz'!D21</f>
        <v>12318470</v>
      </c>
      <c r="E51" s="451">
        <f>'4. mell.Önkorm'!E53+'5.Int.össz'!E21</f>
        <v>12318470</v>
      </c>
      <c r="F51" s="451">
        <f>'4. mell.Önkorm'!F53+'5.Int.össz'!F21</f>
        <v>12318470</v>
      </c>
      <c r="G51" s="451">
        <f>'4. mell.Önkorm'!G53+'5.Int.össz'!G21</f>
        <v>0</v>
      </c>
      <c r="H51" s="1015">
        <f t="shared" si="3"/>
        <v>0</v>
      </c>
      <c r="I51" s="1423">
        <f>'4. mell.Önkorm'!R53+'5.Int.össz'!I21</f>
        <v>0</v>
      </c>
      <c r="J51" s="451">
        <f>'4. mell.Önkorm'!J53+'5.Int.össz'!J21</f>
        <v>21582522</v>
      </c>
      <c r="K51" s="1430">
        <f>'4. mell.Önkorm'!T53+'5.Int.össz'!K21</f>
        <v>0</v>
      </c>
      <c r="L51" s="1436">
        <f t="shared" si="6"/>
        <v>175.20456680090953</v>
      </c>
      <c r="M51" s="155"/>
    </row>
    <row r="52" spans="1:13" s="54" customFormat="1" ht="12.2" customHeight="1" thickBot="1" x14ac:dyDescent="0.25">
      <c r="A52" s="14" t="s">
        <v>16</v>
      </c>
      <c r="B52" s="428" t="s">
        <v>609</v>
      </c>
      <c r="C52" s="431">
        <f>SUM(C53:C57)</f>
        <v>57720000</v>
      </c>
      <c r="D52" s="430">
        <f>SUM(D53:D57)</f>
        <v>57720000</v>
      </c>
      <c r="E52" s="431">
        <f>SUM(E53:E57)</f>
        <v>57720000</v>
      </c>
      <c r="F52" s="431">
        <f>SUM(F53:F57)</f>
        <v>57720000</v>
      </c>
      <c r="G52" s="431">
        <f>SUM(G53:G57)</f>
        <v>0</v>
      </c>
      <c r="H52" s="1007">
        <f t="shared" si="3"/>
        <v>0</v>
      </c>
      <c r="I52" s="1416">
        <f>SUM(I53:I57)</f>
        <v>0</v>
      </c>
      <c r="J52" s="431">
        <f>SUM(J53:J57)</f>
        <v>41214583</v>
      </c>
      <c r="K52" s="614">
        <f>SUM(K53:K57)</f>
        <v>0</v>
      </c>
      <c r="L52" s="471">
        <f t="shared" si="6"/>
        <v>71.404336451836443</v>
      </c>
      <c r="M52" s="155"/>
    </row>
    <row r="53" spans="1:13" s="54" customFormat="1" ht="12.2" customHeight="1" x14ac:dyDescent="0.2">
      <c r="A53" s="12" t="s">
        <v>89</v>
      </c>
      <c r="B53" s="432" t="s">
        <v>167</v>
      </c>
      <c r="C53" s="448">
        <f>'4. mell.Önkorm'!C55+'5.Int.össz'!C33</f>
        <v>0</v>
      </c>
      <c r="D53" s="447">
        <f>'4. mell.Önkorm'!D55+'5.Int.össz'!D33</f>
        <v>0</v>
      </c>
      <c r="E53" s="448">
        <f>'4. mell.Önkorm'!E55+'5.Int.össz'!E33</f>
        <v>0</v>
      </c>
      <c r="F53" s="448">
        <f>'4. mell.Önkorm'!F55+'5.Int.össz'!F33</f>
        <v>0</v>
      </c>
      <c r="G53" s="448">
        <f>'4. mell.Önkorm'!G55+'5.Int.össz'!G33</f>
        <v>0</v>
      </c>
      <c r="H53" s="1016">
        <f t="shared" si="3"/>
        <v>0</v>
      </c>
      <c r="I53" s="1424">
        <f>'4. mell.Önkorm'!R55+'5.Int.össz'!I33</f>
        <v>0</v>
      </c>
      <c r="J53" s="448">
        <f>'4. mell.Önkorm'!J55+'5.Int.össz'!J33</f>
        <v>0</v>
      </c>
      <c r="K53" s="1431">
        <f>'4. mell.Önkorm'!T55+'5.Int.össz'!K33</f>
        <v>0</v>
      </c>
      <c r="L53" s="1437" t="str">
        <f t="shared" si="6"/>
        <v/>
      </c>
      <c r="M53" s="155"/>
    </row>
    <row r="54" spans="1:13" s="54" customFormat="1" ht="12.2" customHeight="1" x14ac:dyDescent="0.2">
      <c r="A54" s="1003" t="s">
        <v>102</v>
      </c>
      <c r="B54" s="435" t="s">
        <v>168</v>
      </c>
      <c r="C54" s="451">
        <f>'4. mell.Önkorm'!C56+'5.Int.össz'!C34</f>
        <v>57720000</v>
      </c>
      <c r="D54" s="446">
        <f>'4. mell.Önkorm'!D56+'5.Int.össz'!D34</f>
        <v>57720000</v>
      </c>
      <c r="E54" s="451">
        <f>'4. mell.Önkorm'!E56+'5.Int.össz'!E34</f>
        <v>57720000</v>
      </c>
      <c r="F54" s="451">
        <f>'4. mell.Önkorm'!F56+'5.Int.össz'!F34</f>
        <v>57720000</v>
      </c>
      <c r="G54" s="451">
        <f>'4. mell.Önkorm'!G56+'5.Int.össz'!G34</f>
        <v>0</v>
      </c>
      <c r="H54" s="1015">
        <f t="shared" si="3"/>
        <v>0</v>
      </c>
      <c r="I54" s="1423">
        <f>'4. mell.Önkorm'!R56+'5.Int.össz'!I34</f>
        <v>0</v>
      </c>
      <c r="J54" s="451">
        <f>'4. mell.Önkorm'!J56+'5.Int.össz'!J34</f>
        <v>41066134</v>
      </c>
      <c r="K54" s="1430">
        <f>'4. mell.Önkorm'!T56+'5.Int.össz'!K34</f>
        <v>0</v>
      </c>
      <c r="L54" s="1436">
        <f t="shared" si="6"/>
        <v>71.147148302148295</v>
      </c>
      <c r="M54" s="155"/>
    </row>
    <row r="55" spans="1:13" s="54" customFormat="1" ht="12.2" customHeight="1" x14ac:dyDescent="0.2">
      <c r="A55" s="1003" t="s">
        <v>103</v>
      </c>
      <c r="B55" s="435" t="s">
        <v>169</v>
      </c>
      <c r="C55" s="451">
        <f>'4. mell.Önkorm'!C57+'5.Int.össz'!C35</f>
        <v>0</v>
      </c>
      <c r="D55" s="446">
        <f>'4. mell.Önkorm'!D57+'5.Int.össz'!D35</f>
        <v>0</v>
      </c>
      <c r="E55" s="451">
        <f>'4. mell.Önkorm'!E57+'5.Int.össz'!E35</f>
        <v>0</v>
      </c>
      <c r="F55" s="451">
        <f>'4. mell.Önkorm'!F57+'5.Int.össz'!F35</f>
        <v>0</v>
      </c>
      <c r="G55" s="451">
        <f>'4. mell.Önkorm'!G57+'5.Int.össz'!G35</f>
        <v>0</v>
      </c>
      <c r="H55" s="1015">
        <f t="shared" si="3"/>
        <v>0</v>
      </c>
      <c r="I55" s="1423">
        <f>'4. mell.Önkorm'!R57+'5.Int.össz'!I35</f>
        <v>0</v>
      </c>
      <c r="J55" s="1769">
        <f>'4. mell.Önkorm'!J57+'5.Int.össz'!J35</f>
        <v>148449</v>
      </c>
      <c r="K55" s="1430">
        <f>'4. mell.Önkorm'!T57+'5.Int.össz'!K35</f>
        <v>0</v>
      </c>
      <c r="L55" s="1436" t="str">
        <f t="shared" si="6"/>
        <v/>
      </c>
      <c r="M55" s="155"/>
    </row>
    <row r="56" spans="1:13" s="54" customFormat="1" ht="12.2" customHeight="1" x14ac:dyDescent="0.2">
      <c r="A56" s="1003" t="s">
        <v>201</v>
      </c>
      <c r="B56" s="435" t="s">
        <v>207</v>
      </c>
      <c r="C56" s="451">
        <f>'4. mell.Önkorm'!C58</f>
        <v>0</v>
      </c>
      <c r="D56" s="446">
        <f>'4. mell.Önkorm'!D58</f>
        <v>0</v>
      </c>
      <c r="E56" s="451">
        <f>'4. mell.Önkorm'!E58</f>
        <v>0</v>
      </c>
      <c r="F56" s="451">
        <f>'4. mell.Önkorm'!F58</f>
        <v>0</v>
      </c>
      <c r="G56" s="451">
        <f>'4. mell.Önkorm'!G58</f>
        <v>0</v>
      </c>
      <c r="H56" s="1015">
        <f t="shared" si="3"/>
        <v>0</v>
      </c>
      <c r="I56" s="1423">
        <f>'4. mell.Önkorm'!R58</f>
        <v>0</v>
      </c>
      <c r="J56" s="451">
        <f>'4. mell.Önkorm'!J58</f>
        <v>0</v>
      </c>
      <c r="K56" s="1430">
        <f>'4. mell.Önkorm'!T58</f>
        <v>0</v>
      </c>
      <c r="L56" s="1436" t="str">
        <f t="shared" si="6"/>
        <v/>
      </c>
      <c r="M56" s="155"/>
    </row>
    <row r="57" spans="1:13" s="54" customFormat="1" ht="12.2" customHeight="1" thickBot="1" x14ac:dyDescent="0.25">
      <c r="A57" s="1005" t="s">
        <v>202</v>
      </c>
      <c r="B57" s="436" t="s">
        <v>209</v>
      </c>
      <c r="C57" s="992">
        <f>'4. mell.Önkorm'!C59</f>
        <v>0</v>
      </c>
      <c r="D57" s="449">
        <f>'4. mell.Önkorm'!D59</f>
        <v>0</v>
      </c>
      <c r="E57" s="992">
        <f>'4. mell.Önkorm'!E59</f>
        <v>0</v>
      </c>
      <c r="F57" s="992">
        <f>'4. mell.Önkorm'!F59</f>
        <v>0</v>
      </c>
      <c r="G57" s="992">
        <f>'4. mell.Önkorm'!G59</f>
        <v>0</v>
      </c>
      <c r="H57" s="1017">
        <f t="shared" si="3"/>
        <v>0</v>
      </c>
      <c r="I57" s="1425">
        <f>'4. mell.Önkorm'!R59</f>
        <v>0</v>
      </c>
      <c r="J57" s="1427">
        <f>'4. mell.Önkorm'!J59</f>
        <v>0</v>
      </c>
      <c r="K57" s="1432">
        <f>'4. mell.Önkorm'!T59</f>
        <v>0</v>
      </c>
      <c r="L57" s="1438" t="str">
        <f t="shared" si="6"/>
        <v/>
      </c>
      <c r="M57" s="155"/>
    </row>
    <row r="58" spans="1:13" s="54" customFormat="1" ht="12.2" customHeight="1" thickBot="1" x14ac:dyDescent="0.25">
      <c r="A58" s="14" t="s">
        <v>17</v>
      </c>
      <c r="B58" s="428" t="s">
        <v>627</v>
      </c>
      <c r="C58" s="431">
        <f>SUM(C59:C60)</f>
        <v>5518250</v>
      </c>
      <c r="D58" s="430">
        <f>SUM(D59:D60)</f>
        <v>5568250</v>
      </c>
      <c r="E58" s="431">
        <f>SUM(E59:E60)</f>
        <v>4126263</v>
      </c>
      <c r="F58" s="431">
        <f>SUM(F59:F60)</f>
        <v>4126263</v>
      </c>
      <c r="G58" s="431">
        <f>SUM(G59:G60)</f>
        <v>576263</v>
      </c>
      <c r="H58" s="1007">
        <f t="shared" si="3"/>
        <v>-1441987</v>
      </c>
      <c r="I58" s="1416">
        <f>SUM(I59:I60)</f>
        <v>576263</v>
      </c>
      <c r="J58" s="431">
        <f>SUM(J59:J60)</f>
        <v>17262576</v>
      </c>
      <c r="K58" s="614">
        <f>SUM(K59:K60)</f>
        <v>0</v>
      </c>
      <c r="L58" s="471">
        <f t="shared" si="6"/>
        <v>418.35859711317482</v>
      </c>
      <c r="M58" s="155"/>
    </row>
    <row r="59" spans="1:13" s="54" customFormat="1" ht="12.2" customHeight="1" x14ac:dyDescent="0.2">
      <c r="A59" s="1003" t="s">
        <v>104</v>
      </c>
      <c r="B59" s="435" t="s">
        <v>210</v>
      </c>
      <c r="C59" s="474">
        <f>'4. mell.Önkorm'!C61</f>
        <v>0</v>
      </c>
      <c r="D59" s="439">
        <f>'4. mell.Önkorm'!D61</f>
        <v>0</v>
      </c>
      <c r="E59" s="474">
        <f>'4. mell.Önkorm'!E61</f>
        <v>0</v>
      </c>
      <c r="F59" s="474">
        <f>'4. mell.Önkorm'!F61</f>
        <v>0</v>
      </c>
      <c r="G59" s="474">
        <f>'4. mell.Önkorm'!G61</f>
        <v>0</v>
      </c>
      <c r="H59" s="1011">
        <f t="shared" si="3"/>
        <v>0</v>
      </c>
      <c r="I59" s="1419">
        <f>'4. mell.Önkorm'!R61</f>
        <v>0</v>
      </c>
      <c r="J59" s="474">
        <f>'4. mell.Önkorm'!J61</f>
        <v>0</v>
      </c>
      <c r="K59" s="622">
        <f>'4. mell.Önkorm'!T61</f>
        <v>0</v>
      </c>
      <c r="L59" s="475" t="str">
        <f t="shared" si="6"/>
        <v/>
      </c>
      <c r="M59" s="155"/>
    </row>
    <row r="60" spans="1:13" s="54" customFormat="1" ht="12.2" customHeight="1" x14ac:dyDescent="0.2">
      <c r="A60" s="1003" t="s">
        <v>105</v>
      </c>
      <c r="B60" s="435" t="s">
        <v>211</v>
      </c>
      <c r="C60" s="474">
        <f>'4. mell.Önkorm'!C62+'5.Int.össz'!C36</f>
        <v>5518250</v>
      </c>
      <c r="D60" s="439">
        <f>'4. mell.Önkorm'!D62+'5.Int.össz'!D36</f>
        <v>5568250</v>
      </c>
      <c r="E60" s="474">
        <f>'4. mell.Önkorm'!E62+'5.Int.össz'!E36</f>
        <v>4126263</v>
      </c>
      <c r="F60" s="474">
        <f>'4. mell.Önkorm'!F62+'5.Int.össz'!F36</f>
        <v>4126263</v>
      </c>
      <c r="G60" s="474">
        <f>'4. mell.Önkorm'!G62+'5.Int.össz'!G36</f>
        <v>576263</v>
      </c>
      <c r="H60" s="1011">
        <f t="shared" si="3"/>
        <v>-1441987</v>
      </c>
      <c r="I60" s="1419">
        <f>'4. mell.Önkorm'!R62+'5.Int.össz'!I36</f>
        <v>576263</v>
      </c>
      <c r="J60" s="474">
        <f>'4. mell.Önkorm'!J62+'5.Int.össz'!J36</f>
        <v>17262576</v>
      </c>
      <c r="K60" s="622">
        <f>'4. mell.Önkorm'!T62+'5.Int.össz'!K36</f>
        <v>0</v>
      </c>
      <c r="L60" s="475">
        <f t="shared" si="6"/>
        <v>418.35859711317482</v>
      </c>
      <c r="M60" s="155"/>
    </row>
    <row r="61" spans="1:13" s="54" customFormat="1" ht="12.2" customHeight="1" thickBot="1" x14ac:dyDescent="0.25">
      <c r="A61" s="1005" t="s">
        <v>610</v>
      </c>
      <c r="B61" s="436" t="s">
        <v>642</v>
      </c>
      <c r="C61" s="991">
        <f>'4. mell.Önkorm'!C63+'5.Int.össz'!C37</f>
        <v>5018250</v>
      </c>
      <c r="D61" s="440">
        <f>'4. mell.Önkorm'!D63+'5.Int.össz'!D37</f>
        <v>5018250</v>
      </c>
      <c r="E61" s="991">
        <f>'4. mell.Önkorm'!E63+'5.Int.össz'!E37</f>
        <v>576263</v>
      </c>
      <c r="F61" s="991">
        <f>'4. mell.Önkorm'!F63+'5.Int.össz'!F37</f>
        <v>576263</v>
      </c>
      <c r="G61" s="991">
        <f>'4. mell.Önkorm'!G63+'5.Int.össz'!G37</f>
        <v>0</v>
      </c>
      <c r="H61" s="1012">
        <f t="shared" si="3"/>
        <v>-4441987</v>
      </c>
      <c r="I61" s="1420">
        <f>'4. mell.Önkorm'!R63+'5.Int.össz'!I37</f>
        <v>0</v>
      </c>
      <c r="J61" s="1426">
        <f>'4. mell.Önkorm'!J63+'5.Int.össz'!J37</f>
        <v>576263</v>
      </c>
      <c r="K61" s="1000">
        <f>'4. mell.Önkorm'!T63+'5.Int.össz'!K37</f>
        <v>0</v>
      </c>
      <c r="L61" s="1434">
        <f t="shared" si="6"/>
        <v>100</v>
      </c>
      <c r="M61" s="155"/>
    </row>
    <row r="62" spans="1:13" s="54" customFormat="1" ht="12.2" customHeight="1" thickBot="1" x14ac:dyDescent="0.25">
      <c r="A62" s="14" t="s">
        <v>18</v>
      </c>
      <c r="B62" s="438" t="s">
        <v>380</v>
      </c>
      <c r="C62" s="431">
        <f>SUM(C63:C64)</f>
        <v>154098503</v>
      </c>
      <c r="D62" s="430">
        <f>SUM(D63:D64)</f>
        <v>154098503</v>
      </c>
      <c r="E62" s="431">
        <f>SUM(E63:E64)</f>
        <v>158540490</v>
      </c>
      <c r="F62" s="431">
        <f>SUM(F63:F64)</f>
        <v>158540490</v>
      </c>
      <c r="G62" s="431">
        <f>SUM(G63:G64)</f>
        <v>0</v>
      </c>
      <c r="H62" s="1007">
        <f t="shared" si="3"/>
        <v>4441987</v>
      </c>
      <c r="I62" s="1416">
        <f>SUM(I63:I64)</f>
        <v>0</v>
      </c>
      <c r="J62" s="431">
        <f>SUM(J63:J64)</f>
        <v>158776896</v>
      </c>
      <c r="K62" s="614">
        <f>SUM(K63:K64)</f>
        <v>0</v>
      </c>
      <c r="L62" s="471">
        <f t="shared" si="6"/>
        <v>100.14911395820714</v>
      </c>
      <c r="M62" s="155"/>
    </row>
    <row r="63" spans="1:13" s="54" customFormat="1" ht="12.2" customHeight="1" x14ac:dyDescent="0.2">
      <c r="A63" s="12" t="s">
        <v>107</v>
      </c>
      <c r="B63" s="435" t="s">
        <v>212</v>
      </c>
      <c r="C63" s="451">
        <f>'4. mell.Önkorm'!C65+'5.Int.össz'!C39</f>
        <v>22141000</v>
      </c>
      <c r="D63" s="446">
        <f>'4. mell.Önkorm'!D65+'5.Int.össz'!D39</f>
        <v>22141000</v>
      </c>
      <c r="E63" s="451">
        <f>'4. mell.Önkorm'!E65+'5.Int.össz'!E39</f>
        <v>22141000</v>
      </c>
      <c r="F63" s="451">
        <f>'4. mell.Önkorm'!F65+'5.Int.össz'!F39</f>
        <v>22141000</v>
      </c>
      <c r="G63" s="451">
        <f>'4. mell.Önkorm'!G65+'5.Int.össz'!G39</f>
        <v>0</v>
      </c>
      <c r="H63" s="1015">
        <f t="shared" si="3"/>
        <v>0</v>
      </c>
      <c r="I63" s="1423">
        <f>'4. mell.Önkorm'!R65+'5.Int.össz'!I39</f>
        <v>0</v>
      </c>
      <c r="J63" s="451">
        <f>'4. mell.Önkorm'!J65+'5.Int.össz'!J39</f>
        <v>22047644</v>
      </c>
      <c r="K63" s="1430">
        <f>'4. mell.Önkorm'!T65+'5.Int.össz'!K39</f>
        <v>0</v>
      </c>
      <c r="L63" s="1436">
        <f t="shared" si="6"/>
        <v>99.578356894449215</v>
      </c>
      <c r="M63" s="155"/>
    </row>
    <row r="64" spans="1:13" s="54" customFormat="1" ht="12.2" customHeight="1" x14ac:dyDescent="0.2">
      <c r="A64" s="1003" t="s">
        <v>108</v>
      </c>
      <c r="B64" s="435" t="s">
        <v>213</v>
      </c>
      <c r="C64" s="451">
        <f>'4. mell.Önkorm'!C66+'5.Int.össz'!C40</f>
        <v>131957503</v>
      </c>
      <c r="D64" s="446">
        <f>'4. mell.Önkorm'!D66+'5.Int.össz'!D40</f>
        <v>131957503</v>
      </c>
      <c r="E64" s="451">
        <f>'4. mell.Önkorm'!E66+'5.Int.össz'!E40</f>
        <v>136399490</v>
      </c>
      <c r="F64" s="451">
        <f>'4. mell.Önkorm'!F66+'5.Int.össz'!F40</f>
        <v>136399490</v>
      </c>
      <c r="G64" s="451">
        <f>'4. mell.Önkorm'!G66+'5.Int.össz'!G40</f>
        <v>0</v>
      </c>
      <c r="H64" s="1015">
        <f t="shared" si="3"/>
        <v>4441987</v>
      </c>
      <c r="I64" s="1423">
        <f>'4. mell.Önkorm'!R66+'5.Int.össz'!I40</f>
        <v>0</v>
      </c>
      <c r="J64" s="451">
        <f>'4. mell.Önkorm'!J66+'5.Int.össz'!J40</f>
        <v>136729252</v>
      </c>
      <c r="K64" s="1430">
        <f>'4. mell.Önkorm'!T66+'5.Int.össz'!K40</f>
        <v>0</v>
      </c>
      <c r="L64" s="1436">
        <f t="shared" si="6"/>
        <v>100.24176190101591</v>
      </c>
      <c r="M64" s="155"/>
    </row>
    <row r="65" spans="1:14" s="54" customFormat="1" ht="12.2" customHeight="1" thickBot="1" x14ac:dyDescent="0.25">
      <c r="A65" s="172" t="s">
        <v>323</v>
      </c>
      <c r="B65" s="515" t="s">
        <v>368</v>
      </c>
      <c r="C65" s="516">
        <f>'4. mell.Önkorm'!C67+'5.Int.össz'!C41</f>
        <v>131957503</v>
      </c>
      <c r="D65" s="651">
        <f>'4. mell.Önkorm'!D67+'5.Int.össz'!D41</f>
        <v>131957503</v>
      </c>
      <c r="E65" s="516">
        <f>'4. mell.Önkorm'!E67+'5.Int.össz'!E41</f>
        <v>136399490</v>
      </c>
      <c r="F65" s="516">
        <f>'4. mell.Önkorm'!F67+'5.Int.össz'!F41</f>
        <v>136399490</v>
      </c>
      <c r="G65" s="516">
        <f>'4. mell.Önkorm'!G67+'5.Int.össz'!G41</f>
        <v>0</v>
      </c>
      <c r="H65" s="652">
        <f t="shared" si="3"/>
        <v>4441987</v>
      </c>
      <c r="I65" s="1423">
        <f>'4. mell.Önkorm'!R67+'5.Int.össz'!I41</f>
        <v>0</v>
      </c>
      <c r="J65" s="451">
        <f>'4. mell.Önkorm'!J67+'5.Int.össz'!J41</f>
        <v>136399490</v>
      </c>
      <c r="K65" s="1430">
        <f>'4. mell.Önkorm'!T67+'5.Int.össz'!K41</f>
        <v>0</v>
      </c>
      <c r="L65" s="1436">
        <f t="shared" si="6"/>
        <v>100</v>
      </c>
      <c r="M65" s="155"/>
    </row>
    <row r="66" spans="1:14" s="54" customFormat="1" ht="12.2" customHeight="1" thickBot="1" x14ac:dyDescent="0.25">
      <c r="A66" s="348" t="s">
        <v>19</v>
      </c>
      <c r="B66" s="450" t="s">
        <v>628</v>
      </c>
      <c r="C66" s="512">
        <f>+C10+C24+C30+C40+C52+C58+C62</f>
        <v>7308025263</v>
      </c>
      <c r="D66" s="514">
        <f t="shared" ref="D66:I66" si="7">+D10+D24+D30+D40+D52+D58+D62</f>
        <v>7774438626</v>
      </c>
      <c r="E66" s="512">
        <f t="shared" si="7"/>
        <v>9590504960</v>
      </c>
      <c r="F66" s="512">
        <f t="shared" si="7"/>
        <v>9599181672</v>
      </c>
      <c r="G66" s="512">
        <f t="shared" si="7"/>
        <v>576263</v>
      </c>
      <c r="H66" s="1018">
        <f t="shared" si="3"/>
        <v>1816066334</v>
      </c>
      <c r="I66" s="1421">
        <f t="shared" si="7"/>
        <v>576263</v>
      </c>
      <c r="J66" s="443">
        <f t="shared" ref="J66" si="8">+J10+J24+J30+J40+J52+J58+J62</f>
        <v>9509053304</v>
      </c>
      <c r="K66" s="623">
        <f>+K10+K24+K30+K40+K52+K58+K62</f>
        <v>0</v>
      </c>
      <c r="L66" s="476">
        <f t="shared" si="6"/>
        <v>99.061082797683724</v>
      </c>
      <c r="M66" s="155"/>
    </row>
    <row r="67" spans="1:14" s="54" customFormat="1" ht="12.2" customHeight="1" thickBot="1" x14ac:dyDescent="0.25">
      <c r="A67" s="63" t="s">
        <v>20</v>
      </c>
      <c r="B67" s="438" t="s">
        <v>629</v>
      </c>
      <c r="C67" s="431">
        <f>SUM(C68:C70)</f>
        <v>0</v>
      </c>
      <c r="D67" s="430">
        <f t="shared" ref="D67:K67" si="9">SUM(D68:D70)</f>
        <v>0</v>
      </c>
      <c r="E67" s="431">
        <f t="shared" si="9"/>
        <v>0</v>
      </c>
      <c r="F67" s="431">
        <f t="shared" si="9"/>
        <v>0</v>
      </c>
      <c r="G67" s="431">
        <f t="shared" si="9"/>
        <v>0</v>
      </c>
      <c r="H67" s="1007">
        <f t="shared" si="3"/>
        <v>0</v>
      </c>
      <c r="I67" s="1416">
        <f t="shared" si="9"/>
        <v>0</v>
      </c>
      <c r="J67" s="431">
        <f t="shared" ref="J67" si="10">SUM(J68:J70)</f>
        <v>0</v>
      </c>
      <c r="K67" s="614">
        <f t="shared" si="9"/>
        <v>0</v>
      </c>
      <c r="L67" s="471" t="str">
        <f t="shared" si="6"/>
        <v/>
      </c>
      <c r="M67" s="155"/>
    </row>
    <row r="68" spans="1:14" s="54" customFormat="1" ht="12.2" customHeight="1" x14ac:dyDescent="0.2">
      <c r="A68" s="12" t="s">
        <v>171</v>
      </c>
      <c r="B68" s="432" t="s">
        <v>215</v>
      </c>
      <c r="C68" s="451">
        <f>'4. mell.Önkorm'!C70</f>
        <v>0</v>
      </c>
      <c r="D68" s="446">
        <f>'4. mell.Önkorm'!D70</f>
        <v>0</v>
      </c>
      <c r="E68" s="451">
        <f>'4. mell.Önkorm'!E70</f>
        <v>0</v>
      </c>
      <c r="F68" s="451">
        <f>'4. mell.Önkorm'!F70</f>
        <v>0</v>
      </c>
      <c r="G68" s="451">
        <f>'4. mell.Önkorm'!G70</f>
        <v>0</v>
      </c>
      <c r="H68" s="1015">
        <f t="shared" si="3"/>
        <v>0</v>
      </c>
      <c r="I68" s="1423">
        <f>'4. mell.Önkorm'!I70</f>
        <v>0</v>
      </c>
      <c r="J68" s="451">
        <f>'4. mell.Önkorm'!J70</f>
        <v>0</v>
      </c>
      <c r="K68" s="1430">
        <f>'4. mell.Önkorm'!K70</f>
        <v>0</v>
      </c>
      <c r="L68" s="1436" t="str">
        <f t="shared" si="6"/>
        <v/>
      </c>
      <c r="M68" s="155"/>
    </row>
    <row r="69" spans="1:14" s="54" customFormat="1" ht="12.2" customHeight="1" x14ac:dyDescent="0.2">
      <c r="A69" s="1003" t="s">
        <v>172</v>
      </c>
      <c r="B69" s="435" t="s">
        <v>324</v>
      </c>
      <c r="C69" s="451">
        <f>'4. mell.Önkorm'!C71</f>
        <v>0</v>
      </c>
      <c r="D69" s="446">
        <f>'4. mell.Önkorm'!D71</f>
        <v>0</v>
      </c>
      <c r="E69" s="451">
        <f>'4. mell.Önkorm'!E71</f>
        <v>0</v>
      </c>
      <c r="F69" s="451">
        <f>'4. mell.Önkorm'!F71</f>
        <v>0</v>
      </c>
      <c r="G69" s="451">
        <f>'4. mell.Önkorm'!G71</f>
        <v>0</v>
      </c>
      <c r="H69" s="1015">
        <f t="shared" si="3"/>
        <v>0</v>
      </c>
      <c r="I69" s="1423">
        <f>'4. mell.Önkorm'!I71</f>
        <v>0</v>
      </c>
      <c r="J69" s="451">
        <f>'4. mell.Önkorm'!J71</f>
        <v>0</v>
      </c>
      <c r="K69" s="1430">
        <f>'4. mell.Önkorm'!K71</f>
        <v>0</v>
      </c>
      <c r="L69" s="1436" t="str">
        <f t="shared" si="6"/>
        <v/>
      </c>
      <c r="M69" s="155"/>
    </row>
    <row r="70" spans="1:14" s="54" customFormat="1" ht="12.2" customHeight="1" thickBot="1" x14ac:dyDescent="0.25">
      <c r="A70" s="1005" t="s">
        <v>173</v>
      </c>
      <c r="B70" s="435" t="s">
        <v>513</v>
      </c>
      <c r="C70" s="451">
        <f>'4. mell.Önkorm'!C72</f>
        <v>0</v>
      </c>
      <c r="D70" s="446">
        <f>'4. mell.Önkorm'!D72</f>
        <v>0</v>
      </c>
      <c r="E70" s="451">
        <f>'4. mell.Önkorm'!E72</f>
        <v>0</v>
      </c>
      <c r="F70" s="451">
        <f>'4. mell.Önkorm'!F72</f>
        <v>0</v>
      </c>
      <c r="G70" s="451">
        <f>'4. mell.Önkorm'!G72</f>
        <v>0</v>
      </c>
      <c r="H70" s="1015">
        <f t="shared" si="3"/>
        <v>0</v>
      </c>
      <c r="I70" s="1423">
        <f>'4. mell.Önkorm'!I72</f>
        <v>0</v>
      </c>
      <c r="J70" s="451">
        <f>'4. mell.Önkorm'!J72</f>
        <v>0</v>
      </c>
      <c r="K70" s="1430">
        <f>'4. mell.Önkorm'!K72</f>
        <v>0</v>
      </c>
      <c r="L70" s="1436" t="str">
        <f t="shared" si="6"/>
        <v/>
      </c>
      <c r="M70" s="155"/>
    </row>
    <row r="71" spans="1:14" s="54" customFormat="1" ht="12.2" customHeight="1" thickBot="1" x14ac:dyDescent="0.25">
      <c r="A71" s="63" t="s">
        <v>21</v>
      </c>
      <c r="B71" s="438" t="s">
        <v>611</v>
      </c>
      <c r="C71" s="431">
        <f>SUM(C72:C74)</f>
        <v>1013629000</v>
      </c>
      <c r="D71" s="430">
        <f t="shared" ref="D71:K71" si="11">SUM(D72:D74)</f>
        <v>1482574500</v>
      </c>
      <c r="E71" s="431">
        <f t="shared" si="11"/>
        <v>1482574500</v>
      </c>
      <c r="F71" s="431">
        <f t="shared" si="11"/>
        <v>1482574500</v>
      </c>
      <c r="G71" s="431">
        <f t="shared" si="11"/>
        <v>0</v>
      </c>
      <c r="H71" s="1007">
        <f t="shared" si="3"/>
        <v>0</v>
      </c>
      <c r="I71" s="1416">
        <f t="shared" si="11"/>
        <v>0</v>
      </c>
      <c r="J71" s="431">
        <f t="shared" ref="J71" si="12">SUM(J72:J74)</f>
        <v>1279185500</v>
      </c>
      <c r="K71" s="614">
        <f t="shared" si="11"/>
        <v>0</v>
      </c>
      <c r="L71" s="471">
        <f t="shared" si="6"/>
        <v>86.281363938203441</v>
      </c>
      <c r="M71" s="155"/>
    </row>
    <row r="72" spans="1:14" s="54" customFormat="1" ht="12.2" customHeight="1" x14ac:dyDescent="0.2">
      <c r="A72" s="12" t="s">
        <v>214</v>
      </c>
      <c r="B72" s="432" t="s">
        <v>218</v>
      </c>
      <c r="C72" s="451">
        <f>+'4. mell.Önkorm'!C74</f>
        <v>1013629000</v>
      </c>
      <c r="D72" s="446">
        <f>+'4. mell.Önkorm'!D74</f>
        <v>1482574500</v>
      </c>
      <c r="E72" s="451">
        <f>+'4. mell.Önkorm'!E74</f>
        <v>1482574500</v>
      </c>
      <c r="F72" s="451">
        <f>+'4. mell.Önkorm'!F74</f>
        <v>1482574500</v>
      </c>
      <c r="G72" s="451">
        <f>+'4. mell.Önkorm'!G74</f>
        <v>0</v>
      </c>
      <c r="H72" s="1015">
        <f t="shared" si="3"/>
        <v>0</v>
      </c>
      <c r="I72" s="1423">
        <f>+'4. mell.Önkorm'!I74</f>
        <v>0</v>
      </c>
      <c r="J72" s="451">
        <f>+'4. mell.Önkorm'!J74</f>
        <v>1279185500</v>
      </c>
      <c r="K72" s="1430">
        <f>+'4. mell.Önkorm'!K74</f>
        <v>0</v>
      </c>
      <c r="L72" s="1436">
        <f t="shared" si="6"/>
        <v>86.281363938203441</v>
      </c>
      <c r="M72" s="155"/>
    </row>
    <row r="73" spans="1:14" s="54" customFormat="1" ht="12.2" customHeight="1" x14ac:dyDescent="0.2">
      <c r="A73" s="12" t="s">
        <v>640</v>
      </c>
      <c r="B73" s="432" t="s">
        <v>390</v>
      </c>
      <c r="C73" s="451">
        <f>'4. mell.Önkorm'!C75</f>
        <v>0</v>
      </c>
      <c r="D73" s="446">
        <f>'4. mell.Önkorm'!D75</f>
        <v>0</v>
      </c>
      <c r="E73" s="451">
        <f>'4. mell.Önkorm'!E75</f>
        <v>0</v>
      </c>
      <c r="F73" s="451">
        <f>'4. mell.Önkorm'!F75</f>
        <v>0</v>
      </c>
      <c r="G73" s="451">
        <f>'4. mell.Önkorm'!G75</f>
        <v>0</v>
      </c>
      <c r="H73" s="1015">
        <f t="shared" si="3"/>
        <v>0</v>
      </c>
      <c r="I73" s="1423">
        <f>'4. mell.Önkorm'!I75</f>
        <v>0</v>
      </c>
      <c r="J73" s="451">
        <f>'4. mell.Önkorm'!J75</f>
        <v>0</v>
      </c>
      <c r="K73" s="1430">
        <f>'4. mell.Önkorm'!K75</f>
        <v>0</v>
      </c>
      <c r="L73" s="1436" t="str">
        <f t="shared" si="6"/>
        <v/>
      </c>
      <c r="M73" s="155"/>
      <c r="N73" s="1178"/>
    </row>
    <row r="74" spans="1:14" s="54" customFormat="1" ht="12.2" customHeight="1" thickBot="1" x14ac:dyDescent="0.25">
      <c r="A74" s="1003" t="s">
        <v>216</v>
      </c>
      <c r="B74" s="435" t="s">
        <v>535</v>
      </c>
      <c r="C74" s="451">
        <f>'4. mell.Önkorm'!C76</f>
        <v>0</v>
      </c>
      <c r="D74" s="446">
        <f>'4. mell.Önkorm'!D76</f>
        <v>0</v>
      </c>
      <c r="E74" s="451">
        <f>'4. mell.Önkorm'!E76</f>
        <v>0</v>
      </c>
      <c r="F74" s="451">
        <f>'4. mell.Önkorm'!F76</f>
        <v>0</v>
      </c>
      <c r="G74" s="451">
        <f>'4. mell.Önkorm'!G76</f>
        <v>0</v>
      </c>
      <c r="H74" s="1015">
        <f t="shared" si="3"/>
        <v>0</v>
      </c>
      <c r="I74" s="1423">
        <f>'4. mell.Önkorm'!I76</f>
        <v>0</v>
      </c>
      <c r="J74" s="451">
        <f>'4. mell.Önkorm'!J76</f>
        <v>0</v>
      </c>
      <c r="K74" s="1430">
        <f>'4. mell.Önkorm'!K76</f>
        <v>0</v>
      </c>
      <c r="L74" s="1436" t="str">
        <f t="shared" ref="L74:L83" si="13">IF(F74=0,"",J74/F74*100)</f>
        <v/>
      </c>
      <c r="M74" s="155"/>
    </row>
    <row r="75" spans="1:14" s="54" customFormat="1" ht="12.2" customHeight="1" thickBot="1" x14ac:dyDescent="0.25">
      <c r="A75" s="63" t="s">
        <v>22</v>
      </c>
      <c r="B75" s="438" t="s">
        <v>612</v>
      </c>
      <c r="C75" s="431">
        <f>SUM(C76:C77)</f>
        <v>7081570</v>
      </c>
      <c r="D75" s="430">
        <f t="shared" ref="D75:K75" si="14">SUM(D76:D77)</f>
        <v>316292984</v>
      </c>
      <c r="E75" s="431">
        <f t="shared" si="14"/>
        <v>316292984</v>
      </c>
      <c r="F75" s="431">
        <f t="shared" si="14"/>
        <v>316292984</v>
      </c>
      <c r="G75" s="431">
        <f t="shared" si="14"/>
        <v>0</v>
      </c>
      <c r="H75" s="1007">
        <f t="shared" si="3"/>
        <v>0</v>
      </c>
      <c r="I75" s="1416">
        <f t="shared" si="14"/>
        <v>0</v>
      </c>
      <c r="J75" s="431">
        <f t="shared" ref="J75" si="15">SUM(J76:J77)</f>
        <v>316292984</v>
      </c>
      <c r="K75" s="614">
        <f t="shared" si="14"/>
        <v>0</v>
      </c>
      <c r="L75" s="471">
        <f t="shared" si="13"/>
        <v>100</v>
      </c>
      <c r="M75" s="155"/>
    </row>
    <row r="76" spans="1:14" s="54" customFormat="1" ht="12.2" customHeight="1" x14ac:dyDescent="0.2">
      <c r="A76" s="12" t="s">
        <v>217</v>
      </c>
      <c r="B76" s="452" t="s">
        <v>369</v>
      </c>
      <c r="C76" s="451">
        <f>'4. mell.Önkorm'!C78+'5.Int.össz'!C44</f>
        <v>7081570</v>
      </c>
      <c r="D76" s="446">
        <f>'4. mell.Önkorm'!D78+'5.Int.össz'!D44</f>
        <v>315782769</v>
      </c>
      <c r="E76" s="451">
        <f>'4. mell.Önkorm'!E78+'5.Int.össz'!E44</f>
        <v>315782769</v>
      </c>
      <c r="F76" s="451">
        <f>'4. mell.Önkorm'!F78+'5.Int.össz'!F44</f>
        <v>315782769</v>
      </c>
      <c r="G76" s="451">
        <f>'4. mell.Önkorm'!G78+'5.Int.össz'!G44</f>
        <v>0</v>
      </c>
      <c r="H76" s="1015">
        <f t="shared" ref="H76:H83" si="16">+E76-D76</f>
        <v>0</v>
      </c>
      <c r="I76" s="1423">
        <f>'4. mell.Önkorm'!I78+'5.Int.össz'!I44</f>
        <v>0</v>
      </c>
      <c r="J76" s="451">
        <f>'4. mell.Önkorm'!J78+'5.Int.össz'!J44</f>
        <v>315782769</v>
      </c>
      <c r="K76" s="1430">
        <f>'4. mell.Önkorm'!K78+'5.Int.össz'!K44</f>
        <v>0</v>
      </c>
      <c r="L76" s="1436">
        <f t="shared" si="13"/>
        <v>100</v>
      </c>
      <c r="M76" s="155" t="s">
        <v>385</v>
      </c>
    </row>
    <row r="77" spans="1:14" s="54" customFormat="1" ht="12.2" customHeight="1" thickBot="1" x14ac:dyDescent="0.25">
      <c r="A77" s="1005" t="s">
        <v>219</v>
      </c>
      <c r="B77" s="452" t="s">
        <v>370</v>
      </c>
      <c r="C77" s="451">
        <f>'4. mell.Önkorm'!C79+'5.Int.össz'!C45</f>
        <v>0</v>
      </c>
      <c r="D77" s="446">
        <f>'4. mell.Önkorm'!D79+'5.Int.össz'!D45</f>
        <v>510215</v>
      </c>
      <c r="E77" s="451">
        <f>'4. mell.Önkorm'!E79+'5.Int.össz'!E45</f>
        <v>510215</v>
      </c>
      <c r="F77" s="451">
        <f>'4. mell.Önkorm'!F79+'5.Int.össz'!F45</f>
        <v>510215</v>
      </c>
      <c r="G77" s="451">
        <f>'4. mell.Önkorm'!G79+'5.Int.össz'!G45</f>
        <v>0</v>
      </c>
      <c r="H77" s="1015">
        <f t="shared" si="16"/>
        <v>0</v>
      </c>
      <c r="I77" s="1423">
        <f>'4. mell.Önkorm'!I79+'5.Int.össz'!I45</f>
        <v>0</v>
      </c>
      <c r="J77" s="451">
        <f>'4. mell.Önkorm'!J79+'5.Int.össz'!J45</f>
        <v>510215</v>
      </c>
      <c r="K77" s="1430">
        <f>'4. mell.Önkorm'!K79+'5.Int.össz'!K45</f>
        <v>0</v>
      </c>
      <c r="L77" s="1436">
        <f t="shared" si="13"/>
        <v>100</v>
      </c>
      <c r="M77" s="155"/>
    </row>
    <row r="78" spans="1:14" s="26" customFormat="1" ht="12.2" customHeight="1" thickBot="1" x14ac:dyDescent="0.25">
      <c r="A78" s="63" t="s">
        <v>23</v>
      </c>
      <c r="B78" s="438" t="s">
        <v>613</v>
      </c>
      <c r="C78" s="431">
        <f>SUM(C79:C81)</f>
        <v>4200000000</v>
      </c>
      <c r="D78" s="430">
        <f t="shared" ref="D78:K78" si="17">SUM(D79:D81)</f>
        <v>5662567692</v>
      </c>
      <c r="E78" s="431">
        <f t="shared" si="17"/>
        <v>6461524380</v>
      </c>
      <c r="F78" s="431">
        <f t="shared" si="17"/>
        <v>6731480322</v>
      </c>
      <c r="G78" s="431">
        <f t="shared" si="17"/>
        <v>0</v>
      </c>
      <c r="H78" s="1007">
        <f t="shared" si="16"/>
        <v>798956688</v>
      </c>
      <c r="I78" s="1416">
        <f t="shared" si="17"/>
        <v>0</v>
      </c>
      <c r="J78" s="431">
        <f t="shared" ref="J78" si="18">SUM(J79:J81)</f>
        <v>74155604157</v>
      </c>
      <c r="K78" s="614">
        <f t="shared" si="17"/>
        <v>0</v>
      </c>
      <c r="L78" s="471">
        <f t="shared" si="13"/>
        <v>1101.6240204200362</v>
      </c>
      <c r="M78" s="155"/>
    </row>
    <row r="79" spans="1:14" s="54" customFormat="1" ht="12.2" customHeight="1" x14ac:dyDescent="0.2">
      <c r="A79" s="12" t="s">
        <v>220</v>
      </c>
      <c r="B79" s="432" t="s">
        <v>303</v>
      </c>
      <c r="C79" s="451">
        <f>'4. mell.Önkorm'!C81</f>
        <v>0</v>
      </c>
      <c r="D79" s="446">
        <f>'4. mell.Önkorm'!D81</f>
        <v>1462567692</v>
      </c>
      <c r="E79" s="451">
        <f>'4. mell.Önkorm'!E81</f>
        <v>2261524380</v>
      </c>
      <c r="F79" s="451">
        <f>'4. mell.Önkorm'!F81</f>
        <v>2531480322</v>
      </c>
      <c r="G79" s="451">
        <f>'4. mell.Önkorm'!G81</f>
        <v>0</v>
      </c>
      <c r="H79" s="1015">
        <f t="shared" si="16"/>
        <v>798956688</v>
      </c>
      <c r="I79" s="1423">
        <f>'4. mell.Önkorm'!I81</f>
        <v>0</v>
      </c>
      <c r="J79" s="451">
        <f>'4. mell.Önkorm'!J81</f>
        <v>2531480322</v>
      </c>
      <c r="K79" s="1430">
        <f>'4. mell.Önkorm'!K81</f>
        <v>0</v>
      </c>
      <c r="L79" s="1436">
        <f t="shared" si="13"/>
        <v>100</v>
      </c>
      <c r="M79" s="155"/>
    </row>
    <row r="80" spans="1:14" s="54" customFormat="1" ht="12.2" customHeight="1" x14ac:dyDescent="0.2">
      <c r="A80" s="1003" t="s">
        <v>221</v>
      </c>
      <c r="B80" s="435" t="s">
        <v>304</v>
      </c>
      <c r="C80" s="451">
        <f>'4. mell.Önkorm'!C82</f>
        <v>0</v>
      </c>
      <c r="D80" s="446">
        <f>'4. mell.Önkorm'!D82</f>
        <v>0</v>
      </c>
      <c r="E80" s="451">
        <f>'4. mell.Önkorm'!E82</f>
        <v>0</v>
      </c>
      <c r="F80" s="451">
        <f>'4. mell.Önkorm'!F82</f>
        <v>0</v>
      </c>
      <c r="G80" s="451">
        <f>'4. mell.Önkorm'!G82</f>
        <v>0</v>
      </c>
      <c r="H80" s="1015">
        <f t="shared" si="16"/>
        <v>0</v>
      </c>
      <c r="I80" s="1423">
        <f>'4. mell.Önkorm'!I82</f>
        <v>0</v>
      </c>
      <c r="J80" s="451">
        <f>'4. mell.Önkorm'!J82</f>
        <v>0</v>
      </c>
      <c r="K80" s="1430">
        <f>'4. mell.Önkorm'!K82</f>
        <v>0</v>
      </c>
      <c r="L80" s="1436" t="str">
        <f t="shared" si="13"/>
        <v/>
      </c>
      <c r="M80" s="154"/>
    </row>
    <row r="81" spans="1:14" s="54" customFormat="1" ht="12.2" customHeight="1" thickBot="1" x14ac:dyDescent="0.25">
      <c r="A81" s="1005" t="s">
        <v>325</v>
      </c>
      <c r="B81" s="436" t="s">
        <v>378</v>
      </c>
      <c r="C81" s="451">
        <f>'4. mell.Önkorm'!C83</f>
        <v>4200000000</v>
      </c>
      <c r="D81" s="446">
        <f>'4. mell.Önkorm'!D83</f>
        <v>4200000000</v>
      </c>
      <c r="E81" s="451">
        <f>'4. mell.Önkorm'!E83</f>
        <v>4200000000</v>
      </c>
      <c r="F81" s="451">
        <f>'4. mell.Önkorm'!F83</f>
        <v>4200000000</v>
      </c>
      <c r="G81" s="451">
        <f>'4. mell.Önkorm'!G83</f>
        <v>0</v>
      </c>
      <c r="H81" s="1015">
        <f t="shared" si="16"/>
        <v>0</v>
      </c>
      <c r="I81" s="1423">
        <f>'4. mell.Önkorm'!I83</f>
        <v>0</v>
      </c>
      <c r="J81" s="451">
        <f>'4. mell.Önkorm'!J83</f>
        <v>71624123835</v>
      </c>
      <c r="K81" s="1430">
        <f>'4. mell.Önkorm'!K83</f>
        <v>0</v>
      </c>
      <c r="L81" s="1436">
        <f t="shared" si="13"/>
        <v>1705.3362817857142</v>
      </c>
      <c r="M81" s="155"/>
      <c r="N81" s="54" t="s">
        <v>385</v>
      </c>
    </row>
    <row r="82" spans="1:14" s="26" customFormat="1" ht="12.2" customHeight="1" thickBot="1" x14ac:dyDescent="0.25">
      <c r="A82" s="63" t="s">
        <v>24</v>
      </c>
      <c r="B82" s="453" t="s">
        <v>614</v>
      </c>
      <c r="C82" s="443">
        <f>+C67+C71+C75+C78</f>
        <v>5220710570</v>
      </c>
      <c r="D82" s="442">
        <f t="shared" ref="D82:K82" si="19">+D67+D71+D75+D78</f>
        <v>7461435176</v>
      </c>
      <c r="E82" s="443">
        <f t="shared" si="19"/>
        <v>8260391864</v>
      </c>
      <c r="F82" s="443">
        <f t="shared" si="19"/>
        <v>8530347806</v>
      </c>
      <c r="G82" s="443">
        <f t="shared" si="19"/>
        <v>0</v>
      </c>
      <c r="H82" s="1013">
        <f t="shared" si="16"/>
        <v>798956688</v>
      </c>
      <c r="I82" s="1421">
        <f t="shared" si="19"/>
        <v>0</v>
      </c>
      <c r="J82" s="443">
        <f t="shared" ref="J82" si="20">+J67+J71+J75+J78</f>
        <v>75751082641</v>
      </c>
      <c r="K82" s="623">
        <f t="shared" si="19"/>
        <v>0</v>
      </c>
      <c r="L82" s="476">
        <f t="shared" si="13"/>
        <v>888.01868767553515</v>
      </c>
      <c r="M82" s="155"/>
    </row>
    <row r="83" spans="1:14" s="26" customFormat="1" ht="12.2" customHeight="1" thickBot="1" x14ac:dyDescent="0.25">
      <c r="A83" s="80" t="s">
        <v>25</v>
      </c>
      <c r="B83" s="454" t="s">
        <v>635</v>
      </c>
      <c r="C83" s="443">
        <f>+C66+C82</f>
        <v>12528735833</v>
      </c>
      <c r="D83" s="442">
        <f t="shared" ref="D83:K83" si="21">+D66+D82</f>
        <v>15235873802</v>
      </c>
      <c r="E83" s="443">
        <f t="shared" si="21"/>
        <v>17850896824</v>
      </c>
      <c r="F83" s="443">
        <f t="shared" si="21"/>
        <v>18129529478</v>
      </c>
      <c r="G83" s="443">
        <f t="shared" si="21"/>
        <v>576263</v>
      </c>
      <c r="H83" s="1013">
        <f t="shared" si="16"/>
        <v>2615023022</v>
      </c>
      <c r="I83" s="1421">
        <f t="shared" si="21"/>
        <v>576263</v>
      </c>
      <c r="J83" s="443">
        <f t="shared" ref="J83" si="22">+J66+J82</f>
        <v>85260135945</v>
      </c>
      <c r="K83" s="623">
        <f t="shared" si="21"/>
        <v>0</v>
      </c>
      <c r="L83" s="476">
        <f t="shared" si="13"/>
        <v>470.28322521255899</v>
      </c>
      <c r="M83" s="155"/>
    </row>
    <row r="84" spans="1:14" s="54" customFormat="1" ht="15" customHeight="1" x14ac:dyDescent="0.2">
      <c r="A84" s="64"/>
      <c r="B84" s="455"/>
      <c r="C84" s="456"/>
      <c r="D84" s="168"/>
      <c r="E84" s="168"/>
      <c r="F84" s="168"/>
      <c r="G84" s="168"/>
      <c r="H84" s="168"/>
      <c r="I84" s="168"/>
      <c r="J84" s="168"/>
      <c r="K84" s="168"/>
      <c r="L84" s="141"/>
      <c r="M84" s="26"/>
    </row>
  </sheetData>
  <sheetProtection formatCells="0"/>
  <mergeCells count="7">
    <mergeCell ref="A6:L6"/>
    <mergeCell ref="A7:L7"/>
    <mergeCell ref="A2:H2"/>
    <mergeCell ref="A3:L3"/>
    <mergeCell ref="A4:L4"/>
    <mergeCell ref="A5:L5"/>
    <mergeCell ref="A1:L1"/>
  </mergeCells>
  <phoneticPr fontId="45" type="noConversion"/>
  <printOptions horizontalCentered="1"/>
  <pageMargins left="0.19685039370078741" right="0.19685039370078741" top="0.59055118110236227" bottom="0.19685039370078741" header="0.47244094488188981" footer="0.59055118110236227"/>
  <pageSetup paperSize="9" scale="80" orientation="portrait" r:id="rId1"/>
  <headerFooter alignWithMargins="0"/>
  <rowBreaks count="1" manualBreakCount="1">
    <brk id="66" max="11" man="1"/>
  </rowBreaks>
  <colBreaks count="1" manualBreakCount="1">
    <brk id="1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view="pageBreakPreview" topLeftCell="A40" zoomScale="130" zoomScaleNormal="129" zoomScaleSheetLayoutView="130" workbookViewId="0">
      <selection activeCell="J46" sqref="J46:J47"/>
    </sheetView>
  </sheetViews>
  <sheetFormatPr defaultColWidth="9.33203125" defaultRowHeight="12.75" x14ac:dyDescent="0.2"/>
  <cols>
    <col min="1" max="1" width="13.83203125" style="1414" customWidth="1"/>
    <col min="2" max="2" width="67.5" style="25" customWidth="1"/>
    <col min="3" max="3" width="15.83203125" style="25" customWidth="1"/>
    <col min="4" max="4" width="15.83203125" style="25" hidden="1" customWidth="1"/>
    <col min="5" max="5" width="15.5" style="25" customWidth="1"/>
    <col min="6" max="6" width="15" style="25" customWidth="1"/>
    <col min="7" max="9" width="15.83203125" style="25" hidden="1" customWidth="1"/>
    <col min="10" max="10" width="13.33203125" style="25" customWidth="1"/>
    <col min="11" max="11" width="15.83203125" style="25" hidden="1" customWidth="1"/>
    <col min="12" max="12" width="9.1640625" style="140" customWidth="1"/>
    <col min="13" max="13" width="9.33203125" style="25" customWidth="1"/>
    <col min="14" max="14" width="14.33203125" style="25" bestFit="1" customWidth="1"/>
    <col min="15" max="16384" width="9.33203125" style="25"/>
  </cols>
  <sheetData>
    <row r="1" spans="1:12" ht="12.75" customHeight="1" x14ac:dyDescent="0.2">
      <c r="A1" s="1773" t="s">
        <v>821</v>
      </c>
      <c r="B1" s="1773"/>
      <c r="C1" s="1773"/>
      <c r="D1" s="1773"/>
      <c r="E1" s="1773"/>
      <c r="F1" s="1773"/>
      <c r="G1" s="1773"/>
      <c r="H1" s="1773"/>
      <c r="I1" s="1773"/>
      <c r="J1" s="1773"/>
      <c r="K1" s="1773"/>
      <c r="L1" s="1773"/>
    </row>
    <row r="2" spans="1:12" ht="12.75" customHeight="1" x14ac:dyDescent="0.2">
      <c r="A2" s="1773"/>
      <c r="B2" s="1773"/>
      <c r="C2" s="1773"/>
      <c r="D2" s="1773"/>
      <c r="E2" s="1773"/>
      <c r="F2" s="1773"/>
      <c r="G2" s="1773"/>
      <c r="H2" s="1773"/>
      <c r="I2" s="83"/>
      <c r="J2" s="83"/>
      <c r="K2" s="83"/>
      <c r="L2" s="142"/>
    </row>
    <row r="3" spans="1:12" s="24" customFormat="1" ht="21.2" customHeight="1" thickBot="1" x14ac:dyDescent="0.25">
      <c r="A3" s="1773"/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</row>
    <row r="4" spans="1:12" s="38" customFormat="1" ht="35.450000000000003" customHeight="1" x14ac:dyDescent="0.2">
      <c r="A4" s="36" t="s">
        <v>137</v>
      </c>
      <c r="B4" s="37" t="s">
        <v>289</v>
      </c>
      <c r="C4" s="1806" t="s">
        <v>183</v>
      </c>
      <c r="D4" s="1807"/>
      <c r="E4" s="1807"/>
      <c r="F4" s="1807"/>
      <c r="G4" s="1807"/>
      <c r="H4" s="1807"/>
      <c r="I4" s="1807"/>
      <c r="J4" s="1807"/>
      <c r="K4" s="1807"/>
      <c r="L4" s="1808"/>
    </row>
    <row r="5" spans="1:12" s="38" customFormat="1" ht="24.75" thickBot="1" x14ac:dyDescent="0.25">
      <c r="A5" s="39" t="s">
        <v>139</v>
      </c>
      <c r="B5" s="40" t="s">
        <v>140</v>
      </c>
      <c r="C5" s="1809" t="s">
        <v>141</v>
      </c>
      <c r="D5" s="1810"/>
      <c r="E5" s="1810"/>
      <c r="F5" s="1810"/>
      <c r="G5" s="1810"/>
      <c r="H5" s="1810"/>
      <c r="I5" s="1810"/>
      <c r="J5" s="1810"/>
      <c r="K5" s="1810"/>
      <c r="L5" s="1811"/>
    </row>
    <row r="6" spans="1:12" s="41" customFormat="1" ht="15.95" customHeight="1" thickBot="1" x14ac:dyDescent="0.3">
      <c r="A6" s="1812" t="s">
        <v>362</v>
      </c>
      <c r="B6" s="1812"/>
      <c r="C6" s="1812"/>
      <c r="D6" s="1812"/>
      <c r="E6" s="1812"/>
      <c r="F6" s="1812"/>
      <c r="G6" s="1812"/>
      <c r="H6" s="1812"/>
      <c r="I6" s="1812"/>
      <c r="J6" s="1812"/>
      <c r="K6" s="1812"/>
      <c r="L6" s="1812"/>
    </row>
    <row r="7" spans="1:12" ht="48.75" customHeight="1" thickBot="1" x14ac:dyDescent="0.25">
      <c r="A7" s="1413" t="s">
        <v>142</v>
      </c>
      <c r="B7" s="42" t="s">
        <v>36</v>
      </c>
      <c r="C7" s="42" t="str">
        <f>'1. mell.bevétel_össz'!C8</f>
        <v>2023. évi eredeti előirányzat
2/2023. (II.14.)</v>
      </c>
      <c r="D7" s="191" t="str">
        <f>'1. mell.bevétel_össz'!D8</f>
        <v>Módosított előirányzat a 14/2023.  (VI.29.)  rendelet szerint</v>
      </c>
      <c r="E7" s="42" t="str">
        <f>'1. mell.bevétel_össz'!E8</f>
        <v>Módosított előirányzat a 18/2023. (IX.26.)  rendelet szerint</v>
      </c>
      <c r="F7" s="42" t="str">
        <f>'1. mell.bevétel_össz'!F8</f>
        <v>Módosított előirányzat 2023.09.30-án</v>
      </c>
      <c r="G7" s="1492" t="str">
        <f>'1. mell.bevétel_össz'!G8</f>
        <v>Módosított előirányzat a …../2023. (II…..)  rendelet szerint</v>
      </c>
      <c r="H7" s="179" t="str">
        <f>'1. mell.bevétel_össz'!H8</f>
        <v>Változás a 14/2023. (VI.29.) rendelethez képest</v>
      </c>
      <c r="I7" s="1453" t="str">
        <f>'1. mell.bevétel_össz'!I8</f>
        <v>2023. évi teljesítés              2023.06.30-ig</v>
      </c>
      <c r="J7" s="42" t="str">
        <f>'1. mell.bevétel_össz'!J8</f>
        <v>2023. évi teljesítés              2023.09.30-ig</v>
      </c>
      <c r="K7" s="1453" t="str">
        <f>'1. mell.bevétel_össz'!K8</f>
        <v>2023. évi teljesítés              2023.12.31-ig</v>
      </c>
      <c r="L7" s="1464" t="str">
        <f>'1. mell.bevétel_össz'!L8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989" t="s">
        <v>299</v>
      </c>
      <c r="D8" s="182" t="s">
        <v>300</v>
      </c>
      <c r="E8" s="44" t="s">
        <v>300</v>
      </c>
      <c r="F8" s="44" t="s">
        <v>301</v>
      </c>
      <c r="G8" s="44" t="s">
        <v>424</v>
      </c>
      <c r="H8" s="180" t="s">
        <v>388</v>
      </c>
      <c r="I8" s="1415" t="s">
        <v>299</v>
      </c>
      <c r="J8" s="44" t="s">
        <v>388</v>
      </c>
      <c r="K8" s="620" t="s">
        <v>299</v>
      </c>
      <c r="L8" s="137" t="s">
        <v>424</v>
      </c>
    </row>
    <row r="9" spans="1:12" s="46" customFormat="1" ht="15.95" customHeight="1" thickBot="1" x14ac:dyDescent="0.25">
      <c r="A9" s="1801" t="s">
        <v>11</v>
      </c>
      <c r="B9" s="1802"/>
      <c r="C9" s="1802"/>
      <c r="D9" s="1802"/>
      <c r="E9" s="1802"/>
      <c r="F9" s="1802"/>
      <c r="G9" s="1802"/>
      <c r="H9" s="1802"/>
      <c r="I9" s="1802"/>
      <c r="J9" s="1802"/>
      <c r="K9" s="1802"/>
      <c r="L9" s="1802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0</v>
      </c>
      <c r="D10" s="127">
        <f t="shared" ref="D10:K10" si="0">SUM(D11:D21)</f>
        <v>0</v>
      </c>
      <c r="E10" s="89">
        <f t="shared" si="0"/>
        <v>0</v>
      </c>
      <c r="F10" s="89">
        <f t="shared" si="0"/>
        <v>0</v>
      </c>
      <c r="G10" s="582">
        <f t="shared" si="0"/>
        <v>0</v>
      </c>
      <c r="H10" s="48">
        <f>+E10-D10</f>
        <v>0</v>
      </c>
      <c r="I10" s="1495">
        <f t="shared" si="0"/>
        <v>0</v>
      </c>
      <c r="J10" s="89">
        <f t="shared" si="0"/>
        <v>6059</v>
      </c>
      <c r="K10" s="1495">
        <f t="shared" si="0"/>
        <v>0</v>
      </c>
      <c r="L10" s="1509" t="str">
        <f t="shared" ref="L10:L48" si="1">IF(F10=0,"",J10/F10*100)</f>
        <v/>
      </c>
    </row>
    <row r="11" spans="1:12" s="26" customFormat="1" ht="12.2" customHeight="1" x14ac:dyDescent="0.2">
      <c r="A11" s="49" t="s">
        <v>91</v>
      </c>
      <c r="B11" s="50" t="s">
        <v>143</v>
      </c>
      <c r="C11" s="128"/>
      <c r="D11" s="192"/>
      <c r="E11" s="128"/>
      <c r="F11" s="128"/>
      <c r="G11" s="583"/>
      <c r="H11" s="51">
        <f t="shared" ref="H11:H47" si="2">+E11-D11</f>
        <v>0</v>
      </c>
      <c r="I11" s="1496"/>
      <c r="J11" s="128"/>
      <c r="K11" s="1496"/>
      <c r="L11" s="1510" t="str">
        <f t="shared" si="1"/>
        <v/>
      </c>
    </row>
    <row r="12" spans="1:12" s="26" customFormat="1" ht="12.2" customHeight="1" x14ac:dyDescent="0.2">
      <c r="A12" s="1037" t="s">
        <v>92</v>
      </c>
      <c r="B12" s="330" t="s">
        <v>144</v>
      </c>
      <c r="C12" s="331"/>
      <c r="D12" s="340"/>
      <c r="E12" s="331"/>
      <c r="F12" s="331"/>
      <c r="G12" s="88"/>
      <c r="H12" s="332">
        <f t="shared" si="2"/>
        <v>0</v>
      </c>
      <c r="I12" s="1497"/>
      <c r="J12" s="331"/>
      <c r="K12" s="1497"/>
      <c r="L12" s="1511" t="str">
        <f t="shared" si="1"/>
        <v/>
      </c>
    </row>
    <row r="13" spans="1:12" s="26" customFormat="1" ht="12.2" customHeight="1" x14ac:dyDescent="0.2">
      <c r="A13" s="1037" t="s">
        <v>93</v>
      </c>
      <c r="B13" s="330" t="s">
        <v>145</v>
      </c>
      <c r="C13" s="331"/>
      <c r="D13" s="340"/>
      <c r="E13" s="331"/>
      <c r="F13" s="331"/>
      <c r="G13" s="88"/>
      <c r="H13" s="332">
        <f t="shared" si="2"/>
        <v>0</v>
      </c>
      <c r="I13" s="1497"/>
      <c r="J13" s="331"/>
      <c r="K13" s="1497"/>
      <c r="L13" s="1511" t="str">
        <f t="shared" si="1"/>
        <v/>
      </c>
    </row>
    <row r="14" spans="1:12" s="26" customFormat="1" ht="12.2" customHeight="1" x14ac:dyDescent="0.2">
      <c r="A14" s="1037" t="s">
        <v>90</v>
      </c>
      <c r="B14" s="330" t="s">
        <v>146</v>
      </c>
      <c r="C14" s="331"/>
      <c r="D14" s="340"/>
      <c r="E14" s="331"/>
      <c r="F14" s="331"/>
      <c r="G14" s="88"/>
      <c r="H14" s="332">
        <f t="shared" si="2"/>
        <v>0</v>
      </c>
      <c r="I14" s="1497"/>
      <c r="J14" s="331"/>
      <c r="K14" s="1497"/>
      <c r="L14" s="1511" t="str">
        <f t="shared" si="1"/>
        <v/>
      </c>
    </row>
    <row r="15" spans="1:12" s="26" customFormat="1" ht="12.2" customHeight="1" x14ac:dyDescent="0.2">
      <c r="A15" s="1037" t="s">
        <v>147</v>
      </c>
      <c r="B15" s="330" t="s">
        <v>148</v>
      </c>
      <c r="C15" s="331"/>
      <c r="D15" s="340"/>
      <c r="E15" s="331"/>
      <c r="F15" s="331"/>
      <c r="G15" s="88"/>
      <c r="H15" s="332">
        <f t="shared" si="2"/>
        <v>0</v>
      </c>
      <c r="I15" s="1497"/>
      <c r="J15" s="331"/>
      <c r="K15" s="1497"/>
      <c r="L15" s="1511" t="str">
        <f t="shared" si="1"/>
        <v/>
      </c>
    </row>
    <row r="16" spans="1:12" s="26" customFormat="1" ht="12.2" customHeight="1" x14ac:dyDescent="0.2">
      <c r="A16" s="1037" t="s">
        <v>149</v>
      </c>
      <c r="B16" s="330" t="s">
        <v>150</v>
      </c>
      <c r="C16" s="331"/>
      <c r="D16" s="340"/>
      <c r="E16" s="331"/>
      <c r="F16" s="331"/>
      <c r="G16" s="88"/>
      <c r="H16" s="332">
        <f t="shared" si="2"/>
        <v>0</v>
      </c>
      <c r="I16" s="1497"/>
      <c r="J16" s="331">
        <v>6059</v>
      </c>
      <c r="K16" s="1497"/>
      <c r="L16" s="1511" t="str">
        <f t="shared" si="1"/>
        <v/>
      </c>
    </row>
    <row r="17" spans="1:12" s="26" customFormat="1" ht="12.2" customHeight="1" x14ac:dyDescent="0.2">
      <c r="A17" s="1037" t="s">
        <v>151</v>
      </c>
      <c r="B17" s="52" t="s">
        <v>152</v>
      </c>
      <c r="C17" s="331"/>
      <c r="D17" s="340"/>
      <c r="E17" s="331"/>
      <c r="F17" s="331"/>
      <c r="G17" s="88"/>
      <c r="H17" s="332">
        <f t="shared" si="2"/>
        <v>0</v>
      </c>
      <c r="I17" s="1497"/>
      <c r="J17" s="331"/>
      <c r="K17" s="1497"/>
      <c r="L17" s="1511" t="str">
        <f t="shared" si="1"/>
        <v/>
      </c>
    </row>
    <row r="18" spans="1:12" s="26" customFormat="1" ht="12.2" customHeight="1" x14ac:dyDescent="0.2">
      <c r="A18" s="1037" t="s">
        <v>153</v>
      </c>
      <c r="B18" s="345" t="s">
        <v>302</v>
      </c>
      <c r="C18" s="121"/>
      <c r="D18" s="188"/>
      <c r="E18" s="121"/>
      <c r="F18" s="121"/>
      <c r="G18" s="90"/>
      <c r="H18" s="53">
        <f t="shared" si="2"/>
        <v>0</v>
      </c>
      <c r="I18" s="1498"/>
      <c r="J18" s="121"/>
      <c r="K18" s="1498"/>
      <c r="L18" s="1512" t="str">
        <f t="shared" si="1"/>
        <v/>
      </c>
    </row>
    <row r="19" spans="1:12" s="54" customFormat="1" ht="12.2" customHeight="1" x14ac:dyDescent="0.2">
      <c r="A19" s="1037" t="s">
        <v>154</v>
      </c>
      <c r="B19" s="330" t="s">
        <v>155</v>
      </c>
      <c r="C19" s="331"/>
      <c r="D19" s="340"/>
      <c r="E19" s="331"/>
      <c r="F19" s="331"/>
      <c r="G19" s="88"/>
      <c r="H19" s="332">
        <f t="shared" si="2"/>
        <v>0</v>
      </c>
      <c r="I19" s="1497"/>
      <c r="J19" s="331"/>
      <c r="K19" s="1497"/>
      <c r="L19" s="1511" t="str">
        <f t="shared" si="1"/>
        <v/>
      </c>
    </row>
    <row r="20" spans="1:12" s="54" customFormat="1" ht="12.2" customHeight="1" x14ac:dyDescent="0.2">
      <c r="A20" s="1037" t="s">
        <v>156</v>
      </c>
      <c r="B20" s="345" t="s">
        <v>275</v>
      </c>
      <c r="C20" s="331"/>
      <c r="D20" s="341"/>
      <c r="E20" s="333"/>
      <c r="F20" s="1493"/>
      <c r="G20" s="1488"/>
      <c r="H20" s="334">
        <f t="shared" si="2"/>
        <v>0</v>
      </c>
      <c r="I20" s="1499"/>
      <c r="J20" s="1493"/>
      <c r="K20" s="1499"/>
      <c r="L20" s="1513" t="str">
        <f t="shared" si="1"/>
        <v/>
      </c>
    </row>
    <row r="21" spans="1:12" s="54" customFormat="1" ht="12.2" customHeight="1" thickBot="1" x14ac:dyDescent="0.25">
      <c r="A21" s="1037" t="s">
        <v>276</v>
      </c>
      <c r="B21" s="52" t="s">
        <v>157</v>
      </c>
      <c r="C21" s="331"/>
      <c r="D21" s="341"/>
      <c r="E21" s="333"/>
      <c r="F21" s="1493"/>
      <c r="G21" s="1488"/>
      <c r="H21" s="334">
        <f t="shared" si="2"/>
        <v>0</v>
      </c>
      <c r="I21" s="1499"/>
      <c r="J21" s="1493"/>
      <c r="K21" s="1499"/>
      <c r="L21" s="1513" t="str">
        <f t="shared" si="1"/>
        <v/>
      </c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SUM(C23:C25)</f>
        <v>0</v>
      </c>
      <c r="D22" s="127">
        <f t="shared" ref="D22:K22" si="3">SUM(D23:D25)</f>
        <v>0</v>
      </c>
      <c r="E22" s="89">
        <f t="shared" si="3"/>
        <v>662856</v>
      </c>
      <c r="F22" s="89">
        <f t="shared" si="3"/>
        <v>662856</v>
      </c>
      <c r="G22" s="582">
        <f t="shared" si="3"/>
        <v>0</v>
      </c>
      <c r="H22" s="48">
        <f t="shared" si="2"/>
        <v>662856</v>
      </c>
      <c r="I22" s="1495">
        <f t="shared" si="3"/>
        <v>0</v>
      </c>
      <c r="J22" s="89">
        <f t="shared" si="3"/>
        <v>662856</v>
      </c>
      <c r="K22" s="1495">
        <f t="shared" si="3"/>
        <v>0</v>
      </c>
      <c r="L22" s="1509">
        <f t="shared" si="1"/>
        <v>100</v>
      </c>
    </row>
    <row r="23" spans="1:12" s="54" customFormat="1" ht="12.2" customHeight="1" x14ac:dyDescent="0.2">
      <c r="A23" s="1037" t="s">
        <v>94</v>
      </c>
      <c r="B23" s="17" t="s">
        <v>159</v>
      </c>
      <c r="C23" s="331"/>
      <c r="D23" s="340"/>
      <c r="E23" s="331"/>
      <c r="F23" s="331"/>
      <c r="G23" s="88"/>
      <c r="H23" s="332">
        <f t="shared" si="2"/>
        <v>0</v>
      </c>
      <c r="I23" s="1497"/>
      <c r="J23" s="331"/>
      <c r="K23" s="1497"/>
      <c r="L23" s="1511" t="str">
        <f t="shared" si="1"/>
        <v/>
      </c>
    </row>
    <row r="24" spans="1:12" s="54" customFormat="1" ht="12.2" customHeight="1" x14ac:dyDescent="0.2">
      <c r="A24" s="1037" t="s">
        <v>95</v>
      </c>
      <c r="B24" s="330" t="s">
        <v>160</v>
      </c>
      <c r="C24" s="331"/>
      <c r="D24" s="340"/>
      <c r="E24" s="331"/>
      <c r="F24" s="331"/>
      <c r="G24" s="88"/>
      <c r="H24" s="332">
        <f t="shared" si="2"/>
        <v>0</v>
      </c>
      <c r="I24" s="1497"/>
      <c r="J24" s="331"/>
      <c r="K24" s="1497"/>
      <c r="L24" s="1511" t="str">
        <f t="shared" si="1"/>
        <v/>
      </c>
    </row>
    <row r="25" spans="1:12" s="54" customFormat="1" ht="12.2" customHeight="1" x14ac:dyDescent="0.2">
      <c r="A25" s="1037" t="s">
        <v>96</v>
      </c>
      <c r="B25" s="330" t="s">
        <v>161</v>
      </c>
      <c r="C25" s="331"/>
      <c r="D25" s="340"/>
      <c r="E25" s="331">
        <v>662856</v>
      </c>
      <c r="F25" s="331">
        <v>662856</v>
      </c>
      <c r="G25" s="88"/>
      <c r="H25" s="332">
        <f t="shared" si="2"/>
        <v>662856</v>
      </c>
      <c r="I25" s="1497"/>
      <c r="J25" s="331">
        <v>662856</v>
      </c>
      <c r="K25" s="1497"/>
      <c r="L25" s="1511">
        <f t="shared" si="1"/>
        <v>100</v>
      </c>
    </row>
    <row r="26" spans="1:12" s="54" customFormat="1" ht="12.2" customHeight="1" thickBot="1" x14ac:dyDescent="0.25">
      <c r="A26" s="1037" t="s">
        <v>317</v>
      </c>
      <c r="B26" s="335" t="s">
        <v>233</v>
      </c>
      <c r="C26" s="331"/>
      <c r="D26" s="340"/>
      <c r="E26" s="331"/>
      <c r="F26" s="331"/>
      <c r="G26" s="88"/>
      <c r="H26" s="332">
        <f t="shared" si="2"/>
        <v>0</v>
      </c>
      <c r="I26" s="1497"/>
      <c r="J26" s="331"/>
      <c r="K26" s="1497"/>
      <c r="L26" s="1511" t="str">
        <f t="shared" si="1"/>
        <v/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30"/>
      <c r="D27" s="129"/>
      <c r="E27" s="130"/>
      <c r="F27" s="130"/>
      <c r="G27" s="585"/>
      <c r="H27" s="57">
        <f t="shared" si="2"/>
        <v>0</v>
      </c>
      <c r="I27" s="1500"/>
      <c r="J27" s="130"/>
      <c r="K27" s="1500"/>
      <c r="L27" s="1514" t="str">
        <f t="shared" si="1"/>
        <v/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+C29+C30</f>
        <v>0</v>
      </c>
      <c r="D28" s="127">
        <f t="shared" ref="D28:K28" si="4">+D29+D30</f>
        <v>0</v>
      </c>
      <c r="E28" s="89">
        <f t="shared" si="4"/>
        <v>0</v>
      </c>
      <c r="F28" s="89">
        <f t="shared" si="4"/>
        <v>0</v>
      </c>
      <c r="G28" s="582">
        <f t="shared" si="4"/>
        <v>0</v>
      </c>
      <c r="H28" s="48">
        <f t="shared" si="2"/>
        <v>0</v>
      </c>
      <c r="I28" s="1495">
        <f t="shared" si="4"/>
        <v>0</v>
      </c>
      <c r="J28" s="89">
        <f t="shared" si="4"/>
        <v>0</v>
      </c>
      <c r="K28" s="1495">
        <f t="shared" si="4"/>
        <v>0</v>
      </c>
      <c r="L28" s="1509" t="str">
        <f t="shared" si="1"/>
        <v/>
      </c>
    </row>
    <row r="29" spans="1:12" s="54" customFormat="1" ht="12.2" customHeight="1" x14ac:dyDescent="0.2">
      <c r="A29" s="58" t="s">
        <v>100</v>
      </c>
      <c r="B29" s="59" t="s">
        <v>160</v>
      </c>
      <c r="C29" s="122"/>
      <c r="D29" s="189"/>
      <c r="E29" s="122"/>
      <c r="F29" s="122"/>
      <c r="G29" s="586"/>
      <c r="H29" s="33">
        <f t="shared" si="2"/>
        <v>0</v>
      </c>
      <c r="I29" s="1501"/>
      <c r="J29" s="122"/>
      <c r="K29" s="1501"/>
      <c r="L29" s="1515" t="str">
        <f t="shared" si="1"/>
        <v/>
      </c>
    </row>
    <row r="30" spans="1:12" s="54" customFormat="1" ht="12.2" customHeight="1" x14ac:dyDescent="0.2">
      <c r="A30" s="58" t="s">
        <v>101</v>
      </c>
      <c r="B30" s="336" t="s">
        <v>163</v>
      </c>
      <c r="C30" s="120"/>
      <c r="D30" s="193"/>
      <c r="E30" s="120"/>
      <c r="F30" s="120"/>
      <c r="G30" s="91"/>
      <c r="H30" s="60">
        <f t="shared" si="2"/>
        <v>0</v>
      </c>
      <c r="I30" s="1502"/>
      <c r="J30" s="120"/>
      <c r="K30" s="1502"/>
      <c r="L30" s="1516" t="str">
        <f t="shared" si="1"/>
        <v/>
      </c>
    </row>
    <row r="31" spans="1:12" s="54" customFormat="1" ht="12.2" customHeight="1" thickBot="1" x14ac:dyDescent="0.25">
      <c r="A31" s="1037" t="s">
        <v>281</v>
      </c>
      <c r="B31" s="102" t="s">
        <v>165</v>
      </c>
      <c r="C31" s="92"/>
      <c r="D31" s="190"/>
      <c r="E31" s="92"/>
      <c r="F31" s="92"/>
      <c r="G31" s="593"/>
      <c r="H31" s="61">
        <f t="shared" si="2"/>
        <v>0</v>
      </c>
      <c r="I31" s="1503"/>
      <c r="J31" s="92"/>
      <c r="K31" s="1503"/>
      <c r="L31" s="1517" t="str">
        <f t="shared" si="1"/>
        <v/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+C33+C34+C35</f>
        <v>0</v>
      </c>
      <c r="D32" s="127">
        <f t="shared" ref="D32:K32" si="5">+D33+D34+D35</f>
        <v>0</v>
      </c>
      <c r="E32" s="89">
        <f t="shared" si="5"/>
        <v>0</v>
      </c>
      <c r="F32" s="89">
        <f t="shared" si="5"/>
        <v>0</v>
      </c>
      <c r="G32" s="582">
        <f t="shared" si="5"/>
        <v>0</v>
      </c>
      <c r="H32" s="48">
        <f t="shared" si="2"/>
        <v>0</v>
      </c>
      <c r="I32" s="1495">
        <f t="shared" si="5"/>
        <v>0</v>
      </c>
      <c r="J32" s="89">
        <f t="shared" si="5"/>
        <v>22441</v>
      </c>
      <c r="K32" s="1495">
        <f t="shared" si="5"/>
        <v>0</v>
      </c>
      <c r="L32" s="1509" t="str">
        <f t="shared" si="1"/>
        <v/>
      </c>
    </row>
    <row r="33" spans="1:16" s="54" customFormat="1" ht="12.2" customHeight="1" x14ac:dyDescent="0.2">
      <c r="A33" s="58" t="s">
        <v>89</v>
      </c>
      <c r="B33" s="59" t="s">
        <v>167</v>
      </c>
      <c r="C33" s="122"/>
      <c r="D33" s="189"/>
      <c r="E33" s="122"/>
      <c r="F33" s="122"/>
      <c r="G33" s="586"/>
      <c r="H33" s="33">
        <f t="shared" si="2"/>
        <v>0</v>
      </c>
      <c r="I33" s="1501"/>
      <c r="J33" s="122"/>
      <c r="K33" s="1501"/>
      <c r="L33" s="1515" t="str">
        <f t="shared" si="1"/>
        <v/>
      </c>
    </row>
    <row r="34" spans="1:16" s="54" customFormat="1" ht="12.2" customHeight="1" x14ac:dyDescent="0.2">
      <c r="A34" s="58" t="s">
        <v>102</v>
      </c>
      <c r="B34" s="336" t="s">
        <v>168</v>
      </c>
      <c r="C34" s="120"/>
      <c r="D34" s="193"/>
      <c r="E34" s="120"/>
      <c r="F34" s="120"/>
      <c r="G34" s="91"/>
      <c r="H34" s="60">
        <f t="shared" si="2"/>
        <v>0</v>
      </c>
      <c r="I34" s="1502"/>
      <c r="J34" s="120"/>
      <c r="K34" s="1502"/>
      <c r="L34" s="1516" t="str">
        <f t="shared" si="1"/>
        <v/>
      </c>
    </row>
    <row r="35" spans="1:16" s="54" customFormat="1" ht="12.2" customHeight="1" thickBot="1" x14ac:dyDescent="0.25">
      <c r="A35" s="1037" t="s">
        <v>103</v>
      </c>
      <c r="B35" s="62" t="s">
        <v>169</v>
      </c>
      <c r="C35" s="92"/>
      <c r="D35" s="190"/>
      <c r="E35" s="92"/>
      <c r="F35" s="92"/>
      <c r="G35" s="593"/>
      <c r="H35" s="61">
        <f t="shared" si="2"/>
        <v>0</v>
      </c>
      <c r="I35" s="1503"/>
      <c r="J35" s="92">
        <v>22441</v>
      </c>
      <c r="K35" s="1503"/>
      <c r="L35" s="1517" t="str">
        <f t="shared" si="1"/>
        <v/>
      </c>
    </row>
    <row r="36" spans="1:16" s="26" customFormat="1" ht="12.2" customHeight="1" thickBot="1" x14ac:dyDescent="0.25">
      <c r="A36" s="55" t="s">
        <v>17</v>
      </c>
      <c r="B36" s="56" t="s">
        <v>170</v>
      </c>
      <c r="C36" s="130"/>
      <c r="D36" s="129"/>
      <c r="E36" s="130"/>
      <c r="F36" s="130"/>
      <c r="G36" s="585"/>
      <c r="H36" s="57">
        <f t="shared" si="2"/>
        <v>0</v>
      </c>
      <c r="I36" s="1500"/>
      <c r="J36" s="130"/>
      <c r="K36" s="1500"/>
      <c r="L36" s="1514" t="str">
        <f t="shared" si="1"/>
        <v/>
      </c>
    </row>
    <row r="37" spans="1:16" s="26" customFormat="1" ht="12.2" customHeight="1" thickBot="1" x14ac:dyDescent="0.25">
      <c r="A37" s="1038" t="s">
        <v>104</v>
      </c>
      <c r="B37" s="337" t="s">
        <v>165</v>
      </c>
      <c r="C37" s="1032"/>
      <c r="D37" s="823"/>
      <c r="E37" s="1032"/>
      <c r="F37" s="130"/>
      <c r="G37" s="585"/>
      <c r="H37" s="57">
        <f t="shared" si="2"/>
        <v>0</v>
      </c>
      <c r="I37" s="1500"/>
      <c r="J37" s="130"/>
      <c r="K37" s="1500"/>
      <c r="L37" s="1514" t="str">
        <f t="shared" si="1"/>
        <v/>
      </c>
    </row>
    <row r="38" spans="1:16" s="26" customFormat="1" ht="12.2" customHeight="1" thickBot="1" x14ac:dyDescent="0.25">
      <c r="A38" s="55" t="s">
        <v>18</v>
      </c>
      <c r="B38" s="56" t="s">
        <v>380</v>
      </c>
      <c r="C38" s="130"/>
      <c r="D38" s="129"/>
      <c r="E38" s="130"/>
      <c r="F38" s="130"/>
      <c r="G38" s="585"/>
      <c r="H38" s="57">
        <f t="shared" si="2"/>
        <v>0</v>
      </c>
      <c r="I38" s="1500"/>
      <c r="J38" s="130"/>
      <c r="K38" s="1500"/>
      <c r="L38" s="1514" t="str">
        <f t="shared" si="1"/>
        <v/>
      </c>
    </row>
    <row r="39" spans="1:16" s="26" customFormat="1" ht="12.2" customHeight="1" x14ac:dyDescent="0.2">
      <c r="A39" s="12" t="s">
        <v>107</v>
      </c>
      <c r="B39" s="95" t="s">
        <v>212</v>
      </c>
      <c r="C39" s="131"/>
      <c r="D39" s="194"/>
      <c r="E39" s="131"/>
      <c r="F39" s="131"/>
      <c r="G39" s="589"/>
      <c r="H39" s="96">
        <f t="shared" si="2"/>
        <v>0</v>
      </c>
      <c r="I39" s="1504"/>
      <c r="J39" s="131"/>
      <c r="K39" s="1504"/>
      <c r="L39" s="1518" t="str">
        <f t="shared" si="1"/>
        <v/>
      </c>
    </row>
    <row r="40" spans="1:16" s="26" customFormat="1" ht="12.2" customHeight="1" x14ac:dyDescent="0.2">
      <c r="A40" s="1003" t="s">
        <v>108</v>
      </c>
      <c r="B40" s="346" t="s">
        <v>213</v>
      </c>
      <c r="C40" s="1033"/>
      <c r="D40" s="825"/>
      <c r="E40" s="1033"/>
      <c r="F40" s="1494"/>
      <c r="G40" s="605"/>
      <c r="H40" s="824">
        <f t="shared" si="2"/>
        <v>0</v>
      </c>
      <c r="I40" s="1505"/>
      <c r="J40" s="1508"/>
      <c r="K40" s="1505"/>
      <c r="L40" s="1519" t="str">
        <f t="shared" si="1"/>
        <v/>
      </c>
    </row>
    <row r="41" spans="1:16" s="26" customFormat="1" ht="12.2" customHeight="1" thickBot="1" x14ac:dyDescent="0.25">
      <c r="A41" s="1003" t="s">
        <v>323</v>
      </c>
      <c r="B41" s="103" t="s">
        <v>165</v>
      </c>
      <c r="C41" s="92"/>
      <c r="D41" s="190"/>
      <c r="E41" s="92"/>
      <c r="F41" s="92"/>
      <c r="G41" s="593"/>
      <c r="H41" s="61">
        <f t="shared" si="2"/>
        <v>0</v>
      </c>
      <c r="I41" s="1506"/>
      <c r="J41" s="133"/>
      <c r="K41" s="1506"/>
      <c r="L41" s="1520" t="str">
        <f t="shared" si="1"/>
        <v/>
      </c>
    </row>
    <row r="42" spans="1:16" s="26" customFormat="1" ht="18" customHeight="1" thickBot="1" x14ac:dyDescent="0.25">
      <c r="A42" s="43" t="s">
        <v>19</v>
      </c>
      <c r="B42" s="56" t="s">
        <v>546</v>
      </c>
      <c r="C42" s="89">
        <f>+C10+C22+C27+C28+C32+C36+C38</f>
        <v>0</v>
      </c>
      <c r="D42" s="127">
        <f t="shared" ref="D42:K42" si="6">+D10+D22+D27+D28+D32+D36+D38</f>
        <v>0</v>
      </c>
      <c r="E42" s="89">
        <f t="shared" si="6"/>
        <v>662856</v>
      </c>
      <c r="F42" s="89">
        <f t="shared" si="6"/>
        <v>662856</v>
      </c>
      <c r="G42" s="582">
        <f t="shared" si="6"/>
        <v>0</v>
      </c>
      <c r="H42" s="48">
        <f t="shared" si="2"/>
        <v>662856</v>
      </c>
      <c r="I42" s="1495">
        <f t="shared" si="6"/>
        <v>0</v>
      </c>
      <c r="J42" s="89">
        <f t="shared" si="6"/>
        <v>691356</v>
      </c>
      <c r="K42" s="1495">
        <f t="shared" si="6"/>
        <v>0</v>
      </c>
      <c r="L42" s="1509">
        <f t="shared" si="1"/>
        <v>104.29957637857996</v>
      </c>
    </row>
    <row r="43" spans="1:16" s="26" customFormat="1" ht="12.2" customHeight="1" thickBot="1" x14ac:dyDescent="0.25">
      <c r="A43" s="63" t="s">
        <v>20</v>
      </c>
      <c r="B43" s="56" t="s">
        <v>180</v>
      </c>
      <c r="C43" s="89">
        <f>SUM(C44:C47)</f>
        <v>426060000</v>
      </c>
      <c r="D43" s="127">
        <f t="shared" ref="D43:K43" si="7">SUM(D44:D47)</f>
        <v>433825293</v>
      </c>
      <c r="E43" s="89">
        <f t="shared" si="7"/>
        <v>539975267</v>
      </c>
      <c r="F43" s="89">
        <f t="shared" si="7"/>
        <v>539975267</v>
      </c>
      <c r="G43" s="582">
        <f t="shared" si="7"/>
        <v>6337</v>
      </c>
      <c r="H43" s="48">
        <f t="shared" si="2"/>
        <v>106149974</v>
      </c>
      <c r="I43" s="1495">
        <f t="shared" si="7"/>
        <v>213301</v>
      </c>
      <c r="J43" s="89">
        <f t="shared" si="7"/>
        <v>366347525</v>
      </c>
      <c r="K43" s="1495" t="e">
        <f t="shared" si="7"/>
        <v>#VALUE!</v>
      </c>
      <c r="L43" s="1509">
        <f t="shared" si="1"/>
        <v>67.845241696968316</v>
      </c>
    </row>
    <row r="44" spans="1:16" s="26" customFormat="1" ht="12.2" customHeight="1" x14ac:dyDescent="0.2">
      <c r="A44" s="58" t="s">
        <v>171</v>
      </c>
      <c r="B44" s="59" t="s">
        <v>131</v>
      </c>
      <c r="C44" s="122"/>
      <c r="D44" s="189">
        <f>1705912+1120484</f>
        <v>2826396</v>
      </c>
      <c r="E44" s="122">
        <v>2826396</v>
      </c>
      <c r="F44" s="122">
        <v>2826396</v>
      </c>
      <c r="G44" s="586"/>
      <c r="H44" s="33">
        <f t="shared" si="2"/>
        <v>0</v>
      </c>
      <c r="I44" s="1501"/>
      <c r="J44" s="122">
        <v>2826396</v>
      </c>
      <c r="K44" s="1501"/>
      <c r="L44" s="1515">
        <f t="shared" si="1"/>
        <v>100</v>
      </c>
    </row>
    <row r="45" spans="1:16" s="26" customFormat="1" ht="12.2" customHeight="1" x14ac:dyDescent="0.2">
      <c r="A45" s="71" t="s">
        <v>172</v>
      </c>
      <c r="B45" s="59" t="s">
        <v>186</v>
      </c>
      <c r="C45" s="120"/>
      <c r="D45" s="193">
        <v>212781</v>
      </c>
      <c r="E45" s="120">
        <v>212781</v>
      </c>
      <c r="F45" s="120">
        <v>212781</v>
      </c>
      <c r="G45" s="91"/>
      <c r="H45" s="60">
        <f t="shared" si="2"/>
        <v>0</v>
      </c>
      <c r="I45" s="1502"/>
      <c r="J45" s="120">
        <v>212781</v>
      </c>
      <c r="K45" s="1502"/>
      <c r="L45" s="1516">
        <f t="shared" si="1"/>
        <v>100</v>
      </c>
      <c r="P45" s="26" t="s">
        <v>385</v>
      </c>
    </row>
    <row r="46" spans="1:16" s="26" customFormat="1" ht="12.2" customHeight="1" x14ac:dyDescent="0.2">
      <c r="A46" s="1037" t="s">
        <v>173</v>
      </c>
      <c r="B46" s="336" t="s">
        <v>177</v>
      </c>
      <c r="C46" s="339">
        <f>C70-C42-C44-C63-C65-C68+C38+C32+C28</f>
        <v>425760000</v>
      </c>
      <c r="D46" s="323">
        <f t="shared" ref="D46:K46" si="8">D70-D42-D44-D63-D65-D68+D38+D32+D28</f>
        <v>430187516</v>
      </c>
      <c r="E46" s="323">
        <f t="shared" si="8"/>
        <v>536343307</v>
      </c>
      <c r="F46" s="339">
        <f t="shared" si="8"/>
        <v>536343307</v>
      </c>
      <c r="G46" s="1489">
        <f t="shared" si="8"/>
        <v>6337</v>
      </c>
      <c r="H46" s="324">
        <f t="shared" si="2"/>
        <v>106155791</v>
      </c>
      <c r="I46" s="1489">
        <f t="shared" si="8"/>
        <v>6337</v>
      </c>
      <c r="J46" s="1719">
        <v>363308348</v>
      </c>
      <c r="K46" s="1489" t="e">
        <f t="shared" si="8"/>
        <v>#VALUE!</v>
      </c>
      <c r="L46" s="1521">
        <f t="shared" si="1"/>
        <v>67.738022132156487</v>
      </c>
    </row>
    <row r="47" spans="1:16" s="54" customFormat="1" ht="12.2" customHeight="1" thickBot="1" x14ac:dyDescent="0.25">
      <c r="A47" s="58" t="s">
        <v>178</v>
      </c>
      <c r="B47" s="62" t="s">
        <v>179</v>
      </c>
      <c r="C47" s="1034">
        <f>C62-C38-C32-C45-C28</f>
        <v>300000</v>
      </c>
      <c r="D47" s="195">
        <f t="shared" ref="D47:K47" si="9">D62-D38-D32-D45-D28</f>
        <v>598600</v>
      </c>
      <c r="E47" s="195">
        <f t="shared" si="9"/>
        <v>592783</v>
      </c>
      <c r="F47" s="1034">
        <f t="shared" si="9"/>
        <v>592783</v>
      </c>
      <c r="G47" s="1490">
        <f t="shared" si="9"/>
        <v>0</v>
      </c>
      <c r="H47" s="1491">
        <f t="shared" si="2"/>
        <v>-5817</v>
      </c>
      <c r="I47" s="1490">
        <f t="shared" si="9"/>
        <v>206964</v>
      </c>
      <c r="J47" s="1720"/>
      <c r="K47" s="1490">
        <f t="shared" si="9"/>
        <v>25.691813437541892</v>
      </c>
      <c r="L47" s="1522">
        <f t="shared" si="1"/>
        <v>0</v>
      </c>
    </row>
    <row r="48" spans="1:16" s="54" customFormat="1" ht="15" customHeight="1" thickBot="1" x14ac:dyDescent="0.25">
      <c r="A48" s="63" t="s">
        <v>21</v>
      </c>
      <c r="B48" s="497" t="s">
        <v>174</v>
      </c>
      <c r="C48" s="135">
        <f>+C42+C43</f>
        <v>426060000</v>
      </c>
      <c r="D48" s="134">
        <f t="shared" ref="D48:K48" si="10">+D42+D43</f>
        <v>433825293</v>
      </c>
      <c r="E48" s="135">
        <f t="shared" si="10"/>
        <v>540638123</v>
      </c>
      <c r="F48" s="135">
        <f t="shared" si="10"/>
        <v>540638123</v>
      </c>
      <c r="G48" s="592">
        <f t="shared" si="10"/>
        <v>6337</v>
      </c>
      <c r="H48" s="68">
        <f>+E48-D48</f>
        <v>106812830</v>
      </c>
      <c r="I48" s="1507">
        <f t="shared" si="10"/>
        <v>213301</v>
      </c>
      <c r="J48" s="135">
        <f t="shared" si="10"/>
        <v>367038881</v>
      </c>
      <c r="K48" s="1507" t="e">
        <f t="shared" si="10"/>
        <v>#VALUE!</v>
      </c>
      <c r="L48" s="1523">
        <f t="shared" si="1"/>
        <v>67.889936981007153</v>
      </c>
    </row>
    <row r="49" spans="1:15" s="54" customFormat="1" ht="14.45" customHeight="1" x14ac:dyDescent="0.2">
      <c r="A49" s="64"/>
      <c r="B49" s="65"/>
      <c r="C49" s="66"/>
      <c r="D49" s="125"/>
      <c r="E49" s="125"/>
      <c r="F49" s="125"/>
      <c r="G49" s="125"/>
      <c r="H49" s="125"/>
      <c r="I49" s="125"/>
      <c r="J49" s="125"/>
      <c r="K49" s="125"/>
      <c r="L49" s="138"/>
    </row>
    <row r="50" spans="1:15" ht="14.45" customHeight="1" x14ac:dyDescent="0.2">
      <c r="A50" s="1804" t="s">
        <v>34</v>
      </c>
      <c r="B50" s="1804"/>
      <c r="C50" s="1804"/>
      <c r="D50" s="1804"/>
      <c r="E50" s="1804"/>
      <c r="F50" s="1804"/>
      <c r="G50" s="1804"/>
      <c r="H50" s="1804"/>
      <c r="I50" s="1804"/>
      <c r="J50" s="1804"/>
      <c r="K50" s="1804"/>
      <c r="L50" s="1804"/>
    </row>
    <row r="51" spans="1:15" ht="14.45" customHeight="1" thickBot="1" x14ac:dyDescent="0.3">
      <c r="A51" s="1805" t="s">
        <v>362</v>
      </c>
      <c r="B51" s="1805"/>
      <c r="C51" s="1805"/>
      <c r="D51" s="1805"/>
      <c r="E51" s="1805"/>
      <c r="F51" s="1805"/>
      <c r="G51" s="1805"/>
      <c r="H51" s="1805"/>
      <c r="I51" s="1805"/>
      <c r="J51" s="1805"/>
      <c r="K51" s="1805"/>
      <c r="L51" s="1805"/>
    </row>
    <row r="52" spans="1:15" s="46" customFormat="1" ht="66.75" customHeight="1" thickBot="1" x14ac:dyDescent="0.25">
      <c r="A52" s="1413" t="s">
        <v>142</v>
      </c>
      <c r="B52" s="42" t="s">
        <v>36</v>
      </c>
      <c r="C52" s="21" t="str">
        <f>'1. mell.bevétel_össz'!C8</f>
        <v>2023. évi eredeti előirányzat
2/2023. (II.14.)</v>
      </c>
      <c r="D52" s="191" t="str">
        <f>'1. mell.bevétel_össz'!D8</f>
        <v>Módosított előirányzat a 14/2023.  (VI.29.)  rendelet szerint</v>
      </c>
      <c r="E52" s="42" t="str">
        <f>'1. mell.bevétel_össz'!E8</f>
        <v>Módosított előirányzat a 18/2023. (IX.26.)  rendelet szerint</v>
      </c>
      <c r="F52" s="42" t="str">
        <f>'1. mell.bevétel_össz'!F8</f>
        <v>Módosított előirányzat 2023.09.30-án</v>
      </c>
      <c r="G52" s="42" t="str">
        <f>'1. mell.bevétel_össz'!G8</f>
        <v>Módosított előirányzat a …../2023. (II…..)  rendelet szerint</v>
      </c>
      <c r="H52" s="126" t="str">
        <f>'1. mell.bevétel_össz'!H8</f>
        <v>Változás a 14/2023. (VI.29.) rendelethez képest</v>
      </c>
      <c r="I52" s="1439" t="str">
        <f>'1. mell.bevétel_össz'!I8</f>
        <v>2023. évi teljesítés              2023.06.30-ig</v>
      </c>
      <c r="J52" s="42" t="str">
        <f>'1. mell.bevétel_össz'!J8</f>
        <v>2023. évi teljesítés              2023.09.30-ig</v>
      </c>
      <c r="K52" s="1453" t="str">
        <f>'1. mell.bevétel_össz'!K8</f>
        <v>2023. évi teljesítés              2023.12.31-ig</v>
      </c>
      <c r="L52" s="1464" t="str">
        <f>'1. mell.bevétel_össz'!L8</f>
        <v>Teljesítés %-a</v>
      </c>
    </row>
    <row r="53" spans="1:15" s="31" customFormat="1" ht="12.2" customHeight="1" thickBot="1" x14ac:dyDescent="0.25">
      <c r="A53" s="197" t="s">
        <v>12</v>
      </c>
      <c r="B53" s="56" t="s">
        <v>547</v>
      </c>
      <c r="C53" s="89">
        <f>SUM(C54:C59)-C55</f>
        <v>425760000</v>
      </c>
      <c r="D53" s="127">
        <f t="shared" ref="D53:K53" si="11">SUM(D54:D59)-D55</f>
        <v>433013912</v>
      </c>
      <c r="E53" s="89">
        <f t="shared" si="11"/>
        <v>539832559</v>
      </c>
      <c r="F53" s="89">
        <f t="shared" si="11"/>
        <v>539832559</v>
      </c>
      <c r="G53" s="89">
        <f t="shared" si="11"/>
        <v>6337</v>
      </c>
      <c r="H53" s="175">
        <f t="shared" ref="H53:H72" si="12">+E53-D53</f>
        <v>106818647</v>
      </c>
      <c r="I53" s="1524">
        <f t="shared" si="11"/>
        <v>6337</v>
      </c>
      <c r="J53" s="89">
        <f t="shared" si="11"/>
        <v>364996958</v>
      </c>
      <c r="K53" s="1495">
        <f t="shared" si="11"/>
        <v>0</v>
      </c>
      <c r="L53" s="1509">
        <f t="shared" ref="L53:L72" si="13">IF(F53=0,"",J53/F53*100)</f>
        <v>67.612994421109008</v>
      </c>
    </row>
    <row r="54" spans="1:15" ht="12.2" customHeight="1" x14ac:dyDescent="0.2">
      <c r="A54" s="653" t="s">
        <v>91</v>
      </c>
      <c r="B54" s="17" t="s">
        <v>68</v>
      </c>
      <c r="C54" s="122">
        <v>362890000</v>
      </c>
      <c r="D54" s="189">
        <f>362890000+4100000+752016</f>
        <v>367742016</v>
      </c>
      <c r="E54" s="122">
        <f>367742016+662856+12300000+17100000+1754844+59300000</f>
        <v>458859716</v>
      </c>
      <c r="F54" s="122">
        <v>458859716</v>
      </c>
      <c r="G54" s="122"/>
      <c r="H54" s="177">
        <f t="shared" si="12"/>
        <v>91117700</v>
      </c>
      <c r="I54" s="1525"/>
      <c r="J54" s="122">
        <v>311307923</v>
      </c>
      <c r="K54" s="1501"/>
      <c r="L54" s="1515">
        <f t="shared" si="13"/>
        <v>67.843811985447857</v>
      </c>
    </row>
    <row r="55" spans="1:15" ht="12.2" customHeight="1" x14ac:dyDescent="0.2">
      <c r="A55" s="653" t="s">
        <v>305</v>
      </c>
      <c r="B55" s="335" t="s">
        <v>270</v>
      </c>
      <c r="C55" s="122">
        <v>20000000</v>
      </c>
      <c r="D55" s="189">
        <v>20000000</v>
      </c>
      <c r="E55" s="122">
        <f>20000000+240000+17100000</f>
        <v>37340000</v>
      </c>
      <c r="F55" s="122">
        <v>37340000</v>
      </c>
      <c r="G55" s="122"/>
      <c r="H55" s="177">
        <f t="shared" si="12"/>
        <v>17340000</v>
      </c>
      <c r="I55" s="1525"/>
      <c r="J55" s="122">
        <v>7569084</v>
      </c>
      <c r="K55" s="1501"/>
      <c r="L55" s="1515">
        <f t="shared" si="13"/>
        <v>20.270712372790573</v>
      </c>
      <c r="M55" s="25" t="s">
        <v>705</v>
      </c>
    </row>
    <row r="56" spans="1:15" ht="12.2" customHeight="1" x14ac:dyDescent="0.2">
      <c r="A56" s="653" t="s">
        <v>92</v>
      </c>
      <c r="B56" s="330" t="s">
        <v>87</v>
      </c>
      <c r="C56" s="339">
        <v>56520000</v>
      </c>
      <c r="D56" s="323">
        <f>56520000+1148000+87986</f>
        <v>57755986</v>
      </c>
      <c r="E56" s="339">
        <f>57755986+3444000+2223000+228130+9800000</f>
        <v>73451116</v>
      </c>
      <c r="F56" s="339">
        <v>73451116</v>
      </c>
      <c r="G56" s="339"/>
      <c r="H56" s="503">
        <f t="shared" si="12"/>
        <v>15695130</v>
      </c>
      <c r="I56" s="1526"/>
      <c r="J56" s="339">
        <v>49979344</v>
      </c>
      <c r="K56" s="1489"/>
      <c r="L56" s="1521">
        <f t="shared" si="13"/>
        <v>68.044363001918171</v>
      </c>
    </row>
    <row r="57" spans="1:15" ht="12.2" customHeight="1" x14ac:dyDescent="0.2">
      <c r="A57" s="653" t="s">
        <v>93</v>
      </c>
      <c r="B57" s="330" t="s">
        <v>69</v>
      </c>
      <c r="C57" s="339">
        <v>6350000</v>
      </c>
      <c r="D57" s="323">
        <f>6350000+300000+865910</f>
        <v>7515910</v>
      </c>
      <c r="E57" s="339">
        <f>7515910-520</f>
        <v>7515390</v>
      </c>
      <c r="F57" s="339">
        <v>7515390</v>
      </c>
      <c r="G57" s="339"/>
      <c r="H57" s="503">
        <f t="shared" si="12"/>
        <v>-520</v>
      </c>
      <c r="I57" s="1526"/>
      <c r="J57" s="339">
        <v>3709691</v>
      </c>
      <c r="K57" s="1489"/>
      <c r="L57" s="1521">
        <f t="shared" si="13"/>
        <v>49.361257366550504</v>
      </c>
    </row>
    <row r="58" spans="1:15" ht="12.2" customHeight="1" x14ac:dyDescent="0.2">
      <c r="A58" s="653" t="s">
        <v>90</v>
      </c>
      <c r="B58" s="330" t="s">
        <v>80</v>
      </c>
      <c r="C58" s="339"/>
      <c r="D58" s="323"/>
      <c r="E58" s="339"/>
      <c r="F58" s="339"/>
      <c r="G58" s="339"/>
      <c r="H58" s="503">
        <f t="shared" si="12"/>
        <v>0</v>
      </c>
      <c r="I58" s="1526"/>
      <c r="J58" s="339"/>
      <c r="K58" s="1489"/>
      <c r="L58" s="1521" t="str">
        <f t="shared" si="13"/>
        <v/>
      </c>
      <c r="O58" s="25" t="s">
        <v>385</v>
      </c>
    </row>
    <row r="59" spans="1:15" ht="12.2" customHeight="1" x14ac:dyDescent="0.2">
      <c r="A59" s="653" t="s">
        <v>147</v>
      </c>
      <c r="B59" s="330" t="s">
        <v>88</v>
      </c>
      <c r="C59" s="339">
        <f>SUM(C60:C61)</f>
        <v>0</v>
      </c>
      <c r="D59" s="323">
        <f t="shared" ref="D59:K59" si="14">SUM(D60:D61)</f>
        <v>0</v>
      </c>
      <c r="E59" s="339">
        <f>SUM(E60:E61)</f>
        <v>6337</v>
      </c>
      <c r="F59" s="339">
        <f t="shared" ref="F59:I59" si="15">SUM(F60:F61)</f>
        <v>6337</v>
      </c>
      <c r="G59" s="339">
        <f t="shared" si="15"/>
        <v>6337</v>
      </c>
      <c r="H59" s="339">
        <f t="shared" si="15"/>
        <v>6337</v>
      </c>
      <c r="I59" s="339">
        <f t="shared" si="15"/>
        <v>6337</v>
      </c>
      <c r="J59" s="339">
        <f t="shared" ref="J59" si="16">SUM(J60:J61)</f>
        <v>0</v>
      </c>
      <c r="K59" s="1489">
        <f t="shared" si="14"/>
        <v>0</v>
      </c>
      <c r="L59" s="1521">
        <f t="shared" si="13"/>
        <v>0</v>
      </c>
    </row>
    <row r="60" spans="1:15" ht="12.2" customHeight="1" x14ac:dyDescent="0.2">
      <c r="A60" s="653" t="s">
        <v>306</v>
      </c>
      <c r="B60" s="521" t="s">
        <v>235</v>
      </c>
      <c r="C60" s="339"/>
      <c r="D60" s="323"/>
      <c r="E60" s="339">
        <f>'13.támogatás'!E77</f>
        <v>6337</v>
      </c>
      <c r="F60" s="339">
        <f>'13.támogatás'!F77</f>
        <v>6337</v>
      </c>
      <c r="G60" s="339">
        <f>'13.támogatás'!G77</f>
        <v>6337</v>
      </c>
      <c r="H60" s="339">
        <f>'13.támogatás'!H77</f>
        <v>6337</v>
      </c>
      <c r="I60" s="339">
        <f>'13.támogatás'!I77</f>
        <v>6337</v>
      </c>
      <c r="J60" s="339">
        <f>'13.támogatás'!J77</f>
        <v>0</v>
      </c>
      <c r="K60" s="1489"/>
      <c r="L60" s="1521">
        <f t="shared" si="13"/>
        <v>0</v>
      </c>
    </row>
    <row r="61" spans="1:15" ht="12.2" customHeight="1" thickBot="1" x14ac:dyDescent="0.25">
      <c r="A61" s="198" t="s">
        <v>307</v>
      </c>
      <c r="B61" s="85" t="s">
        <v>234</v>
      </c>
      <c r="C61" s="92"/>
      <c r="D61" s="190"/>
      <c r="E61" s="92"/>
      <c r="F61" s="92"/>
      <c r="G61" s="92"/>
      <c r="H61" s="178">
        <f t="shared" si="12"/>
        <v>0</v>
      </c>
      <c r="I61" s="1527"/>
      <c r="J61" s="92"/>
      <c r="K61" s="1503"/>
      <c r="L61" s="1517" t="str">
        <f t="shared" si="13"/>
        <v/>
      </c>
    </row>
    <row r="62" spans="1:15" ht="12.2" customHeight="1" thickBot="1" x14ac:dyDescent="0.25">
      <c r="A62" s="197" t="s">
        <v>13</v>
      </c>
      <c r="B62" s="56" t="s">
        <v>548</v>
      </c>
      <c r="C62" s="89">
        <f>SUM(C63:C67)</f>
        <v>300000</v>
      </c>
      <c r="D62" s="127">
        <f t="shared" ref="D62:K62" si="17">SUM(D63:D67)</f>
        <v>811381</v>
      </c>
      <c r="E62" s="89">
        <f t="shared" si="17"/>
        <v>805564</v>
      </c>
      <c r="F62" s="89">
        <f>SUM(F63:F67)</f>
        <v>805564</v>
      </c>
      <c r="G62" s="89">
        <f t="shared" si="17"/>
        <v>0</v>
      </c>
      <c r="H62" s="175">
        <f t="shared" si="12"/>
        <v>-5817</v>
      </c>
      <c r="I62" s="1524">
        <f t="shared" si="17"/>
        <v>206964</v>
      </c>
      <c r="J62" s="89">
        <f t="shared" si="17"/>
        <v>206964</v>
      </c>
      <c r="K62" s="1495">
        <f t="shared" si="17"/>
        <v>25.691813437541892</v>
      </c>
      <c r="L62" s="1509">
        <f t="shared" si="13"/>
        <v>25.691813437541892</v>
      </c>
    </row>
    <row r="63" spans="1:15" s="31" customFormat="1" ht="12.2" customHeight="1" x14ac:dyDescent="0.2">
      <c r="A63" s="653" t="s">
        <v>94</v>
      </c>
      <c r="B63" s="17" t="s">
        <v>119</v>
      </c>
      <c r="C63" s="122">
        <f>+'15.felh.felúj.'!C77</f>
        <v>300000</v>
      </c>
      <c r="D63" s="189">
        <f>+'15.felh.felúj.'!D77</f>
        <v>811381</v>
      </c>
      <c r="E63" s="122">
        <f>+'15.felh.felúj.'!E77</f>
        <v>805564</v>
      </c>
      <c r="F63" s="122">
        <f>+'15.felh.felúj.'!F77</f>
        <v>805564</v>
      </c>
      <c r="G63" s="122">
        <f>+'15.felh.felúj.'!G77</f>
        <v>0</v>
      </c>
      <c r="H63" s="177">
        <f t="shared" si="12"/>
        <v>-5817</v>
      </c>
      <c r="I63" s="1525">
        <f>+'15.felh.felúj.'!J77</f>
        <v>206964</v>
      </c>
      <c r="J63" s="122">
        <f>+'15.felh.felúj.'!J77</f>
        <v>206964</v>
      </c>
      <c r="K63" s="1501">
        <f>+'15.felh.felúj.'!L77</f>
        <v>25.691813437541892</v>
      </c>
      <c r="L63" s="1515">
        <f t="shared" si="13"/>
        <v>25.691813437541892</v>
      </c>
    </row>
    <row r="64" spans="1:15" s="31" customFormat="1" ht="12.2" customHeight="1" x14ac:dyDescent="0.2">
      <c r="A64" s="653" t="s">
        <v>316</v>
      </c>
      <c r="B64" s="522" t="s">
        <v>236</v>
      </c>
      <c r="C64" s="122"/>
      <c r="D64" s="189"/>
      <c r="E64" s="122"/>
      <c r="F64" s="122"/>
      <c r="G64" s="122"/>
      <c r="H64" s="177">
        <f t="shared" si="12"/>
        <v>0</v>
      </c>
      <c r="I64" s="1525"/>
      <c r="J64" s="122"/>
      <c r="K64" s="1501"/>
      <c r="L64" s="1515" t="str">
        <f t="shared" si="13"/>
        <v/>
      </c>
    </row>
    <row r="65" spans="1:14" ht="12.2" customHeight="1" x14ac:dyDescent="0.2">
      <c r="A65" s="653" t="s">
        <v>95</v>
      </c>
      <c r="B65" s="330" t="s">
        <v>2</v>
      </c>
      <c r="C65" s="339">
        <f>'15.felh.felúj.'!C82</f>
        <v>0</v>
      </c>
      <c r="D65" s="323">
        <f>'15.felh.felúj.'!D82</f>
        <v>0</v>
      </c>
      <c r="E65" s="339">
        <f>'15.felh.felúj.'!E82</f>
        <v>0</v>
      </c>
      <c r="F65" s="339">
        <f>'15.felh.felúj.'!F82</f>
        <v>0</v>
      </c>
      <c r="G65" s="339">
        <f>'15.felh.felúj.'!G82</f>
        <v>0</v>
      </c>
      <c r="H65" s="503">
        <f t="shared" si="12"/>
        <v>0</v>
      </c>
      <c r="I65" s="1526">
        <f>'15.felh.felúj.'!J82</f>
        <v>0</v>
      </c>
      <c r="J65" s="339">
        <f>'15.felh.felúj.'!J82</f>
        <v>0</v>
      </c>
      <c r="K65" s="1489" t="str">
        <f>'15.felh.felúj.'!L82</f>
        <v/>
      </c>
      <c r="L65" s="1521" t="str">
        <f t="shared" si="13"/>
        <v/>
      </c>
    </row>
    <row r="66" spans="1:14" ht="12.2" customHeight="1" x14ac:dyDescent="0.2">
      <c r="A66" s="653" t="s">
        <v>342</v>
      </c>
      <c r="B66" s="523" t="s">
        <v>237</v>
      </c>
      <c r="C66" s="339"/>
      <c r="D66" s="323"/>
      <c r="E66" s="339"/>
      <c r="F66" s="339"/>
      <c r="G66" s="339"/>
      <c r="H66" s="503">
        <f t="shared" si="12"/>
        <v>0</v>
      </c>
      <c r="I66" s="1526"/>
      <c r="J66" s="339"/>
      <c r="K66" s="1489"/>
      <c r="L66" s="1521" t="str">
        <f t="shared" si="13"/>
        <v/>
      </c>
    </row>
    <row r="67" spans="1:14" ht="12.2" customHeight="1" x14ac:dyDescent="0.2">
      <c r="A67" s="653" t="s">
        <v>96</v>
      </c>
      <c r="B67" s="17" t="s">
        <v>175</v>
      </c>
      <c r="C67" s="339"/>
      <c r="D67" s="323"/>
      <c r="E67" s="339"/>
      <c r="F67" s="339"/>
      <c r="G67" s="339"/>
      <c r="H67" s="503">
        <f t="shared" si="12"/>
        <v>0</v>
      </c>
      <c r="I67" s="1526"/>
      <c r="J67" s="339"/>
      <c r="K67" s="1489"/>
      <c r="L67" s="1521" t="str">
        <f t="shared" si="13"/>
        <v/>
      </c>
    </row>
    <row r="68" spans="1:14" ht="12.2" customHeight="1" x14ac:dyDescent="0.2">
      <c r="A68" s="653" t="s">
        <v>317</v>
      </c>
      <c r="B68" s="521" t="s">
        <v>239</v>
      </c>
      <c r="C68" s="339"/>
      <c r="D68" s="323"/>
      <c r="E68" s="339"/>
      <c r="F68" s="339"/>
      <c r="G68" s="339"/>
      <c r="H68" s="503">
        <f t="shared" si="12"/>
        <v>0</v>
      </c>
      <c r="I68" s="1526"/>
      <c r="J68" s="339"/>
      <c r="K68" s="1489"/>
      <c r="L68" s="1521" t="str">
        <f t="shared" si="13"/>
        <v/>
      </c>
    </row>
    <row r="69" spans="1:14" ht="12.2" customHeight="1" thickBot="1" x14ac:dyDescent="0.25">
      <c r="A69" s="653" t="s">
        <v>318</v>
      </c>
      <c r="B69" s="521" t="s">
        <v>238</v>
      </c>
      <c r="C69" s="339"/>
      <c r="D69" s="323"/>
      <c r="E69" s="339"/>
      <c r="F69" s="339"/>
      <c r="G69" s="339"/>
      <c r="H69" s="503">
        <f t="shared" si="12"/>
        <v>0</v>
      </c>
      <c r="I69" s="1526"/>
      <c r="J69" s="339"/>
      <c r="K69" s="1489"/>
      <c r="L69" s="1521" t="str">
        <f t="shared" si="13"/>
        <v/>
      </c>
      <c r="N69" s="18"/>
    </row>
    <row r="70" spans="1:14" ht="15" customHeight="1" thickBot="1" x14ac:dyDescent="0.25">
      <c r="A70" s="197" t="s">
        <v>14</v>
      </c>
      <c r="B70" s="67" t="s">
        <v>176</v>
      </c>
      <c r="C70" s="135">
        <f>+C53+C62</f>
        <v>426060000</v>
      </c>
      <c r="D70" s="134">
        <f t="shared" ref="D70:K70" si="18">+D53+D62</f>
        <v>433825293</v>
      </c>
      <c r="E70" s="135">
        <f t="shared" si="18"/>
        <v>540638123</v>
      </c>
      <c r="F70" s="135">
        <f t="shared" si="18"/>
        <v>540638123</v>
      </c>
      <c r="G70" s="135">
        <f t="shared" si="18"/>
        <v>6337</v>
      </c>
      <c r="H70" s="176">
        <f>+E70-D70</f>
        <v>106812830</v>
      </c>
      <c r="I70" s="1528">
        <f t="shared" si="18"/>
        <v>213301</v>
      </c>
      <c r="J70" s="135">
        <f t="shared" si="18"/>
        <v>365203922</v>
      </c>
      <c r="K70" s="1507">
        <f t="shared" si="18"/>
        <v>25.691813437541892</v>
      </c>
      <c r="L70" s="1523">
        <f t="shared" si="13"/>
        <v>67.550530838166594</v>
      </c>
    </row>
    <row r="71" spans="1:14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139" t="str">
        <f t="shared" si="13"/>
        <v/>
      </c>
    </row>
    <row r="72" spans="1:14" s="602" customFormat="1" ht="15" customHeight="1" thickBot="1" x14ac:dyDescent="0.25">
      <c r="A72" s="1035" t="s">
        <v>290</v>
      </c>
      <c r="B72" s="1036"/>
      <c r="C72" s="598">
        <v>82</v>
      </c>
      <c r="D72" s="599">
        <v>82</v>
      </c>
      <c r="E72" s="598">
        <v>79</v>
      </c>
      <c r="F72" s="598">
        <v>79</v>
      </c>
      <c r="G72" s="598"/>
      <c r="H72" s="1020">
        <f t="shared" si="12"/>
        <v>-3</v>
      </c>
      <c r="I72" s="1486"/>
      <c r="J72" s="1744">
        <v>79</v>
      </c>
      <c r="K72" s="615"/>
      <c r="L72" s="1487">
        <f t="shared" si="13"/>
        <v>100</v>
      </c>
    </row>
    <row r="73" spans="1:14" s="602" customFormat="1" ht="14.25" hidden="1" customHeight="1" thickBot="1" x14ac:dyDescent="0.25">
      <c r="A73" s="596" t="s">
        <v>291</v>
      </c>
      <c r="B73" s="597"/>
      <c r="C73" s="654"/>
      <c r="D73" s="612"/>
      <c r="E73" s="603"/>
      <c r="F73" s="603"/>
      <c r="G73" s="603"/>
      <c r="H73" s="632"/>
      <c r="I73" s="633"/>
      <c r="J73" s="631"/>
      <c r="K73" s="633"/>
      <c r="L73" s="601" t="e">
        <f>I73/D73*100</f>
        <v>#DIV/0!</v>
      </c>
    </row>
    <row r="74" spans="1:14" x14ac:dyDescent="0.2">
      <c r="H74" s="163"/>
    </row>
  </sheetData>
  <sheetProtection formatCells="0"/>
  <mergeCells count="9">
    <mergeCell ref="A50:L50"/>
    <mergeCell ref="A51:L51"/>
    <mergeCell ref="A3:L3"/>
    <mergeCell ref="A2:H2"/>
    <mergeCell ref="A1:L1"/>
    <mergeCell ref="C4:L4"/>
    <mergeCell ref="C5:L5"/>
    <mergeCell ref="A6:L6"/>
    <mergeCell ref="A9:L9"/>
  </mergeCells>
  <phoneticPr fontId="45" type="noConversion"/>
  <printOptions horizontalCentered="1"/>
  <pageMargins left="0.19685039370078741" right="0.19685039370078741" top="0.39370078740157483" bottom="0.19685039370078741" header="0.78740157480314965" footer="0.78740157480314965"/>
  <pageSetup paperSize="9" scale="7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5"/>
  <sheetViews>
    <sheetView view="pageBreakPreview" topLeftCell="A52" zoomScale="142" zoomScaleNormal="130" zoomScaleSheetLayoutView="142" workbookViewId="0">
      <selection activeCell="J63" sqref="J63"/>
    </sheetView>
  </sheetViews>
  <sheetFormatPr defaultColWidth="9.33203125" defaultRowHeight="12.75" x14ac:dyDescent="0.2"/>
  <cols>
    <col min="1" max="1" width="13.83203125" style="1414" customWidth="1"/>
    <col min="2" max="2" width="67.5" style="25" customWidth="1"/>
    <col min="3" max="3" width="13.6640625" style="25" customWidth="1"/>
    <col min="4" max="4" width="15.83203125" style="25" hidden="1" customWidth="1"/>
    <col min="5" max="5" width="15.33203125" style="25" customWidth="1"/>
    <col min="6" max="6" width="14.83203125" style="25" customWidth="1"/>
    <col min="7" max="9" width="15.83203125" style="25" hidden="1" customWidth="1"/>
    <col min="10" max="10" width="13.1640625" style="25" customWidth="1"/>
    <col min="11" max="11" width="15.83203125" style="25" hidden="1" customWidth="1"/>
    <col min="12" max="12" width="9.1640625" style="140" customWidth="1"/>
    <col min="13" max="13" width="9.33203125" style="25" customWidth="1"/>
    <col min="14" max="14" width="14.33203125" style="25" bestFit="1" customWidth="1"/>
    <col min="15" max="16384" width="9.33203125" style="25"/>
  </cols>
  <sheetData>
    <row r="1" spans="1:12" ht="12.75" customHeight="1" x14ac:dyDescent="0.2">
      <c r="A1" s="1773" t="s">
        <v>822</v>
      </c>
      <c r="B1" s="1773"/>
      <c r="C1" s="1773"/>
      <c r="D1" s="1773"/>
      <c r="E1" s="1773"/>
      <c r="F1" s="1773"/>
      <c r="G1" s="1773"/>
      <c r="H1" s="1773"/>
      <c r="I1" s="1773"/>
      <c r="J1" s="1773"/>
      <c r="K1" s="1773"/>
      <c r="L1" s="1773"/>
    </row>
    <row r="2" spans="1:12" ht="12.75" customHeight="1" x14ac:dyDescent="0.2">
      <c r="A2" s="1773"/>
      <c r="B2" s="1773"/>
      <c r="C2" s="1773"/>
      <c r="D2" s="1773"/>
      <c r="E2" s="1773"/>
      <c r="F2" s="1773"/>
      <c r="G2" s="1773"/>
      <c r="H2" s="1773"/>
      <c r="I2" s="83"/>
      <c r="J2" s="83"/>
      <c r="K2" s="83"/>
      <c r="L2" s="142"/>
    </row>
    <row r="3" spans="1:12" s="24" customFormat="1" ht="21.2" customHeight="1" thickBot="1" x14ac:dyDescent="0.25">
      <c r="A3" s="1773"/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</row>
    <row r="4" spans="1:12" s="38" customFormat="1" ht="35.450000000000003" customHeight="1" x14ac:dyDescent="0.2">
      <c r="A4" s="36" t="s">
        <v>137</v>
      </c>
      <c r="B4" s="37" t="s">
        <v>387</v>
      </c>
      <c r="C4" s="1806" t="s">
        <v>182</v>
      </c>
      <c r="D4" s="1807"/>
      <c r="E4" s="1807"/>
      <c r="F4" s="1807"/>
      <c r="G4" s="1807"/>
      <c r="H4" s="1807"/>
      <c r="I4" s="1807"/>
      <c r="J4" s="1807"/>
      <c r="K4" s="1807"/>
      <c r="L4" s="1808"/>
    </row>
    <row r="5" spans="1:12" s="38" customFormat="1" ht="24.75" thickBot="1" x14ac:dyDescent="0.25">
      <c r="A5" s="39" t="s">
        <v>139</v>
      </c>
      <c r="B5" s="40" t="s">
        <v>140</v>
      </c>
      <c r="C5" s="1809" t="s">
        <v>141</v>
      </c>
      <c r="D5" s="1810"/>
      <c r="E5" s="1810"/>
      <c r="F5" s="1810"/>
      <c r="G5" s="1810"/>
      <c r="H5" s="1810"/>
      <c r="I5" s="1810"/>
      <c r="J5" s="1810"/>
      <c r="K5" s="1810"/>
      <c r="L5" s="1811"/>
    </row>
    <row r="6" spans="1:12" s="41" customFormat="1" ht="15.95" customHeight="1" thickBot="1" x14ac:dyDescent="0.3">
      <c r="A6" s="1812" t="s">
        <v>362</v>
      </c>
      <c r="B6" s="1812"/>
      <c r="C6" s="1812"/>
      <c r="D6" s="1812"/>
      <c r="E6" s="1812"/>
      <c r="F6" s="1812"/>
      <c r="G6" s="1812"/>
      <c r="H6" s="1812"/>
      <c r="I6" s="1812"/>
      <c r="J6" s="1812"/>
      <c r="K6" s="1812"/>
      <c r="L6" s="1812"/>
    </row>
    <row r="7" spans="1:12" ht="48.75" customHeight="1" thickBot="1" x14ac:dyDescent="0.25">
      <c r="A7" s="1413" t="s">
        <v>142</v>
      </c>
      <c r="B7" s="42" t="s">
        <v>36</v>
      </c>
      <c r="C7" s="42" t="str">
        <f>'1. mell.bevétel_össz'!C8</f>
        <v>2023. évi eredeti előirányzat
2/2023. (II.14.)</v>
      </c>
      <c r="D7" s="191" t="str">
        <f>'1. mell.bevétel_össz'!D8</f>
        <v>Módosított előirányzat a 14/2023.  (VI.29.)  rendelet szerint</v>
      </c>
      <c r="E7" s="42" t="str">
        <f>'1. mell.bevétel_össz'!E8</f>
        <v>Módosított előirányzat a 18/2023. (IX.26.)  rendelet szerint</v>
      </c>
      <c r="F7" s="42" t="str">
        <f>'1. mell.bevétel_össz'!F8</f>
        <v>Módosított előirányzat 2023.09.30-án</v>
      </c>
      <c r="G7" s="1492" t="str">
        <f>'1. mell.bevétel_össz'!G8</f>
        <v>Módosított előirányzat a …../2023. (II…..)  rendelet szerint</v>
      </c>
      <c r="H7" s="179" t="str">
        <f>'1. mell.bevétel_össz'!H8</f>
        <v>Változás a 14/2023. (VI.29.) rendelethez képest</v>
      </c>
      <c r="I7" s="1453" t="str">
        <f>'1. mell.bevétel_össz'!I8</f>
        <v>2023. évi teljesítés              2023.06.30-ig</v>
      </c>
      <c r="J7" s="42" t="str">
        <f>'1. mell.bevétel_össz'!J8</f>
        <v>2023. évi teljesítés              2023.09.30-ig</v>
      </c>
      <c r="K7" s="1453" t="str">
        <f>'1. mell.bevétel_össz'!K8</f>
        <v>2023. évi teljesítés              2023.12.31-ig</v>
      </c>
      <c r="L7" s="1464" t="str">
        <f>'1. mell.bevétel_össz'!L8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989" t="s">
        <v>299</v>
      </c>
      <c r="D8" s="182" t="s">
        <v>300</v>
      </c>
      <c r="E8" s="44" t="s">
        <v>300</v>
      </c>
      <c r="F8" s="44" t="s">
        <v>301</v>
      </c>
      <c r="G8" s="44" t="s">
        <v>424</v>
      </c>
      <c r="H8" s="180" t="s">
        <v>388</v>
      </c>
      <c r="I8" s="1415" t="s">
        <v>299</v>
      </c>
      <c r="J8" s="44" t="s">
        <v>388</v>
      </c>
      <c r="K8" s="620" t="s">
        <v>299</v>
      </c>
      <c r="L8" s="137" t="s">
        <v>424</v>
      </c>
    </row>
    <row r="9" spans="1:12" s="46" customFormat="1" ht="15.95" customHeight="1" thickBot="1" x14ac:dyDescent="0.25">
      <c r="A9" s="1801" t="s">
        <v>11</v>
      </c>
      <c r="B9" s="1802"/>
      <c r="C9" s="1802"/>
      <c r="D9" s="1802"/>
      <c r="E9" s="1802"/>
      <c r="F9" s="1802"/>
      <c r="G9" s="1802"/>
      <c r="H9" s="1802"/>
      <c r="I9" s="1802"/>
      <c r="J9" s="1802"/>
      <c r="K9" s="1802"/>
      <c r="L9" s="1802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6807200</v>
      </c>
      <c r="D10" s="127">
        <f t="shared" ref="D10:K10" si="0">SUM(D11:D21)</f>
        <v>6807200</v>
      </c>
      <c r="E10" s="89">
        <f t="shared" si="0"/>
        <v>6807200</v>
      </c>
      <c r="F10" s="89">
        <f t="shared" si="0"/>
        <v>6807200</v>
      </c>
      <c r="G10" s="582">
        <f t="shared" si="0"/>
        <v>0</v>
      </c>
      <c r="H10" s="48">
        <f>+E10-D10</f>
        <v>0</v>
      </c>
      <c r="I10" s="1495">
        <f t="shared" si="0"/>
        <v>0</v>
      </c>
      <c r="J10" s="89">
        <f t="shared" si="0"/>
        <v>9476737</v>
      </c>
      <c r="K10" s="1495">
        <f t="shared" si="0"/>
        <v>0</v>
      </c>
      <c r="L10" s="1509">
        <f t="shared" ref="L10:L48" si="1">IF(F10=0,"",J10/F10*100)</f>
        <v>139.2163738394641</v>
      </c>
    </row>
    <row r="11" spans="1:12" s="26" customFormat="1" ht="12.2" customHeight="1" x14ac:dyDescent="0.2">
      <c r="A11" s="49" t="s">
        <v>91</v>
      </c>
      <c r="B11" s="50" t="s">
        <v>143</v>
      </c>
      <c r="C11" s="128"/>
      <c r="D11" s="192"/>
      <c r="E11" s="128"/>
      <c r="F11" s="128"/>
      <c r="G11" s="583"/>
      <c r="H11" s="51">
        <f t="shared" ref="H11:H48" si="2">+E11-D11</f>
        <v>0</v>
      </c>
      <c r="I11" s="1496"/>
      <c r="J11" s="128"/>
      <c r="K11" s="1496"/>
      <c r="L11" s="1510" t="str">
        <f t="shared" si="1"/>
        <v/>
      </c>
    </row>
    <row r="12" spans="1:12" s="26" customFormat="1" ht="12.2" customHeight="1" x14ac:dyDescent="0.2">
      <c r="A12" s="1037" t="s">
        <v>92</v>
      </c>
      <c r="B12" s="330" t="s">
        <v>144</v>
      </c>
      <c r="C12" s="331">
        <v>5360000</v>
      </c>
      <c r="D12" s="340">
        <v>5360000</v>
      </c>
      <c r="E12" s="331">
        <v>5360000</v>
      </c>
      <c r="F12" s="331">
        <v>5360000</v>
      </c>
      <c r="G12" s="88"/>
      <c r="H12" s="332">
        <f t="shared" si="2"/>
        <v>0</v>
      </c>
      <c r="I12" s="1497"/>
      <c r="J12" s="331">
        <v>7407964</v>
      </c>
      <c r="K12" s="1497"/>
      <c r="L12" s="1511">
        <f t="shared" si="1"/>
        <v>138.20828358208954</v>
      </c>
    </row>
    <row r="13" spans="1:12" s="26" customFormat="1" ht="12.2" customHeight="1" x14ac:dyDescent="0.2">
      <c r="A13" s="1037" t="s">
        <v>93</v>
      </c>
      <c r="B13" s="330" t="s">
        <v>145</v>
      </c>
      <c r="C13" s="331"/>
      <c r="D13" s="340"/>
      <c r="E13" s="331"/>
      <c r="F13" s="331"/>
      <c r="G13" s="88"/>
      <c r="H13" s="332">
        <f t="shared" si="2"/>
        <v>0</v>
      </c>
      <c r="I13" s="1497"/>
      <c r="J13" s="331"/>
      <c r="K13" s="1497"/>
      <c r="L13" s="1511" t="str">
        <f t="shared" si="1"/>
        <v/>
      </c>
    </row>
    <row r="14" spans="1:12" s="26" customFormat="1" ht="12.2" customHeight="1" x14ac:dyDescent="0.2">
      <c r="A14" s="1037" t="s">
        <v>90</v>
      </c>
      <c r="B14" s="330" t="s">
        <v>146</v>
      </c>
      <c r="C14" s="331"/>
      <c r="D14" s="340"/>
      <c r="E14" s="331"/>
      <c r="F14" s="331"/>
      <c r="G14" s="88"/>
      <c r="H14" s="332">
        <f t="shared" si="2"/>
        <v>0</v>
      </c>
      <c r="I14" s="1497"/>
      <c r="J14" s="331"/>
      <c r="K14" s="1497"/>
      <c r="L14" s="1511" t="str">
        <f t="shared" si="1"/>
        <v/>
      </c>
    </row>
    <row r="15" spans="1:12" s="26" customFormat="1" ht="12.2" customHeight="1" x14ac:dyDescent="0.2">
      <c r="A15" s="1037" t="s">
        <v>147</v>
      </c>
      <c r="B15" s="330" t="s">
        <v>148</v>
      </c>
      <c r="C15" s="331"/>
      <c r="D15" s="340"/>
      <c r="E15" s="331"/>
      <c r="F15" s="331"/>
      <c r="G15" s="88"/>
      <c r="H15" s="332">
        <f t="shared" si="2"/>
        <v>0</v>
      </c>
      <c r="I15" s="1497"/>
      <c r="J15" s="331"/>
      <c r="K15" s="1497"/>
      <c r="L15" s="1511" t="str">
        <f t="shared" si="1"/>
        <v/>
      </c>
    </row>
    <row r="16" spans="1:12" s="26" customFormat="1" ht="12.2" customHeight="1" x14ac:dyDescent="0.2">
      <c r="A16" s="1037" t="s">
        <v>149</v>
      </c>
      <c r="B16" s="330" t="s">
        <v>150</v>
      </c>
      <c r="C16" s="331">
        <v>1447200</v>
      </c>
      <c r="D16" s="340">
        <v>1447200</v>
      </c>
      <c r="E16" s="331">
        <v>1447200</v>
      </c>
      <c r="F16" s="331">
        <v>1447200</v>
      </c>
      <c r="G16" s="88"/>
      <c r="H16" s="332">
        <f t="shared" si="2"/>
        <v>0</v>
      </c>
      <c r="I16" s="1497"/>
      <c r="J16" s="331">
        <v>1976969</v>
      </c>
      <c r="K16" s="1497"/>
      <c r="L16" s="1511">
        <f t="shared" si="1"/>
        <v>136.6064814814815</v>
      </c>
    </row>
    <row r="17" spans="1:12" s="26" customFormat="1" ht="12.2" customHeight="1" x14ac:dyDescent="0.2">
      <c r="A17" s="1037" t="s">
        <v>151</v>
      </c>
      <c r="B17" s="52" t="s">
        <v>152</v>
      </c>
      <c r="C17" s="331"/>
      <c r="D17" s="340"/>
      <c r="E17" s="331"/>
      <c r="F17" s="331"/>
      <c r="G17" s="88"/>
      <c r="H17" s="332">
        <f t="shared" si="2"/>
        <v>0</v>
      </c>
      <c r="I17" s="1497"/>
      <c r="J17" s="331"/>
      <c r="K17" s="1497"/>
      <c r="L17" s="1511" t="str">
        <f t="shared" si="1"/>
        <v/>
      </c>
    </row>
    <row r="18" spans="1:12" s="26" customFormat="1" ht="12.2" customHeight="1" x14ac:dyDescent="0.2">
      <c r="A18" s="1037" t="s">
        <v>153</v>
      </c>
      <c r="B18" s="345" t="s">
        <v>302</v>
      </c>
      <c r="C18" s="121"/>
      <c r="D18" s="188"/>
      <c r="E18" s="121"/>
      <c r="F18" s="121"/>
      <c r="G18" s="90"/>
      <c r="H18" s="53">
        <f t="shared" si="2"/>
        <v>0</v>
      </c>
      <c r="I18" s="1498"/>
      <c r="J18" s="121"/>
      <c r="K18" s="1498"/>
      <c r="L18" s="1512" t="str">
        <f t="shared" si="1"/>
        <v/>
      </c>
    </row>
    <row r="19" spans="1:12" s="54" customFormat="1" ht="12.2" customHeight="1" x14ac:dyDescent="0.2">
      <c r="A19" s="1037" t="s">
        <v>154</v>
      </c>
      <c r="B19" s="330" t="s">
        <v>155</v>
      </c>
      <c r="C19" s="331"/>
      <c r="D19" s="340"/>
      <c r="E19" s="331"/>
      <c r="F19" s="331"/>
      <c r="G19" s="88"/>
      <c r="H19" s="332">
        <f t="shared" si="2"/>
        <v>0</v>
      </c>
      <c r="I19" s="1497"/>
      <c r="J19" s="331"/>
      <c r="K19" s="1497"/>
      <c r="L19" s="1511" t="str">
        <f t="shared" si="1"/>
        <v/>
      </c>
    </row>
    <row r="20" spans="1:12" s="54" customFormat="1" ht="12.2" customHeight="1" x14ac:dyDescent="0.2">
      <c r="A20" s="1037" t="s">
        <v>156</v>
      </c>
      <c r="B20" s="345" t="s">
        <v>275</v>
      </c>
      <c r="C20" s="331"/>
      <c r="D20" s="341"/>
      <c r="E20" s="333"/>
      <c r="F20" s="1493"/>
      <c r="G20" s="1488"/>
      <c r="H20" s="334">
        <f t="shared" si="2"/>
        <v>0</v>
      </c>
      <c r="I20" s="1499"/>
      <c r="J20" s="1493"/>
      <c r="K20" s="1499"/>
      <c r="L20" s="1513" t="str">
        <f t="shared" si="1"/>
        <v/>
      </c>
    </row>
    <row r="21" spans="1:12" s="54" customFormat="1" ht="12.2" customHeight="1" thickBot="1" x14ac:dyDescent="0.25">
      <c r="A21" s="1037" t="s">
        <v>276</v>
      </c>
      <c r="B21" s="52" t="s">
        <v>157</v>
      </c>
      <c r="C21" s="331"/>
      <c r="D21" s="341"/>
      <c r="E21" s="333"/>
      <c r="F21" s="1493"/>
      <c r="G21" s="1488"/>
      <c r="H21" s="334">
        <f t="shared" si="2"/>
        <v>0</v>
      </c>
      <c r="I21" s="1499"/>
      <c r="J21" s="1493">
        <v>91804</v>
      </c>
      <c r="K21" s="1499"/>
      <c r="L21" s="1513" t="str">
        <f t="shared" si="1"/>
        <v/>
      </c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SUM(C23:C25)</f>
        <v>0</v>
      </c>
      <c r="D22" s="127">
        <f t="shared" ref="D22:K22" si="3">SUM(D23:D25)</f>
        <v>0</v>
      </c>
      <c r="E22" s="89">
        <f t="shared" si="3"/>
        <v>1162856</v>
      </c>
      <c r="F22" s="89">
        <f t="shared" si="3"/>
        <v>1162856</v>
      </c>
      <c r="G22" s="582">
        <f t="shared" si="3"/>
        <v>0</v>
      </c>
      <c r="H22" s="48">
        <f t="shared" si="2"/>
        <v>1162856</v>
      </c>
      <c r="I22" s="1495">
        <f t="shared" si="3"/>
        <v>0</v>
      </c>
      <c r="J22" s="89">
        <f t="shared" si="3"/>
        <v>1702549</v>
      </c>
      <c r="K22" s="1495">
        <f t="shared" si="3"/>
        <v>0</v>
      </c>
      <c r="L22" s="1509">
        <f t="shared" si="1"/>
        <v>146.41099155871407</v>
      </c>
    </row>
    <row r="23" spans="1:12" s="54" customFormat="1" ht="12.2" customHeight="1" x14ac:dyDescent="0.2">
      <c r="A23" s="1037" t="s">
        <v>94</v>
      </c>
      <c r="B23" s="17" t="s">
        <v>159</v>
      </c>
      <c r="C23" s="331"/>
      <c r="D23" s="340"/>
      <c r="E23" s="331"/>
      <c r="F23" s="331"/>
      <c r="G23" s="88"/>
      <c r="H23" s="332">
        <f t="shared" si="2"/>
        <v>0</v>
      </c>
      <c r="I23" s="1497"/>
      <c r="J23" s="331"/>
      <c r="K23" s="1497"/>
      <c r="L23" s="1511" t="str">
        <f t="shared" si="1"/>
        <v/>
      </c>
    </row>
    <row r="24" spans="1:12" s="54" customFormat="1" ht="12.2" customHeight="1" x14ac:dyDescent="0.2">
      <c r="A24" s="1037" t="s">
        <v>95</v>
      </c>
      <c r="B24" s="330" t="s">
        <v>160</v>
      </c>
      <c r="C24" s="331"/>
      <c r="D24" s="340"/>
      <c r="E24" s="331"/>
      <c r="F24" s="331"/>
      <c r="G24" s="88"/>
      <c r="H24" s="332">
        <f t="shared" si="2"/>
        <v>0</v>
      </c>
      <c r="I24" s="1497"/>
      <c r="J24" s="331"/>
      <c r="K24" s="1497"/>
      <c r="L24" s="1511" t="str">
        <f t="shared" si="1"/>
        <v/>
      </c>
    </row>
    <row r="25" spans="1:12" s="54" customFormat="1" ht="12.2" customHeight="1" x14ac:dyDescent="0.2">
      <c r="A25" s="1037" t="s">
        <v>96</v>
      </c>
      <c r="B25" s="330" t="s">
        <v>161</v>
      </c>
      <c r="C25" s="331"/>
      <c r="D25" s="340"/>
      <c r="E25" s="331">
        <f>662856+500000</f>
        <v>1162856</v>
      </c>
      <c r="F25" s="331">
        <v>1162856</v>
      </c>
      <c r="G25" s="88"/>
      <c r="H25" s="332">
        <f t="shared" si="2"/>
        <v>1162856</v>
      </c>
      <c r="I25" s="1497"/>
      <c r="J25" s="331">
        <v>1702549</v>
      </c>
      <c r="K25" s="1497"/>
      <c r="L25" s="1511">
        <f t="shared" si="1"/>
        <v>146.41099155871407</v>
      </c>
    </row>
    <row r="26" spans="1:12" s="54" customFormat="1" ht="12.2" customHeight="1" thickBot="1" x14ac:dyDescent="0.25">
      <c r="A26" s="1037" t="s">
        <v>317</v>
      </c>
      <c r="B26" s="335" t="s">
        <v>233</v>
      </c>
      <c r="C26" s="331"/>
      <c r="D26" s="340"/>
      <c r="E26" s="331"/>
      <c r="F26" s="331"/>
      <c r="G26" s="88"/>
      <c r="H26" s="332">
        <f t="shared" si="2"/>
        <v>0</v>
      </c>
      <c r="I26" s="1497"/>
      <c r="J26" s="331"/>
      <c r="K26" s="1497"/>
      <c r="L26" s="1511" t="str">
        <f t="shared" si="1"/>
        <v/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30"/>
      <c r="D27" s="129"/>
      <c r="E27" s="130"/>
      <c r="F27" s="130"/>
      <c r="G27" s="585"/>
      <c r="H27" s="57">
        <f t="shared" si="2"/>
        <v>0</v>
      </c>
      <c r="I27" s="1500"/>
      <c r="J27" s="130"/>
      <c r="K27" s="1500"/>
      <c r="L27" s="1514" t="str">
        <f t="shared" si="1"/>
        <v/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+C29+C30</f>
        <v>0</v>
      </c>
      <c r="D28" s="127">
        <f t="shared" ref="D28:K28" si="4">+D29+D30</f>
        <v>0</v>
      </c>
      <c r="E28" s="89">
        <f t="shared" si="4"/>
        <v>0</v>
      </c>
      <c r="F28" s="89">
        <f t="shared" si="4"/>
        <v>0</v>
      </c>
      <c r="G28" s="582">
        <f t="shared" si="4"/>
        <v>0</v>
      </c>
      <c r="H28" s="48">
        <f t="shared" si="2"/>
        <v>0</v>
      </c>
      <c r="I28" s="1495">
        <f t="shared" si="4"/>
        <v>0</v>
      </c>
      <c r="J28" s="89">
        <f t="shared" si="4"/>
        <v>0</v>
      </c>
      <c r="K28" s="1495">
        <f t="shared" si="4"/>
        <v>0</v>
      </c>
      <c r="L28" s="1509" t="str">
        <f t="shared" si="1"/>
        <v/>
      </c>
    </row>
    <row r="29" spans="1:12" s="54" customFormat="1" ht="12.2" customHeight="1" x14ac:dyDescent="0.2">
      <c r="A29" s="58" t="s">
        <v>100</v>
      </c>
      <c r="B29" s="59" t="s">
        <v>160</v>
      </c>
      <c r="C29" s="122"/>
      <c r="D29" s="189"/>
      <c r="E29" s="122"/>
      <c r="F29" s="122"/>
      <c r="G29" s="586"/>
      <c r="H29" s="33">
        <f t="shared" si="2"/>
        <v>0</v>
      </c>
      <c r="I29" s="1501"/>
      <c r="J29" s="122"/>
      <c r="K29" s="1501"/>
      <c r="L29" s="1515" t="str">
        <f t="shared" si="1"/>
        <v/>
      </c>
    </row>
    <row r="30" spans="1:12" s="54" customFormat="1" ht="12.2" customHeight="1" x14ac:dyDescent="0.2">
      <c r="A30" s="58" t="s">
        <v>101</v>
      </c>
      <c r="B30" s="336" t="s">
        <v>163</v>
      </c>
      <c r="C30" s="120"/>
      <c r="D30" s="193"/>
      <c r="E30" s="120"/>
      <c r="F30" s="120"/>
      <c r="G30" s="91"/>
      <c r="H30" s="60">
        <f t="shared" si="2"/>
        <v>0</v>
      </c>
      <c r="I30" s="1502"/>
      <c r="J30" s="120"/>
      <c r="K30" s="1502"/>
      <c r="L30" s="1516" t="str">
        <f t="shared" si="1"/>
        <v/>
      </c>
    </row>
    <row r="31" spans="1:12" s="54" customFormat="1" ht="12.2" customHeight="1" thickBot="1" x14ac:dyDescent="0.25">
      <c r="A31" s="1037" t="s">
        <v>281</v>
      </c>
      <c r="B31" s="102" t="s">
        <v>165</v>
      </c>
      <c r="C31" s="92"/>
      <c r="D31" s="190"/>
      <c r="E31" s="92"/>
      <c r="F31" s="92"/>
      <c r="G31" s="593"/>
      <c r="H31" s="61">
        <f t="shared" si="2"/>
        <v>0</v>
      </c>
      <c r="I31" s="1503"/>
      <c r="J31" s="92"/>
      <c r="K31" s="1503"/>
      <c r="L31" s="1517" t="str">
        <f t="shared" si="1"/>
        <v/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+C33+C34+C35</f>
        <v>0</v>
      </c>
      <c r="D32" s="127">
        <f t="shared" ref="D32:K32" si="5">+D33+D34+D35</f>
        <v>0</v>
      </c>
      <c r="E32" s="89">
        <f t="shared" si="5"/>
        <v>0</v>
      </c>
      <c r="F32" s="89">
        <f t="shared" si="5"/>
        <v>0</v>
      </c>
      <c r="G32" s="582">
        <f t="shared" si="5"/>
        <v>0</v>
      </c>
      <c r="H32" s="48">
        <f t="shared" si="2"/>
        <v>0</v>
      </c>
      <c r="I32" s="1495">
        <f t="shared" si="5"/>
        <v>0</v>
      </c>
      <c r="J32" s="89">
        <f t="shared" si="5"/>
        <v>0</v>
      </c>
      <c r="K32" s="1495">
        <f t="shared" si="5"/>
        <v>0</v>
      </c>
      <c r="L32" s="1509" t="str">
        <f t="shared" si="1"/>
        <v/>
      </c>
    </row>
    <row r="33" spans="1:12" s="54" customFormat="1" ht="12.2" customHeight="1" x14ac:dyDescent="0.2">
      <c r="A33" s="58" t="s">
        <v>89</v>
      </c>
      <c r="B33" s="59" t="s">
        <v>167</v>
      </c>
      <c r="C33" s="122"/>
      <c r="D33" s="189"/>
      <c r="E33" s="122"/>
      <c r="F33" s="122"/>
      <c r="G33" s="586"/>
      <c r="H33" s="33">
        <f t="shared" si="2"/>
        <v>0</v>
      </c>
      <c r="I33" s="1501"/>
      <c r="J33" s="122"/>
      <c r="K33" s="1501"/>
      <c r="L33" s="1515" t="str">
        <f t="shared" si="1"/>
        <v/>
      </c>
    </row>
    <row r="34" spans="1:12" s="54" customFormat="1" ht="12.2" customHeight="1" x14ac:dyDescent="0.2">
      <c r="A34" s="58" t="s">
        <v>102</v>
      </c>
      <c r="B34" s="336" t="s">
        <v>168</v>
      </c>
      <c r="C34" s="120"/>
      <c r="D34" s="193"/>
      <c r="E34" s="120"/>
      <c r="F34" s="120"/>
      <c r="G34" s="91"/>
      <c r="H34" s="60">
        <f t="shared" si="2"/>
        <v>0</v>
      </c>
      <c r="I34" s="1502"/>
      <c r="J34" s="120"/>
      <c r="K34" s="1502"/>
      <c r="L34" s="1516" t="str">
        <f t="shared" si="1"/>
        <v/>
      </c>
    </row>
    <row r="35" spans="1:12" s="54" customFormat="1" ht="12.2" customHeight="1" thickBot="1" x14ac:dyDescent="0.25">
      <c r="A35" s="1037" t="s">
        <v>103</v>
      </c>
      <c r="B35" s="62" t="s">
        <v>169</v>
      </c>
      <c r="C35" s="92"/>
      <c r="D35" s="190"/>
      <c r="E35" s="92"/>
      <c r="F35" s="92"/>
      <c r="G35" s="593"/>
      <c r="H35" s="61">
        <f t="shared" si="2"/>
        <v>0</v>
      </c>
      <c r="I35" s="1503"/>
      <c r="J35" s="92"/>
      <c r="K35" s="1503"/>
      <c r="L35" s="1517" t="str">
        <f t="shared" si="1"/>
        <v/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30"/>
      <c r="D36" s="129">
        <v>50000</v>
      </c>
      <c r="E36" s="130">
        <f>50000+1000000+1000000+1000000</f>
        <v>3050000</v>
      </c>
      <c r="F36" s="130">
        <v>3050000</v>
      </c>
      <c r="G36" s="585"/>
      <c r="H36" s="57">
        <f t="shared" si="2"/>
        <v>3000000</v>
      </c>
      <c r="I36" s="1500"/>
      <c r="J36" s="130">
        <v>3050000</v>
      </c>
      <c r="K36" s="1500"/>
      <c r="L36" s="1514">
        <f t="shared" si="1"/>
        <v>100</v>
      </c>
    </row>
    <row r="37" spans="1:12" s="26" customFormat="1" ht="12.2" customHeight="1" thickBot="1" x14ac:dyDescent="0.25">
      <c r="A37" s="1038" t="s">
        <v>104</v>
      </c>
      <c r="B37" s="337" t="s">
        <v>165</v>
      </c>
      <c r="C37" s="1032"/>
      <c r="D37" s="823"/>
      <c r="E37" s="1032"/>
      <c r="F37" s="130"/>
      <c r="G37" s="585"/>
      <c r="H37" s="57">
        <f t="shared" si="2"/>
        <v>0</v>
      </c>
      <c r="I37" s="1500"/>
      <c r="J37" s="130"/>
      <c r="K37" s="1500"/>
      <c r="L37" s="1514" t="str">
        <f t="shared" si="1"/>
        <v/>
      </c>
    </row>
    <row r="38" spans="1:12" s="26" customFormat="1" ht="12.2" customHeight="1" thickBot="1" x14ac:dyDescent="0.25">
      <c r="A38" s="55" t="s">
        <v>18</v>
      </c>
      <c r="B38" s="56" t="s">
        <v>380</v>
      </c>
      <c r="C38" s="130">
        <f>+C39+C40</f>
        <v>0</v>
      </c>
      <c r="D38" s="129">
        <f t="shared" ref="D38:K38" si="6">+D39+D40</f>
        <v>0</v>
      </c>
      <c r="E38" s="130">
        <f t="shared" si="6"/>
        <v>0</v>
      </c>
      <c r="F38" s="130">
        <f t="shared" si="6"/>
        <v>0</v>
      </c>
      <c r="G38" s="585">
        <f t="shared" si="6"/>
        <v>0</v>
      </c>
      <c r="H38" s="57">
        <f t="shared" si="2"/>
        <v>0</v>
      </c>
      <c r="I38" s="1500">
        <f t="shared" si="6"/>
        <v>0</v>
      </c>
      <c r="J38" s="130">
        <f t="shared" si="6"/>
        <v>0</v>
      </c>
      <c r="K38" s="1500">
        <f t="shared" si="6"/>
        <v>0</v>
      </c>
      <c r="L38" s="1514" t="str">
        <f t="shared" si="1"/>
        <v/>
      </c>
    </row>
    <row r="39" spans="1:12" s="26" customFormat="1" ht="12.2" customHeight="1" x14ac:dyDescent="0.2">
      <c r="A39" s="12" t="s">
        <v>107</v>
      </c>
      <c r="B39" s="95" t="s">
        <v>212</v>
      </c>
      <c r="C39" s="131"/>
      <c r="D39" s="194"/>
      <c r="E39" s="131"/>
      <c r="F39" s="131"/>
      <c r="G39" s="589"/>
      <c r="H39" s="96">
        <f t="shared" si="2"/>
        <v>0</v>
      </c>
      <c r="I39" s="1504"/>
      <c r="J39" s="131"/>
      <c r="K39" s="1504"/>
      <c r="L39" s="1518" t="str">
        <f t="shared" si="1"/>
        <v/>
      </c>
    </row>
    <row r="40" spans="1:12" s="26" customFormat="1" ht="12.2" customHeight="1" x14ac:dyDescent="0.2">
      <c r="A40" s="1003" t="s">
        <v>108</v>
      </c>
      <c r="B40" s="346" t="s">
        <v>213</v>
      </c>
      <c r="C40" s="1033"/>
      <c r="D40" s="825"/>
      <c r="E40" s="1033"/>
      <c r="F40" s="1494"/>
      <c r="G40" s="605"/>
      <c r="H40" s="824">
        <f t="shared" si="2"/>
        <v>0</v>
      </c>
      <c r="I40" s="1505"/>
      <c r="J40" s="1508"/>
      <c r="K40" s="1505"/>
      <c r="L40" s="1519" t="str">
        <f t="shared" si="1"/>
        <v/>
      </c>
    </row>
    <row r="41" spans="1:12" s="26" customFormat="1" ht="12.2" customHeight="1" thickBot="1" x14ac:dyDescent="0.25">
      <c r="A41" s="1003" t="s">
        <v>323</v>
      </c>
      <c r="B41" s="103" t="s">
        <v>165</v>
      </c>
      <c r="C41" s="92"/>
      <c r="D41" s="190"/>
      <c r="E41" s="92"/>
      <c r="F41" s="92"/>
      <c r="G41" s="593"/>
      <c r="H41" s="61">
        <f t="shared" si="2"/>
        <v>0</v>
      </c>
      <c r="I41" s="1506"/>
      <c r="J41" s="133"/>
      <c r="K41" s="1506"/>
      <c r="L41" s="1520" t="str">
        <f t="shared" si="1"/>
        <v/>
      </c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6807200</v>
      </c>
      <c r="D42" s="127">
        <f t="shared" ref="D42:K42" si="7">+D10+D22+D27+D28+D32+D36+D38</f>
        <v>6857200</v>
      </c>
      <c r="E42" s="89">
        <f t="shared" si="7"/>
        <v>11020056</v>
      </c>
      <c r="F42" s="89">
        <f t="shared" si="7"/>
        <v>11020056</v>
      </c>
      <c r="G42" s="582">
        <f t="shared" si="7"/>
        <v>0</v>
      </c>
      <c r="H42" s="48">
        <f t="shared" si="2"/>
        <v>4162856</v>
      </c>
      <c r="I42" s="1495">
        <f t="shared" si="7"/>
        <v>0</v>
      </c>
      <c r="J42" s="89">
        <f t="shared" si="7"/>
        <v>14229286</v>
      </c>
      <c r="K42" s="1495">
        <f t="shared" si="7"/>
        <v>0</v>
      </c>
      <c r="L42" s="1509">
        <f t="shared" si="1"/>
        <v>129.12172134152496</v>
      </c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SUM(C44:C47)</f>
        <v>218098300</v>
      </c>
      <c r="D43" s="127">
        <f t="shared" ref="D43:K43" si="8">SUM(D44:D47)</f>
        <v>257615949</v>
      </c>
      <c r="E43" s="89">
        <f t="shared" si="8"/>
        <v>309532949</v>
      </c>
      <c r="F43" s="89">
        <f t="shared" si="8"/>
        <v>309532949</v>
      </c>
      <c r="G43" s="582">
        <f t="shared" si="8"/>
        <v>1253080</v>
      </c>
      <c r="H43" s="48">
        <f t="shared" si="2"/>
        <v>51917000</v>
      </c>
      <c r="I43" s="1495">
        <f t="shared" si="8"/>
        <v>1253080</v>
      </c>
      <c r="J43" s="89">
        <f t="shared" si="8"/>
        <v>217667718</v>
      </c>
      <c r="K43" s="1495">
        <f t="shared" si="8"/>
        <v>0</v>
      </c>
      <c r="L43" s="1509">
        <f t="shared" si="1"/>
        <v>70.321340168538896</v>
      </c>
    </row>
    <row r="44" spans="1:12" s="26" customFormat="1" ht="12.2" customHeight="1" x14ac:dyDescent="0.2">
      <c r="A44" s="58" t="s">
        <v>171</v>
      </c>
      <c r="B44" s="59" t="s">
        <v>131</v>
      </c>
      <c r="C44" s="122">
        <v>1245500</v>
      </c>
      <c r="D44" s="189">
        <f>1245500+7580+3020521+606058+4047369</f>
        <v>8927028</v>
      </c>
      <c r="E44" s="122">
        <v>8927028</v>
      </c>
      <c r="F44" s="122">
        <v>8927028</v>
      </c>
      <c r="G44" s="586"/>
      <c r="H44" s="33">
        <f t="shared" si="2"/>
        <v>0</v>
      </c>
      <c r="I44" s="1501"/>
      <c r="J44" s="122">
        <v>8927028</v>
      </c>
      <c r="K44" s="1501"/>
      <c r="L44" s="1515">
        <f t="shared" si="1"/>
        <v>100</v>
      </c>
    </row>
    <row r="45" spans="1:12" s="26" customFormat="1" ht="12.2" customHeight="1" x14ac:dyDescent="0.2">
      <c r="A45" s="71" t="s">
        <v>172</v>
      </c>
      <c r="B45" s="59" t="s">
        <v>186</v>
      </c>
      <c r="C45" s="120"/>
      <c r="D45" s="193"/>
      <c r="E45" s="120"/>
      <c r="F45" s="120"/>
      <c r="G45" s="91"/>
      <c r="H45" s="60">
        <f t="shared" si="2"/>
        <v>0</v>
      </c>
      <c r="I45" s="1502"/>
      <c r="J45" s="120"/>
      <c r="K45" s="1502"/>
      <c r="L45" s="1516" t="str">
        <f t="shared" si="1"/>
        <v/>
      </c>
    </row>
    <row r="46" spans="1:12" s="26" customFormat="1" ht="12.2" customHeight="1" x14ac:dyDescent="0.2">
      <c r="A46" s="1037" t="s">
        <v>173</v>
      </c>
      <c r="B46" s="336" t="s">
        <v>177</v>
      </c>
      <c r="C46" s="339">
        <f>C70-C42-C44-C63-C65-C68+C38+C32+C28</f>
        <v>213452800</v>
      </c>
      <c r="D46" s="323">
        <f t="shared" ref="D46:K46" si="9">D70-D42-D44-D63-D65-D68+D38+D32+D28</f>
        <v>243812921</v>
      </c>
      <c r="E46" s="323">
        <f t="shared" si="9"/>
        <v>292429921</v>
      </c>
      <c r="F46" s="339">
        <f t="shared" si="9"/>
        <v>292429921</v>
      </c>
      <c r="G46" s="1489">
        <f t="shared" si="9"/>
        <v>1253080</v>
      </c>
      <c r="H46" s="324">
        <f t="shared" si="2"/>
        <v>48617000</v>
      </c>
      <c r="I46" s="1489">
        <f t="shared" si="9"/>
        <v>1253080</v>
      </c>
      <c r="J46" s="1719">
        <f>208740690-J47</f>
        <v>204305673</v>
      </c>
      <c r="K46" s="1489">
        <f t="shared" si="9"/>
        <v>0</v>
      </c>
      <c r="L46" s="1521">
        <f t="shared" si="1"/>
        <v>69.86483199166203</v>
      </c>
    </row>
    <row r="47" spans="1:12" s="54" customFormat="1" ht="12.2" customHeight="1" thickBot="1" x14ac:dyDescent="0.25">
      <c r="A47" s="58" t="s">
        <v>178</v>
      </c>
      <c r="B47" s="62" t="s">
        <v>179</v>
      </c>
      <c r="C47" s="1034">
        <f>C62-C38-C32-C45-C28</f>
        <v>3400000</v>
      </c>
      <c r="D47" s="195">
        <f t="shared" ref="D47:K47" si="10">D62-D38-D32-D45-D28</f>
        <v>4876000</v>
      </c>
      <c r="E47" s="195">
        <f t="shared" si="10"/>
        <v>8176000</v>
      </c>
      <c r="F47" s="1034">
        <f t="shared" si="10"/>
        <v>8176000</v>
      </c>
      <c r="G47" s="1490">
        <f t="shared" si="10"/>
        <v>0</v>
      </c>
      <c r="H47" s="1491">
        <f t="shared" si="2"/>
        <v>3300000</v>
      </c>
      <c r="I47" s="1490">
        <f t="shared" si="10"/>
        <v>0</v>
      </c>
      <c r="J47" s="1720">
        <f>+J63</f>
        <v>4435017</v>
      </c>
      <c r="K47" s="1490">
        <f t="shared" si="10"/>
        <v>0</v>
      </c>
      <c r="L47" s="1522">
        <f t="shared" si="1"/>
        <v>54.244337084148732</v>
      </c>
    </row>
    <row r="48" spans="1:12" s="559" customFormat="1" ht="15" customHeight="1" thickBot="1" x14ac:dyDescent="0.2">
      <c r="A48" s="63" t="s">
        <v>21</v>
      </c>
      <c r="B48" s="1677" t="s">
        <v>174</v>
      </c>
      <c r="C48" s="135">
        <f>+C42+C43</f>
        <v>224905500</v>
      </c>
      <c r="D48" s="134">
        <f t="shared" ref="D48:K48" si="11">+D42+D43</f>
        <v>264473149</v>
      </c>
      <c r="E48" s="135">
        <f t="shared" si="11"/>
        <v>320553005</v>
      </c>
      <c r="F48" s="135">
        <f t="shared" si="11"/>
        <v>320553005</v>
      </c>
      <c r="G48" s="592">
        <f t="shared" si="11"/>
        <v>1253080</v>
      </c>
      <c r="H48" s="68">
        <f t="shared" si="2"/>
        <v>56079856</v>
      </c>
      <c r="I48" s="1507">
        <f t="shared" si="11"/>
        <v>1253080</v>
      </c>
      <c r="J48" s="135">
        <f t="shared" si="11"/>
        <v>231897004</v>
      </c>
      <c r="K48" s="1507">
        <f t="shared" si="11"/>
        <v>0</v>
      </c>
      <c r="L48" s="1523">
        <f t="shared" si="1"/>
        <v>72.342795226642792</v>
      </c>
    </row>
    <row r="49" spans="1:15" s="54" customFormat="1" ht="14.45" customHeight="1" x14ac:dyDescent="0.2">
      <c r="A49" s="64"/>
      <c r="B49" s="65"/>
      <c r="C49" s="66"/>
      <c r="D49" s="125"/>
      <c r="E49" s="125"/>
      <c r="F49" s="125"/>
      <c r="G49" s="125"/>
      <c r="H49" s="125"/>
      <c r="I49" s="125"/>
      <c r="J49" s="125"/>
      <c r="K49" s="125"/>
      <c r="L49" s="138"/>
    </row>
    <row r="50" spans="1:15" ht="14.45" customHeight="1" x14ac:dyDescent="0.2">
      <c r="A50" s="1804" t="s">
        <v>34</v>
      </c>
      <c r="B50" s="1804"/>
      <c r="C50" s="1804"/>
      <c r="D50" s="1804"/>
      <c r="E50" s="1804"/>
      <c r="F50" s="1804"/>
      <c r="G50" s="1804"/>
      <c r="H50" s="1804"/>
      <c r="I50" s="1804"/>
      <c r="J50" s="1804"/>
      <c r="K50" s="1804"/>
      <c r="L50" s="1804"/>
    </row>
    <row r="51" spans="1:15" ht="14.45" customHeight="1" thickBot="1" x14ac:dyDescent="0.3">
      <c r="A51" s="1805" t="s">
        <v>362</v>
      </c>
      <c r="B51" s="1805"/>
      <c r="C51" s="1805"/>
      <c r="D51" s="1805"/>
      <c r="E51" s="1805"/>
      <c r="F51" s="1805"/>
      <c r="G51" s="1805"/>
      <c r="H51" s="1805"/>
      <c r="I51" s="1805"/>
      <c r="J51" s="1805"/>
      <c r="K51" s="1805"/>
      <c r="L51" s="1805"/>
    </row>
    <row r="52" spans="1:15" s="46" customFormat="1" ht="66.75" customHeight="1" thickBot="1" x14ac:dyDescent="0.25">
      <c r="A52" s="1413" t="s">
        <v>142</v>
      </c>
      <c r="B52" s="42" t="s">
        <v>36</v>
      </c>
      <c r="C52" s="21" t="str">
        <f>'1. mell.bevétel_össz'!C8</f>
        <v>2023. évi eredeti előirányzat
2/2023. (II.14.)</v>
      </c>
      <c r="D52" s="191" t="str">
        <f>'1. mell.bevétel_össz'!D8</f>
        <v>Módosított előirányzat a 14/2023.  (VI.29.)  rendelet szerint</v>
      </c>
      <c r="E52" s="42" t="str">
        <f>'1. mell.bevétel_össz'!E8</f>
        <v>Módosított előirányzat a 18/2023. (IX.26.)  rendelet szerint</v>
      </c>
      <c r="F52" s="42" t="str">
        <f>'1. mell.bevétel_össz'!F8</f>
        <v>Módosított előirányzat 2023.09.30-án</v>
      </c>
      <c r="G52" s="42" t="str">
        <f>'1. mell.bevétel_össz'!G8</f>
        <v>Módosított előirányzat a …../2023. (II…..)  rendelet szerint</v>
      </c>
      <c r="H52" s="126" t="str">
        <f>'1. mell.bevétel_össz'!H8</f>
        <v>Változás a 14/2023. (VI.29.) rendelethez képest</v>
      </c>
      <c r="I52" s="1439" t="str">
        <f>'1. mell.bevétel_össz'!I8</f>
        <v>2023. évi teljesítés              2023.06.30-ig</v>
      </c>
      <c r="J52" s="42" t="str">
        <f>'1. mell.bevétel_össz'!J8</f>
        <v>2023. évi teljesítés              2023.09.30-ig</v>
      </c>
      <c r="K52" s="1453" t="str">
        <f>'1. mell.bevétel_össz'!K8</f>
        <v>2023. évi teljesítés              2023.12.31-ig</v>
      </c>
      <c r="L52" s="1464" t="str">
        <f>'1. mell.bevétel_össz'!L8</f>
        <v>Teljesítés %-a</v>
      </c>
    </row>
    <row r="53" spans="1:15" s="31" customFormat="1" ht="12.2" customHeight="1" thickBot="1" x14ac:dyDescent="0.25">
      <c r="A53" s="197" t="s">
        <v>12</v>
      </c>
      <c r="B53" s="56" t="s">
        <v>547</v>
      </c>
      <c r="C53" s="89">
        <f>SUM(C54:C59)-C55</f>
        <v>221505500</v>
      </c>
      <c r="D53" s="127">
        <f>SUM(D54:D59)-D55</f>
        <v>259597149</v>
      </c>
      <c r="E53" s="89">
        <f>SUM(E54:E59)-E55</f>
        <v>312377005</v>
      </c>
      <c r="F53" s="89">
        <f>SUM(F54:F59)-F55</f>
        <v>312377005</v>
      </c>
      <c r="G53" s="89">
        <f>SUM(G54:G59)-G55</f>
        <v>1253080</v>
      </c>
      <c r="H53" s="175">
        <f t="shared" ref="H53:H72" si="12">+E53-D53</f>
        <v>52779856</v>
      </c>
      <c r="I53" s="1524">
        <f>SUM(I54:I59)-I55</f>
        <v>1253080</v>
      </c>
      <c r="J53" s="89">
        <f>SUM(J54:J59)-J55</f>
        <v>224547880</v>
      </c>
      <c r="K53" s="1495">
        <f>SUM(K54:K59)-K55</f>
        <v>0</v>
      </c>
      <c r="L53" s="1509">
        <f t="shared" ref="L53:L72" si="13">IF(F53=0,"",J53/F53*100)</f>
        <v>71.883613840269717</v>
      </c>
    </row>
    <row r="54" spans="1:15" ht="12.2" customHeight="1" x14ac:dyDescent="0.2">
      <c r="A54" s="653" t="s">
        <v>91</v>
      </c>
      <c r="B54" s="17" t="s">
        <v>68</v>
      </c>
      <c r="C54" s="122">
        <v>144100000</v>
      </c>
      <c r="D54" s="189">
        <f>144100000+1750000</f>
        <v>145850000</v>
      </c>
      <c r="E54" s="122">
        <f>145850000+662856+1700000+5250000+6900000+29000000</f>
        <v>189362856</v>
      </c>
      <c r="F54" s="122">
        <v>189362856</v>
      </c>
      <c r="G54" s="122"/>
      <c r="H54" s="177">
        <f t="shared" si="12"/>
        <v>43512856</v>
      </c>
      <c r="I54" s="1525"/>
      <c r="J54" s="122">
        <v>132679433</v>
      </c>
      <c r="K54" s="1501"/>
      <c r="L54" s="1515">
        <f t="shared" si="13"/>
        <v>70.066239917716487</v>
      </c>
    </row>
    <row r="55" spans="1:15" ht="12.2" customHeight="1" x14ac:dyDescent="0.2">
      <c r="A55" s="653" t="s">
        <v>305</v>
      </c>
      <c r="B55" s="335" t="s">
        <v>270</v>
      </c>
      <c r="C55" s="122"/>
      <c r="D55" s="189"/>
      <c r="E55" s="122">
        <v>6900000</v>
      </c>
      <c r="F55" s="122">
        <v>6900000</v>
      </c>
      <c r="G55" s="122"/>
      <c r="H55" s="177">
        <f t="shared" si="12"/>
        <v>6900000</v>
      </c>
      <c r="I55" s="1525"/>
      <c r="J55" s="122"/>
      <c r="K55" s="1501"/>
      <c r="L55" s="1515">
        <f t="shared" si="13"/>
        <v>0</v>
      </c>
    </row>
    <row r="56" spans="1:15" ht="12.2" customHeight="1" x14ac:dyDescent="0.2">
      <c r="A56" s="653" t="s">
        <v>92</v>
      </c>
      <c r="B56" s="330" t="s">
        <v>87</v>
      </c>
      <c r="C56" s="339">
        <v>24030000</v>
      </c>
      <c r="D56" s="323">
        <f>24030000+490000</f>
        <v>24520000</v>
      </c>
      <c r="E56" s="339">
        <f>24520000+1470000+897000+1100000</f>
        <v>27987000</v>
      </c>
      <c r="F56" s="339">
        <v>27987000</v>
      </c>
      <c r="G56" s="339"/>
      <c r="H56" s="503">
        <f t="shared" si="12"/>
        <v>3467000</v>
      </c>
      <c r="I56" s="1526"/>
      <c r="J56" s="339">
        <v>20831445</v>
      </c>
      <c r="K56" s="1489"/>
      <c r="L56" s="1521">
        <f t="shared" si="13"/>
        <v>74.432575838782284</v>
      </c>
    </row>
    <row r="57" spans="1:15" ht="12.2" customHeight="1" x14ac:dyDescent="0.2">
      <c r="A57" s="653" t="s">
        <v>93</v>
      </c>
      <c r="B57" s="330" t="s">
        <v>69</v>
      </c>
      <c r="C57" s="339">
        <v>52130000</v>
      </c>
      <c r="D57" s="323">
        <f>52130000+26667490+1000000+500000+3020521+606058+50000+4000000</f>
        <v>87974069</v>
      </c>
      <c r="E57" s="339">
        <f>87974069+800000-1700000+500000+1000000+1000000+1000000+3200000</f>
        <v>93774069</v>
      </c>
      <c r="F57" s="339">
        <v>93774069</v>
      </c>
      <c r="G57" s="339"/>
      <c r="H57" s="503">
        <f t="shared" si="12"/>
        <v>5800000</v>
      </c>
      <c r="I57" s="1526"/>
      <c r="J57" s="339">
        <v>70405434</v>
      </c>
      <c r="K57" s="1489"/>
      <c r="L57" s="1521">
        <f t="shared" si="13"/>
        <v>75.07985389862948</v>
      </c>
    </row>
    <row r="58" spans="1:15" ht="12.2" customHeight="1" x14ac:dyDescent="0.2">
      <c r="A58" s="653" t="s">
        <v>90</v>
      </c>
      <c r="B58" s="330" t="s">
        <v>80</v>
      </c>
      <c r="C58" s="339"/>
      <c r="D58" s="323"/>
      <c r="E58" s="339"/>
      <c r="F58" s="339"/>
      <c r="G58" s="339"/>
      <c r="H58" s="503">
        <f t="shared" si="12"/>
        <v>0</v>
      </c>
      <c r="I58" s="1526"/>
      <c r="J58" s="339"/>
      <c r="K58" s="1489"/>
      <c r="L58" s="1521" t="str">
        <f t="shared" si="13"/>
        <v/>
      </c>
    </row>
    <row r="59" spans="1:15" ht="12.2" customHeight="1" x14ac:dyDescent="0.2">
      <c r="A59" s="653" t="s">
        <v>147</v>
      </c>
      <c r="B59" s="330" t="s">
        <v>88</v>
      </c>
      <c r="C59" s="339">
        <f>SUM(C60:C61)</f>
        <v>1245500</v>
      </c>
      <c r="D59" s="339">
        <f t="shared" ref="D59:J59" si="14">SUM(D60:D61)</f>
        <v>1253080</v>
      </c>
      <c r="E59" s="339">
        <f t="shared" si="14"/>
        <v>1253080</v>
      </c>
      <c r="F59" s="339">
        <f t="shared" si="14"/>
        <v>1253080</v>
      </c>
      <c r="G59" s="339">
        <f t="shared" si="14"/>
        <v>1253080</v>
      </c>
      <c r="H59" s="339">
        <f t="shared" si="14"/>
        <v>1253080</v>
      </c>
      <c r="I59" s="339">
        <f t="shared" si="14"/>
        <v>1253080</v>
      </c>
      <c r="J59" s="339">
        <f t="shared" si="14"/>
        <v>631568</v>
      </c>
      <c r="K59" s="1489">
        <f>SUM(K60:K61)</f>
        <v>0</v>
      </c>
      <c r="L59" s="1521">
        <f t="shared" si="13"/>
        <v>50.401251316755513</v>
      </c>
    </row>
    <row r="60" spans="1:15" ht="12.2" customHeight="1" x14ac:dyDescent="0.2">
      <c r="A60" s="653" t="s">
        <v>306</v>
      </c>
      <c r="B60" s="521" t="s">
        <v>235</v>
      </c>
      <c r="C60" s="339">
        <f>'13.támogatás'!C81</f>
        <v>1245500</v>
      </c>
      <c r="D60" s="339">
        <f>'13.támogatás'!D81</f>
        <v>1253080</v>
      </c>
      <c r="E60" s="339">
        <f>'13.támogatás'!E81</f>
        <v>1253080</v>
      </c>
      <c r="F60" s="339">
        <f>'13.támogatás'!F81</f>
        <v>1253080</v>
      </c>
      <c r="G60" s="339">
        <f>'13.támogatás'!G81</f>
        <v>1253080</v>
      </c>
      <c r="H60" s="339">
        <f>'13.támogatás'!H81</f>
        <v>1253080</v>
      </c>
      <c r="I60" s="339">
        <f>'13.támogatás'!I81</f>
        <v>1253080</v>
      </c>
      <c r="J60" s="339">
        <f>'13.támogatás'!J81</f>
        <v>631568</v>
      </c>
      <c r="K60" s="1489"/>
      <c r="L60" s="1521">
        <f t="shared" si="13"/>
        <v>50.401251316755513</v>
      </c>
    </row>
    <row r="61" spans="1:15" ht="12.2" customHeight="1" thickBot="1" x14ac:dyDescent="0.25">
      <c r="A61" s="198" t="s">
        <v>307</v>
      </c>
      <c r="B61" s="85" t="s">
        <v>234</v>
      </c>
      <c r="C61" s="92"/>
      <c r="D61" s="190"/>
      <c r="E61" s="92"/>
      <c r="F61" s="92"/>
      <c r="G61" s="92"/>
      <c r="H61" s="178">
        <f t="shared" si="12"/>
        <v>0</v>
      </c>
      <c r="I61" s="1527"/>
      <c r="J61" s="92"/>
      <c r="K61" s="1503"/>
      <c r="L61" s="1517" t="str">
        <f t="shared" si="13"/>
        <v/>
      </c>
    </row>
    <row r="62" spans="1:15" ht="12.2" customHeight="1" thickBot="1" x14ac:dyDescent="0.25">
      <c r="A62" s="197" t="s">
        <v>13</v>
      </c>
      <c r="B62" s="56" t="s">
        <v>548</v>
      </c>
      <c r="C62" s="89">
        <f>SUM(C63:C67)</f>
        <v>3400000</v>
      </c>
      <c r="D62" s="127">
        <f>SUM(D63:D67)</f>
        <v>4876000</v>
      </c>
      <c r="E62" s="89">
        <f>SUM(E63:E67)</f>
        <v>8176000</v>
      </c>
      <c r="F62" s="89">
        <f>SUM(F63:F67)</f>
        <v>8176000</v>
      </c>
      <c r="G62" s="89">
        <f>SUM(G63:G67)</f>
        <v>0</v>
      </c>
      <c r="H62" s="175">
        <f t="shared" si="12"/>
        <v>3300000</v>
      </c>
      <c r="I62" s="1524">
        <f>SUM(I63:I67)</f>
        <v>0</v>
      </c>
      <c r="J62" s="89">
        <f>SUM(J63:J67)</f>
        <v>4435017</v>
      </c>
      <c r="K62" s="1495">
        <f>SUM(K63:K67)</f>
        <v>0</v>
      </c>
      <c r="L62" s="1509">
        <f t="shared" si="13"/>
        <v>54.244337084148732</v>
      </c>
    </row>
    <row r="63" spans="1:15" s="31" customFormat="1" ht="12.2" customHeight="1" x14ac:dyDescent="0.2">
      <c r="A63" s="653" t="s">
        <v>94</v>
      </c>
      <c r="B63" s="17" t="s">
        <v>119</v>
      </c>
      <c r="C63" s="122">
        <f>+'15.felh.felúj.'!C86</f>
        <v>3400000</v>
      </c>
      <c r="D63" s="189">
        <f>+'15.felh.felúj.'!D86</f>
        <v>4876000</v>
      </c>
      <c r="E63" s="122">
        <f>'15.felh.felúj.'!E86</f>
        <v>8176000</v>
      </c>
      <c r="F63" s="122">
        <f>'15.felh.felúj.'!F86</f>
        <v>8176000</v>
      </c>
      <c r="G63" s="122">
        <f>'15.felh.felúj.'!G86</f>
        <v>0</v>
      </c>
      <c r="H63" s="177">
        <f t="shared" si="12"/>
        <v>3300000</v>
      </c>
      <c r="I63" s="1525">
        <f>'15.felh.felúj.'!I86</f>
        <v>0</v>
      </c>
      <c r="J63" s="122">
        <f>'15.felh.felúj.'!J86</f>
        <v>4435017</v>
      </c>
      <c r="K63" s="1501">
        <f>'15.felh.felúj.'!K86</f>
        <v>0</v>
      </c>
      <c r="L63" s="1515">
        <f t="shared" si="13"/>
        <v>54.244337084148732</v>
      </c>
    </row>
    <row r="64" spans="1:15" s="31" customFormat="1" ht="12.2" customHeight="1" x14ac:dyDescent="0.2">
      <c r="A64" s="653" t="s">
        <v>316</v>
      </c>
      <c r="B64" s="522" t="s">
        <v>236</v>
      </c>
      <c r="C64" s="122"/>
      <c r="D64" s="189"/>
      <c r="E64" s="122"/>
      <c r="F64" s="122"/>
      <c r="G64" s="122"/>
      <c r="H64" s="177">
        <f t="shared" si="12"/>
        <v>0</v>
      </c>
      <c r="I64" s="1525"/>
      <c r="J64" s="122"/>
      <c r="K64" s="1501"/>
      <c r="L64" s="1515" t="str">
        <f t="shared" si="13"/>
        <v/>
      </c>
      <c r="O64" s="31" t="s">
        <v>385</v>
      </c>
    </row>
    <row r="65" spans="1:14" ht="12.2" customHeight="1" x14ac:dyDescent="0.2">
      <c r="A65" s="653" t="s">
        <v>95</v>
      </c>
      <c r="B65" s="330" t="s">
        <v>2</v>
      </c>
      <c r="C65" s="339">
        <f>'15.felh.felúj.'!C93</f>
        <v>0</v>
      </c>
      <c r="D65" s="323">
        <f>'15.felh.felúj.'!D93</f>
        <v>0</v>
      </c>
      <c r="E65" s="339">
        <f>'15.felh.felúj.'!E93</f>
        <v>0</v>
      </c>
      <c r="F65" s="339">
        <f>'15.felh.felúj.'!F93</f>
        <v>0</v>
      </c>
      <c r="G65" s="339">
        <f>'15.felh.felúj.'!G93</f>
        <v>0</v>
      </c>
      <c r="H65" s="503">
        <f t="shared" si="12"/>
        <v>0</v>
      </c>
      <c r="I65" s="1526">
        <f>'15.felh.felúj.'!I93</f>
        <v>0</v>
      </c>
      <c r="J65" s="339">
        <f>'15.felh.felúj.'!J93</f>
        <v>0</v>
      </c>
      <c r="K65" s="1489">
        <f>'15.felh.felúj.'!K93</f>
        <v>0</v>
      </c>
      <c r="L65" s="1521" t="str">
        <f t="shared" si="13"/>
        <v/>
      </c>
    </row>
    <row r="66" spans="1:14" ht="12.2" customHeight="1" x14ac:dyDescent="0.2">
      <c r="A66" s="653" t="s">
        <v>342</v>
      </c>
      <c r="B66" s="523" t="s">
        <v>237</v>
      </c>
      <c r="C66" s="339"/>
      <c r="D66" s="323"/>
      <c r="E66" s="339"/>
      <c r="F66" s="339"/>
      <c r="G66" s="339"/>
      <c r="H66" s="503">
        <f t="shared" si="12"/>
        <v>0</v>
      </c>
      <c r="I66" s="1526"/>
      <c r="J66" s="339"/>
      <c r="K66" s="1489"/>
      <c r="L66" s="1521" t="str">
        <f t="shared" si="13"/>
        <v/>
      </c>
    </row>
    <row r="67" spans="1:14" ht="12.2" customHeight="1" x14ac:dyDescent="0.2">
      <c r="A67" s="653" t="s">
        <v>96</v>
      </c>
      <c r="B67" s="17" t="s">
        <v>175</v>
      </c>
      <c r="C67" s="339"/>
      <c r="D67" s="323"/>
      <c r="E67" s="339"/>
      <c r="F67" s="339"/>
      <c r="G67" s="339"/>
      <c r="H67" s="503">
        <f t="shared" si="12"/>
        <v>0</v>
      </c>
      <c r="I67" s="1526"/>
      <c r="J67" s="339"/>
      <c r="K67" s="1489"/>
      <c r="L67" s="1521" t="str">
        <f t="shared" si="13"/>
        <v/>
      </c>
    </row>
    <row r="68" spans="1:14" ht="12.2" customHeight="1" x14ac:dyDescent="0.2">
      <c r="A68" s="653" t="s">
        <v>317</v>
      </c>
      <c r="B68" s="521" t="s">
        <v>239</v>
      </c>
      <c r="C68" s="339"/>
      <c r="D68" s="323"/>
      <c r="E68" s="339"/>
      <c r="F68" s="339"/>
      <c r="G68" s="339"/>
      <c r="H68" s="503">
        <f t="shared" si="12"/>
        <v>0</v>
      </c>
      <c r="I68" s="1526"/>
      <c r="J68" s="339"/>
      <c r="K68" s="1489"/>
      <c r="L68" s="1521" t="str">
        <f t="shared" si="13"/>
        <v/>
      </c>
    </row>
    <row r="69" spans="1:14" ht="12.2" customHeight="1" thickBot="1" x14ac:dyDescent="0.25">
      <c r="A69" s="653" t="s">
        <v>318</v>
      </c>
      <c r="B69" s="521" t="s">
        <v>238</v>
      </c>
      <c r="C69" s="339"/>
      <c r="D69" s="323"/>
      <c r="E69" s="339"/>
      <c r="F69" s="339"/>
      <c r="G69" s="339"/>
      <c r="H69" s="503">
        <f t="shared" si="12"/>
        <v>0</v>
      </c>
      <c r="I69" s="1526"/>
      <c r="J69" s="339"/>
      <c r="K69" s="1489"/>
      <c r="L69" s="1521" t="str">
        <f t="shared" si="13"/>
        <v/>
      </c>
      <c r="N69" s="18"/>
    </row>
    <row r="70" spans="1:14" s="562" customFormat="1" ht="15" customHeight="1" thickBot="1" x14ac:dyDescent="0.25">
      <c r="A70" s="197" t="s">
        <v>14</v>
      </c>
      <c r="B70" s="47" t="s">
        <v>176</v>
      </c>
      <c r="C70" s="89">
        <f>+C53+C62</f>
        <v>224905500</v>
      </c>
      <c r="D70" s="127">
        <f>+D53+D62</f>
        <v>264473149</v>
      </c>
      <c r="E70" s="89">
        <f>+E53+E62</f>
        <v>320553005</v>
      </c>
      <c r="F70" s="89">
        <f>+F53+F62</f>
        <v>320553005</v>
      </c>
      <c r="G70" s="89">
        <f>+G53+G62</f>
        <v>1253080</v>
      </c>
      <c r="H70" s="175">
        <f>+E70-D70</f>
        <v>56079856</v>
      </c>
      <c r="I70" s="1524">
        <f>+I53+I62</f>
        <v>1253080</v>
      </c>
      <c r="J70" s="89">
        <f>+J53+J62</f>
        <v>228982897</v>
      </c>
      <c r="K70" s="1495">
        <f>+K53+K62</f>
        <v>0</v>
      </c>
      <c r="L70" s="1509">
        <f>IF(F70=0,"",J70/F70*100)</f>
        <v>71.433707820021837</v>
      </c>
    </row>
    <row r="71" spans="1:14" s="562" customFormat="1" ht="12" thickBot="1" x14ac:dyDescent="0.25">
      <c r="A71" s="1664"/>
      <c r="C71" s="1665"/>
      <c r="D71" s="1665"/>
      <c r="E71" s="1665"/>
      <c r="F71" s="1665"/>
      <c r="G71" s="1665"/>
      <c r="H71" s="1665"/>
      <c r="I71" s="1665"/>
      <c r="J71" s="1665"/>
      <c r="K71" s="1665"/>
      <c r="L71" s="1666" t="str">
        <f t="shared" si="13"/>
        <v/>
      </c>
    </row>
    <row r="72" spans="1:14" s="562" customFormat="1" ht="15" customHeight="1" thickBot="1" x14ac:dyDescent="0.25">
      <c r="A72" s="1667" t="s">
        <v>290</v>
      </c>
      <c r="B72" s="1668"/>
      <c r="C72" s="1669">
        <v>35</v>
      </c>
      <c r="D72" s="1670">
        <v>35</v>
      </c>
      <c r="E72" s="1669">
        <v>35</v>
      </c>
      <c r="F72" s="1669">
        <v>35</v>
      </c>
      <c r="G72" s="1669"/>
      <c r="H72" s="1671">
        <f t="shared" si="12"/>
        <v>0</v>
      </c>
      <c r="I72" s="1672"/>
      <c r="J72" s="1767">
        <v>35</v>
      </c>
      <c r="K72" s="1673"/>
      <c r="L72" s="1514">
        <f t="shared" si="13"/>
        <v>100</v>
      </c>
    </row>
    <row r="73" spans="1:14" s="562" customFormat="1" ht="14.25" hidden="1" customHeight="1" thickBot="1" x14ac:dyDescent="0.25">
      <c r="A73" s="1674" t="s">
        <v>291</v>
      </c>
      <c r="B73" s="1675"/>
      <c r="C73" s="57"/>
      <c r="D73" s="129"/>
      <c r="E73" s="130"/>
      <c r="F73" s="130"/>
      <c r="G73" s="130"/>
      <c r="H73" s="585"/>
      <c r="I73" s="159"/>
      <c r="J73" s="1500"/>
      <c r="K73" s="159"/>
      <c r="L73" s="160" t="e">
        <f>I73/D73*100</f>
        <v>#DIV/0!</v>
      </c>
    </row>
    <row r="74" spans="1:14" s="562" customFormat="1" ht="11.25" x14ac:dyDescent="0.2">
      <c r="A74" s="1664"/>
      <c r="H74" s="1676"/>
      <c r="J74" s="1766"/>
      <c r="L74" s="1118"/>
    </row>
    <row r="75" spans="1:14" s="562" customFormat="1" ht="11.25" x14ac:dyDescent="0.2">
      <c r="A75" s="1664"/>
      <c r="L75" s="1118"/>
    </row>
  </sheetData>
  <sheetProtection formatCells="0"/>
  <mergeCells count="9">
    <mergeCell ref="A50:L50"/>
    <mergeCell ref="A51:L51"/>
    <mergeCell ref="A3:L3"/>
    <mergeCell ref="A2:H2"/>
    <mergeCell ref="A1:L1"/>
    <mergeCell ref="C4:L4"/>
    <mergeCell ref="C5:L5"/>
    <mergeCell ref="A6:L6"/>
    <mergeCell ref="A9:L9"/>
  </mergeCells>
  <phoneticPr fontId="45" type="noConversion"/>
  <printOptions horizontalCentered="1"/>
  <pageMargins left="0.19685039370078741" right="0.19685039370078741" top="0.39370078740157483" bottom="0.19685039370078741" header="0.78740157480314965" footer="0.78740157480314965"/>
  <pageSetup paperSize="9" scale="7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4"/>
  <sheetViews>
    <sheetView view="pageBreakPreview" topLeftCell="A48" zoomScale="130" zoomScaleNormal="142" zoomScaleSheetLayoutView="130" workbookViewId="0">
      <selection activeCell="J65" sqref="J65"/>
    </sheetView>
  </sheetViews>
  <sheetFormatPr defaultColWidth="9.33203125" defaultRowHeight="12.75" x14ac:dyDescent="0.2"/>
  <cols>
    <col min="1" max="1" width="13.83203125" style="1414" customWidth="1"/>
    <col min="2" max="2" width="67.5" style="25" customWidth="1"/>
    <col min="3" max="3" width="14.1640625" style="25" customWidth="1"/>
    <col min="4" max="4" width="15.83203125" style="25" hidden="1" customWidth="1"/>
    <col min="5" max="5" width="15.5" style="25" customWidth="1"/>
    <col min="6" max="6" width="14.5" style="25" customWidth="1"/>
    <col min="7" max="9" width="15.83203125" style="25" hidden="1" customWidth="1"/>
    <col min="10" max="10" width="13.33203125" style="25" customWidth="1"/>
    <col min="11" max="11" width="15.83203125" style="25" hidden="1" customWidth="1"/>
    <col min="12" max="12" width="9.1640625" style="140" customWidth="1"/>
    <col min="13" max="13" width="9.33203125" style="25" customWidth="1"/>
    <col min="14" max="14" width="14.33203125" style="25" bestFit="1" customWidth="1"/>
    <col min="15" max="16384" width="9.33203125" style="25"/>
  </cols>
  <sheetData>
    <row r="1" spans="1:12" ht="12.75" customHeight="1" x14ac:dyDescent="0.2">
      <c r="A1" s="1773" t="s">
        <v>823</v>
      </c>
      <c r="B1" s="1773"/>
      <c r="C1" s="1773"/>
      <c r="D1" s="1773"/>
      <c r="E1" s="1773"/>
      <c r="F1" s="1773"/>
      <c r="G1" s="1773"/>
      <c r="H1" s="1773"/>
      <c r="I1" s="1773"/>
      <c r="J1" s="1773"/>
      <c r="K1" s="1773"/>
      <c r="L1" s="1773"/>
    </row>
    <row r="2" spans="1:12" ht="12.75" customHeight="1" x14ac:dyDescent="0.2">
      <c r="A2" s="1773"/>
      <c r="B2" s="1773"/>
      <c r="C2" s="1773"/>
      <c r="D2" s="1773"/>
      <c r="E2" s="1773"/>
      <c r="F2" s="1773"/>
      <c r="G2" s="1773"/>
      <c r="H2" s="1773"/>
      <c r="I2" s="83"/>
      <c r="J2" s="83"/>
      <c r="K2" s="83"/>
      <c r="L2" s="142"/>
    </row>
    <row r="3" spans="1:12" s="24" customFormat="1" ht="21.2" customHeight="1" thickBot="1" x14ac:dyDescent="0.25">
      <c r="A3" s="1773"/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</row>
    <row r="4" spans="1:12" s="38" customFormat="1" ht="35.450000000000003" customHeight="1" x14ac:dyDescent="0.2">
      <c r="A4" s="36" t="s">
        <v>137</v>
      </c>
      <c r="B4" s="37" t="s">
        <v>8</v>
      </c>
      <c r="C4" s="1806" t="s">
        <v>181</v>
      </c>
      <c r="D4" s="1807"/>
      <c r="E4" s="1807"/>
      <c r="F4" s="1807"/>
      <c r="G4" s="1807"/>
      <c r="H4" s="1807"/>
      <c r="I4" s="1807"/>
      <c r="J4" s="1807"/>
      <c r="K4" s="1807"/>
      <c r="L4" s="1808"/>
    </row>
    <row r="5" spans="1:12" s="38" customFormat="1" ht="24.75" thickBot="1" x14ac:dyDescent="0.25">
      <c r="A5" s="39" t="s">
        <v>139</v>
      </c>
      <c r="B5" s="40" t="s">
        <v>140</v>
      </c>
      <c r="C5" s="1809" t="s">
        <v>141</v>
      </c>
      <c r="D5" s="1810"/>
      <c r="E5" s="1810"/>
      <c r="F5" s="1810"/>
      <c r="G5" s="1810"/>
      <c r="H5" s="1810"/>
      <c r="I5" s="1810"/>
      <c r="J5" s="1810"/>
      <c r="K5" s="1810"/>
      <c r="L5" s="1811"/>
    </row>
    <row r="6" spans="1:12" s="41" customFormat="1" ht="15.95" customHeight="1" thickBot="1" x14ac:dyDescent="0.3">
      <c r="A6" s="1812" t="s">
        <v>362</v>
      </c>
      <c r="B6" s="1812"/>
      <c r="C6" s="1812"/>
      <c r="D6" s="1812"/>
      <c r="E6" s="1812"/>
      <c r="F6" s="1812"/>
      <c r="G6" s="1812"/>
      <c r="H6" s="1812"/>
      <c r="I6" s="1812"/>
      <c r="J6" s="1812"/>
      <c r="K6" s="1812"/>
      <c r="L6" s="1812"/>
    </row>
    <row r="7" spans="1:12" ht="48.75" customHeight="1" thickBot="1" x14ac:dyDescent="0.25">
      <c r="A7" s="1413" t="s">
        <v>142</v>
      </c>
      <c r="B7" s="42" t="s">
        <v>36</v>
      </c>
      <c r="C7" s="42" t="str">
        <f>'1. mell.bevétel_össz'!C8</f>
        <v>2023. évi eredeti előirányzat
2/2023. (II.14.)</v>
      </c>
      <c r="D7" s="191" t="str">
        <f>'1. mell.bevétel_össz'!D8</f>
        <v>Módosított előirányzat a 14/2023.  (VI.29.)  rendelet szerint</v>
      </c>
      <c r="E7" s="42" t="str">
        <f>'1. mell.bevétel_össz'!E8</f>
        <v>Módosított előirányzat a 18/2023. (IX.26.)  rendelet szerint</v>
      </c>
      <c r="F7" s="42" t="str">
        <f>'1. mell.bevétel_össz'!F8</f>
        <v>Módosított előirányzat 2023.09.30-án</v>
      </c>
      <c r="G7" s="1492" t="str">
        <f>'1. mell.bevétel_össz'!G8</f>
        <v>Módosított előirányzat a …../2023. (II…..)  rendelet szerint</v>
      </c>
      <c r="H7" s="179" t="str">
        <f>'1. mell.bevétel_össz'!H8</f>
        <v>Változás a 14/2023. (VI.29.) rendelethez képest</v>
      </c>
      <c r="I7" s="1453" t="str">
        <f>'1. mell.bevétel_össz'!I8</f>
        <v>2023. évi teljesítés              2023.06.30-ig</v>
      </c>
      <c r="J7" s="42" t="str">
        <f>'1. mell.bevétel_össz'!J8</f>
        <v>2023. évi teljesítés              2023.09.30-ig</v>
      </c>
      <c r="K7" s="1453" t="str">
        <f>'1. mell.bevétel_össz'!K8</f>
        <v>2023. évi teljesítés              2023.12.31-ig</v>
      </c>
      <c r="L7" s="1464" t="str">
        <f>'1. mell.bevétel_össz'!L8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989" t="s">
        <v>299</v>
      </c>
      <c r="D8" s="182" t="s">
        <v>300</v>
      </c>
      <c r="E8" s="44" t="s">
        <v>300</v>
      </c>
      <c r="F8" s="44" t="s">
        <v>301</v>
      </c>
      <c r="G8" s="44" t="s">
        <v>424</v>
      </c>
      <c r="H8" s="180" t="s">
        <v>388</v>
      </c>
      <c r="I8" s="1415" t="s">
        <v>299</v>
      </c>
      <c r="J8" s="44" t="s">
        <v>388</v>
      </c>
      <c r="K8" s="620" t="s">
        <v>299</v>
      </c>
      <c r="L8" s="137" t="s">
        <v>424</v>
      </c>
    </row>
    <row r="9" spans="1:12" s="46" customFormat="1" ht="15.95" customHeight="1" thickBot="1" x14ac:dyDescent="0.25">
      <c r="A9" s="1801" t="s">
        <v>11</v>
      </c>
      <c r="B9" s="1802"/>
      <c r="C9" s="1802"/>
      <c r="D9" s="1802"/>
      <c r="E9" s="1802"/>
      <c r="F9" s="1802"/>
      <c r="G9" s="1802"/>
      <c r="H9" s="1802"/>
      <c r="I9" s="1802"/>
      <c r="J9" s="1802"/>
      <c r="K9" s="1802"/>
      <c r="L9" s="1802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33797627</v>
      </c>
      <c r="D10" s="127">
        <f t="shared" ref="D10:K10" si="0">SUM(D11:D21)</f>
        <v>33797627</v>
      </c>
      <c r="E10" s="89">
        <f t="shared" si="0"/>
        <v>33797627</v>
      </c>
      <c r="F10" s="89">
        <f t="shared" si="0"/>
        <v>33797627</v>
      </c>
      <c r="G10" s="582">
        <f t="shared" si="0"/>
        <v>0</v>
      </c>
      <c r="H10" s="48">
        <f>+E10-D10</f>
        <v>0</v>
      </c>
      <c r="I10" s="1495">
        <f t="shared" si="0"/>
        <v>0</v>
      </c>
      <c r="J10" s="89">
        <f>SUM(J11:J21)</f>
        <v>40305520</v>
      </c>
      <c r="K10" s="1495">
        <f t="shared" si="0"/>
        <v>0</v>
      </c>
      <c r="L10" s="1509">
        <f>IF(F10=0,"",J10/F10*100)</f>
        <v>119.25547317271712</v>
      </c>
    </row>
    <row r="11" spans="1:12" s="26" customFormat="1" ht="12.2" customHeight="1" x14ac:dyDescent="0.2">
      <c r="A11" s="49" t="s">
        <v>91</v>
      </c>
      <c r="B11" s="50" t="s">
        <v>143</v>
      </c>
      <c r="C11" s="128"/>
      <c r="D11" s="192"/>
      <c r="E11" s="128"/>
      <c r="F11" s="128"/>
      <c r="G11" s="583"/>
      <c r="H11" s="51">
        <f t="shared" ref="H11:H48" si="1">+E11-D11</f>
        <v>0</v>
      </c>
      <c r="I11" s="1496"/>
      <c r="J11" s="128"/>
      <c r="K11" s="1496"/>
      <c r="L11" s="1510" t="str">
        <f t="shared" ref="L11:L48" si="2">IF(F11=0,"",J11/F11*100)</f>
        <v/>
      </c>
    </row>
    <row r="12" spans="1:12" s="26" customFormat="1" ht="12.2" customHeight="1" x14ac:dyDescent="0.2">
      <c r="A12" s="1037" t="s">
        <v>92</v>
      </c>
      <c r="B12" s="330" t="s">
        <v>144</v>
      </c>
      <c r="C12" s="331">
        <v>32729783</v>
      </c>
      <c r="D12" s="340">
        <v>32729783</v>
      </c>
      <c r="E12" s="331">
        <v>32729783</v>
      </c>
      <c r="F12" s="331">
        <v>32729783</v>
      </c>
      <c r="G12" s="88"/>
      <c r="H12" s="332">
        <f t="shared" si="1"/>
        <v>0</v>
      </c>
      <c r="I12" s="1497"/>
      <c r="J12" s="331">
        <v>39132139</v>
      </c>
      <c r="K12" s="1497"/>
      <c r="L12" s="1511">
        <f t="shared" si="2"/>
        <v>119.56125404192261</v>
      </c>
    </row>
    <row r="13" spans="1:12" s="26" customFormat="1" ht="12.2" customHeight="1" x14ac:dyDescent="0.2">
      <c r="A13" s="1037" t="s">
        <v>93</v>
      </c>
      <c r="B13" s="330" t="s">
        <v>145</v>
      </c>
      <c r="C13" s="331">
        <v>58164</v>
      </c>
      <c r="D13" s="340">
        <v>58164</v>
      </c>
      <c r="E13" s="331">
        <v>58164</v>
      </c>
      <c r="F13" s="331">
        <v>58164</v>
      </c>
      <c r="G13" s="88"/>
      <c r="H13" s="332">
        <f t="shared" si="1"/>
        <v>0</v>
      </c>
      <c r="I13" s="1497"/>
      <c r="J13" s="331">
        <v>38880</v>
      </c>
      <c r="K13" s="1497"/>
      <c r="L13" s="1511">
        <f t="shared" si="2"/>
        <v>66.845471425624098</v>
      </c>
    </row>
    <row r="14" spans="1:12" s="26" customFormat="1" ht="12.2" customHeight="1" x14ac:dyDescent="0.2">
      <c r="A14" s="1037" t="s">
        <v>90</v>
      </c>
      <c r="B14" s="330" t="s">
        <v>146</v>
      </c>
      <c r="C14" s="331"/>
      <c r="D14" s="340"/>
      <c r="E14" s="331"/>
      <c r="F14" s="331"/>
      <c r="G14" s="88"/>
      <c r="H14" s="332">
        <f t="shared" si="1"/>
        <v>0</v>
      </c>
      <c r="I14" s="1497"/>
      <c r="J14" s="331"/>
      <c r="K14" s="1497"/>
      <c r="L14" s="1511" t="str">
        <f t="shared" si="2"/>
        <v/>
      </c>
    </row>
    <row r="15" spans="1:12" s="26" customFormat="1" ht="12.2" customHeight="1" x14ac:dyDescent="0.2">
      <c r="A15" s="1037" t="s">
        <v>147</v>
      </c>
      <c r="B15" s="330" t="s">
        <v>148</v>
      </c>
      <c r="C15" s="331"/>
      <c r="D15" s="340"/>
      <c r="E15" s="331"/>
      <c r="F15" s="331"/>
      <c r="G15" s="88"/>
      <c r="H15" s="332">
        <f t="shared" si="1"/>
        <v>0</v>
      </c>
      <c r="I15" s="1497"/>
      <c r="J15" s="331"/>
      <c r="K15" s="1497"/>
      <c r="L15" s="1511" t="str">
        <f t="shared" si="2"/>
        <v/>
      </c>
    </row>
    <row r="16" spans="1:12" s="26" customFormat="1" ht="12.2" customHeight="1" x14ac:dyDescent="0.2">
      <c r="A16" s="1037" t="s">
        <v>149</v>
      </c>
      <c r="B16" s="330" t="s">
        <v>150</v>
      </c>
      <c r="C16" s="331">
        <v>1009680</v>
      </c>
      <c r="D16" s="340">
        <v>1009680</v>
      </c>
      <c r="E16" s="331">
        <v>1009680</v>
      </c>
      <c r="F16" s="331">
        <v>1009680</v>
      </c>
      <c r="G16" s="88"/>
      <c r="H16" s="332">
        <f t="shared" si="1"/>
        <v>0</v>
      </c>
      <c r="I16" s="1497"/>
      <c r="J16" s="331">
        <v>1134433</v>
      </c>
      <c r="K16" s="1497"/>
      <c r="L16" s="1511">
        <f t="shared" si="2"/>
        <v>112.35569685444892</v>
      </c>
    </row>
    <row r="17" spans="1:12" s="26" customFormat="1" ht="12.2" customHeight="1" x14ac:dyDescent="0.2">
      <c r="A17" s="1037" t="s">
        <v>151</v>
      </c>
      <c r="B17" s="52" t="s">
        <v>152</v>
      </c>
      <c r="C17" s="331"/>
      <c r="D17" s="340"/>
      <c r="E17" s="331"/>
      <c r="F17" s="331"/>
      <c r="G17" s="88"/>
      <c r="H17" s="332">
        <f t="shared" si="1"/>
        <v>0</v>
      </c>
      <c r="I17" s="1497"/>
      <c r="J17" s="331"/>
      <c r="K17" s="1497"/>
      <c r="L17" s="1511" t="str">
        <f t="shared" si="2"/>
        <v/>
      </c>
    </row>
    <row r="18" spans="1:12" s="26" customFormat="1" ht="12.2" customHeight="1" x14ac:dyDescent="0.2">
      <c r="A18" s="1037" t="s">
        <v>153</v>
      </c>
      <c r="B18" s="345" t="s">
        <v>302</v>
      </c>
      <c r="C18" s="121"/>
      <c r="D18" s="188"/>
      <c r="E18" s="121"/>
      <c r="F18" s="121"/>
      <c r="G18" s="90"/>
      <c r="H18" s="53">
        <f t="shared" si="1"/>
        <v>0</v>
      </c>
      <c r="I18" s="1498"/>
      <c r="J18" s="121">
        <v>68</v>
      </c>
      <c r="K18" s="1498"/>
      <c r="L18" s="1512" t="str">
        <f t="shared" si="2"/>
        <v/>
      </c>
    </row>
    <row r="19" spans="1:12" s="54" customFormat="1" ht="12.2" customHeight="1" x14ac:dyDescent="0.2">
      <c r="A19" s="1037" t="s">
        <v>154</v>
      </c>
      <c r="B19" s="330" t="s">
        <v>155</v>
      </c>
      <c r="C19" s="331"/>
      <c r="D19" s="340"/>
      <c r="E19" s="331"/>
      <c r="F19" s="331"/>
      <c r="G19" s="88"/>
      <c r="H19" s="332">
        <f t="shared" si="1"/>
        <v>0</v>
      </c>
      <c r="I19" s="1497"/>
      <c r="J19" s="331"/>
      <c r="K19" s="1497"/>
      <c r="L19" s="1511" t="str">
        <f t="shared" si="2"/>
        <v/>
      </c>
    </row>
    <row r="20" spans="1:12" s="54" customFormat="1" ht="12.2" customHeight="1" x14ac:dyDescent="0.2">
      <c r="A20" s="1037" t="s">
        <v>156</v>
      </c>
      <c r="B20" s="345" t="s">
        <v>275</v>
      </c>
      <c r="C20" s="331"/>
      <c r="D20" s="341"/>
      <c r="E20" s="333"/>
      <c r="F20" s="1493"/>
      <c r="G20" s="1488"/>
      <c r="H20" s="334">
        <f t="shared" si="1"/>
        <v>0</v>
      </c>
      <c r="I20" s="1499"/>
      <c r="J20" s="1493"/>
      <c r="K20" s="1499"/>
      <c r="L20" s="1513" t="str">
        <f t="shared" si="2"/>
        <v/>
      </c>
    </row>
    <row r="21" spans="1:12" s="54" customFormat="1" ht="12.2" customHeight="1" thickBot="1" x14ac:dyDescent="0.25">
      <c r="A21" s="1037" t="s">
        <v>276</v>
      </c>
      <c r="B21" s="52" t="s">
        <v>157</v>
      </c>
      <c r="C21" s="331"/>
      <c r="D21" s="341"/>
      <c r="E21" s="333"/>
      <c r="F21" s="1493"/>
      <c r="G21" s="1488"/>
      <c r="H21" s="334">
        <f t="shared" si="1"/>
        <v>0</v>
      </c>
      <c r="I21" s="1499"/>
      <c r="J21" s="1493"/>
      <c r="K21" s="1499"/>
      <c r="L21" s="1513" t="str">
        <f t="shared" si="2"/>
        <v/>
      </c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SUM(C23:C25)</f>
        <v>1169253914</v>
      </c>
      <c r="D22" s="127">
        <f t="shared" ref="D22:K22" si="3">SUM(D23:D25)</f>
        <v>1169253914</v>
      </c>
      <c r="E22" s="89">
        <f t="shared" si="3"/>
        <v>1169916770</v>
      </c>
      <c r="F22" s="89">
        <f t="shared" si="3"/>
        <v>1169916770</v>
      </c>
      <c r="G22" s="582">
        <f t="shared" si="3"/>
        <v>0</v>
      </c>
      <c r="H22" s="48">
        <f t="shared" si="1"/>
        <v>662856</v>
      </c>
      <c r="I22" s="1495">
        <f t="shared" si="3"/>
        <v>0</v>
      </c>
      <c r="J22" s="89">
        <f t="shared" si="3"/>
        <v>934434988</v>
      </c>
      <c r="K22" s="1495">
        <f t="shared" si="3"/>
        <v>0</v>
      </c>
      <c r="L22" s="1509">
        <f t="shared" si="2"/>
        <v>79.871920119582526</v>
      </c>
    </row>
    <row r="23" spans="1:12" s="54" customFormat="1" ht="12.2" customHeight="1" x14ac:dyDescent="0.2">
      <c r="A23" s="1037" t="s">
        <v>94</v>
      </c>
      <c r="B23" s="17" t="s">
        <v>159</v>
      </c>
      <c r="C23" s="331"/>
      <c r="D23" s="340"/>
      <c r="E23" s="331"/>
      <c r="F23" s="331"/>
      <c r="G23" s="88"/>
      <c r="H23" s="332">
        <f t="shared" si="1"/>
        <v>0</v>
      </c>
      <c r="I23" s="1497"/>
      <c r="J23" s="331"/>
      <c r="K23" s="1497"/>
      <c r="L23" s="1511" t="str">
        <f t="shared" si="2"/>
        <v/>
      </c>
    </row>
    <row r="24" spans="1:12" s="54" customFormat="1" ht="12.2" customHeight="1" x14ac:dyDescent="0.2">
      <c r="A24" s="1037" t="s">
        <v>95</v>
      </c>
      <c r="B24" s="330" t="s">
        <v>160</v>
      </c>
      <c r="C24" s="331"/>
      <c r="D24" s="340"/>
      <c r="E24" s="331"/>
      <c r="F24" s="331"/>
      <c r="G24" s="88"/>
      <c r="H24" s="332">
        <f t="shared" si="1"/>
        <v>0</v>
      </c>
      <c r="I24" s="1497"/>
      <c r="J24" s="331"/>
      <c r="K24" s="1497"/>
      <c r="L24" s="1511" t="str">
        <f t="shared" si="2"/>
        <v/>
      </c>
    </row>
    <row r="25" spans="1:12" s="54" customFormat="1" ht="12.2" customHeight="1" x14ac:dyDescent="0.2">
      <c r="A25" s="1037" t="s">
        <v>96</v>
      </c>
      <c r="B25" s="330" t="s">
        <v>161</v>
      </c>
      <c r="C25" s="331">
        <v>1169253914</v>
      </c>
      <c r="D25" s="340">
        <v>1169253914</v>
      </c>
      <c r="E25" s="331">
        <f>1169253914+662856</f>
        <v>1169916770</v>
      </c>
      <c r="F25" s="331">
        <v>1169916770</v>
      </c>
      <c r="G25" s="88"/>
      <c r="H25" s="332">
        <f t="shared" si="1"/>
        <v>662856</v>
      </c>
      <c r="I25" s="1497"/>
      <c r="J25" s="331">
        <v>934434988</v>
      </c>
      <c r="K25" s="1497"/>
      <c r="L25" s="1511">
        <f t="shared" si="2"/>
        <v>79.871920119582526</v>
      </c>
    </row>
    <row r="26" spans="1:12" s="54" customFormat="1" ht="12.2" customHeight="1" thickBot="1" x14ac:dyDescent="0.25">
      <c r="A26" s="1037" t="s">
        <v>317</v>
      </c>
      <c r="B26" s="335" t="s">
        <v>233</v>
      </c>
      <c r="C26" s="331"/>
      <c r="D26" s="340"/>
      <c r="E26" s="331"/>
      <c r="F26" s="331"/>
      <c r="G26" s="88"/>
      <c r="H26" s="332">
        <f t="shared" si="1"/>
        <v>0</v>
      </c>
      <c r="I26" s="1497"/>
      <c r="J26" s="331"/>
      <c r="K26" s="1497"/>
      <c r="L26" s="1511" t="str">
        <f t="shared" si="2"/>
        <v/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30"/>
      <c r="D27" s="129"/>
      <c r="E27" s="130"/>
      <c r="F27" s="130"/>
      <c r="G27" s="585"/>
      <c r="H27" s="57">
        <f t="shared" si="1"/>
        <v>0</v>
      </c>
      <c r="I27" s="1500"/>
      <c r="J27" s="130"/>
      <c r="K27" s="1500"/>
      <c r="L27" s="1514" t="str">
        <f t="shared" si="2"/>
        <v/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+C29+C30</f>
        <v>0</v>
      </c>
      <c r="D28" s="127">
        <f t="shared" ref="D28:K28" si="4">+D29+D30</f>
        <v>0</v>
      </c>
      <c r="E28" s="89">
        <f t="shared" si="4"/>
        <v>0</v>
      </c>
      <c r="F28" s="89">
        <f t="shared" si="4"/>
        <v>0</v>
      </c>
      <c r="G28" s="582">
        <f t="shared" si="4"/>
        <v>0</v>
      </c>
      <c r="H28" s="48">
        <f t="shared" si="1"/>
        <v>0</v>
      </c>
      <c r="I28" s="1495">
        <f t="shared" si="4"/>
        <v>0</v>
      </c>
      <c r="J28" s="89">
        <f t="shared" si="4"/>
        <v>0</v>
      </c>
      <c r="K28" s="1495">
        <f t="shared" si="4"/>
        <v>0</v>
      </c>
      <c r="L28" s="1509" t="str">
        <f t="shared" si="2"/>
        <v/>
      </c>
    </row>
    <row r="29" spans="1:12" s="54" customFormat="1" ht="12.2" customHeight="1" x14ac:dyDescent="0.2">
      <c r="A29" s="58" t="s">
        <v>100</v>
      </c>
      <c r="B29" s="59" t="s">
        <v>160</v>
      </c>
      <c r="C29" s="122"/>
      <c r="D29" s="189"/>
      <c r="E29" s="122"/>
      <c r="F29" s="122"/>
      <c r="G29" s="586"/>
      <c r="H29" s="33">
        <f t="shared" si="1"/>
        <v>0</v>
      </c>
      <c r="I29" s="1501"/>
      <c r="J29" s="122"/>
      <c r="K29" s="1501"/>
      <c r="L29" s="1515" t="str">
        <f t="shared" si="2"/>
        <v/>
      </c>
    </row>
    <row r="30" spans="1:12" s="54" customFormat="1" ht="12.2" customHeight="1" x14ac:dyDescent="0.2">
      <c r="A30" s="58" t="s">
        <v>101</v>
      </c>
      <c r="B30" s="336" t="s">
        <v>163</v>
      </c>
      <c r="C30" s="120"/>
      <c r="D30" s="193"/>
      <c r="E30" s="120"/>
      <c r="F30" s="120"/>
      <c r="G30" s="91"/>
      <c r="H30" s="60">
        <f t="shared" si="1"/>
        <v>0</v>
      </c>
      <c r="I30" s="1502"/>
      <c r="J30" s="120"/>
      <c r="K30" s="1502"/>
      <c r="L30" s="1516" t="str">
        <f t="shared" si="2"/>
        <v/>
      </c>
    </row>
    <row r="31" spans="1:12" s="54" customFormat="1" ht="12.2" customHeight="1" thickBot="1" x14ac:dyDescent="0.25">
      <c r="A31" s="1037" t="s">
        <v>281</v>
      </c>
      <c r="B31" s="102" t="s">
        <v>165</v>
      </c>
      <c r="C31" s="92"/>
      <c r="D31" s="190"/>
      <c r="E31" s="92"/>
      <c r="F31" s="92"/>
      <c r="G31" s="593"/>
      <c r="H31" s="61">
        <f t="shared" si="1"/>
        <v>0</v>
      </c>
      <c r="I31" s="1503"/>
      <c r="J31" s="92"/>
      <c r="K31" s="1503"/>
      <c r="L31" s="1517" t="str">
        <f t="shared" si="2"/>
        <v/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+C33+C34+C35</f>
        <v>0</v>
      </c>
      <c r="D32" s="127">
        <f t="shared" ref="D32:K32" si="5">+D33+D34+D35</f>
        <v>0</v>
      </c>
      <c r="E32" s="89">
        <f t="shared" si="5"/>
        <v>0</v>
      </c>
      <c r="F32" s="89">
        <f t="shared" si="5"/>
        <v>0</v>
      </c>
      <c r="G32" s="582">
        <f t="shared" si="5"/>
        <v>0</v>
      </c>
      <c r="H32" s="48">
        <f t="shared" si="1"/>
        <v>0</v>
      </c>
      <c r="I32" s="1495">
        <f t="shared" si="5"/>
        <v>0</v>
      </c>
      <c r="J32" s="89">
        <f t="shared" si="5"/>
        <v>0</v>
      </c>
      <c r="K32" s="1495">
        <f t="shared" si="5"/>
        <v>0</v>
      </c>
      <c r="L32" s="1509" t="str">
        <f t="shared" si="2"/>
        <v/>
      </c>
    </row>
    <row r="33" spans="1:12" s="54" customFormat="1" ht="12.2" customHeight="1" x14ac:dyDescent="0.2">
      <c r="A33" s="58" t="s">
        <v>89</v>
      </c>
      <c r="B33" s="59" t="s">
        <v>167</v>
      </c>
      <c r="C33" s="122"/>
      <c r="D33" s="189"/>
      <c r="E33" s="122"/>
      <c r="F33" s="122"/>
      <c r="G33" s="586"/>
      <c r="H33" s="33">
        <f t="shared" si="1"/>
        <v>0</v>
      </c>
      <c r="I33" s="1501"/>
      <c r="J33" s="122"/>
      <c r="K33" s="1501"/>
      <c r="L33" s="1515" t="str">
        <f t="shared" si="2"/>
        <v/>
      </c>
    </row>
    <row r="34" spans="1:12" s="54" customFormat="1" ht="12.2" customHeight="1" x14ac:dyDescent="0.2">
      <c r="A34" s="58" t="s">
        <v>102</v>
      </c>
      <c r="B34" s="336" t="s">
        <v>168</v>
      </c>
      <c r="C34" s="120"/>
      <c r="D34" s="193"/>
      <c r="E34" s="120"/>
      <c r="F34" s="120"/>
      <c r="G34" s="91"/>
      <c r="H34" s="60">
        <f t="shared" si="1"/>
        <v>0</v>
      </c>
      <c r="I34" s="1502"/>
      <c r="J34" s="120"/>
      <c r="K34" s="1502"/>
      <c r="L34" s="1516" t="str">
        <f t="shared" si="2"/>
        <v/>
      </c>
    </row>
    <row r="35" spans="1:12" s="54" customFormat="1" ht="12.2" customHeight="1" thickBot="1" x14ac:dyDescent="0.25">
      <c r="A35" s="1037" t="s">
        <v>103</v>
      </c>
      <c r="B35" s="62" t="s">
        <v>169</v>
      </c>
      <c r="C35" s="92"/>
      <c r="D35" s="190"/>
      <c r="E35" s="92"/>
      <c r="F35" s="92"/>
      <c r="G35" s="593"/>
      <c r="H35" s="61">
        <f t="shared" si="1"/>
        <v>0</v>
      </c>
      <c r="I35" s="1503"/>
      <c r="J35" s="92"/>
      <c r="K35" s="1503"/>
      <c r="L35" s="1517" t="str">
        <f t="shared" si="2"/>
        <v/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30">
        <v>5018250</v>
      </c>
      <c r="D36" s="129">
        <v>5018250</v>
      </c>
      <c r="E36" s="130">
        <f>5018250-4441987</f>
        <v>576263</v>
      </c>
      <c r="F36" s="130">
        <f t="shared" ref="F36:I36" si="6">5018250-4441987</f>
        <v>576263</v>
      </c>
      <c r="G36" s="130">
        <f t="shared" si="6"/>
        <v>576263</v>
      </c>
      <c r="H36" s="130">
        <f t="shared" si="6"/>
        <v>576263</v>
      </c>
      <c r="I36" s="130">
        <f t="shared" si="6"/>
        <v>576263</v>
      </c>
      <c r="J36" s="130">
        <v>576263</v>
      </c>
      <c r="K36" s="1500"/>
      <c r="L36" s="1514">
        <f t="shared" si="2"/>
        <v>100</v>
      </c>
    </row>
    <row r="37" spans="1:12" s="26" customFormat="1" ht="12.2" customHeight="1" thickBot="1" x14ac:dyDescent="0.25">
      <c r="A37" s="1038" t="s">
        <v>104</v>
      </c>
      <c r="B37" s="337" t="s">
        <v>165</v>
      </c>
      <c r="C37" s="1032">
        <v>5018250</v>
      </c>
      <c r="D37" s="823">
        <v>5018250</v>
      </c>
      <c r="E37" s="1032">
        <f>5018250-4441987</f>
        <v>576263</v>
      </c>
      <c r="F37" s="1032">
        <v>576263</v>
      </c>
      <c r="G37" s="585"/>
      <c r="H37" s="57">
        <f t="shared" si="1"/>
        <v>-4441987</v>
      </c>
      <c r="I37" s="1500"/>
      <c r="J37" s="1032">
        <v>576263</v>
      </c>
      <c r="K37" s="1662"/>
      <c r="L37" s="1663">
        <f t="shared" si="2"/>
        <v>100</v>
      </c>
    </row>
    <row r="38" spans="1:12" s="26" customFormat="1" ht="12.2" customHeight="1" thickBot="1" x14ac:dyDescent="0.25">
      <c r="A38" s="55" t="s">
        <v>18</v>
      </c>
      <c r="B38" s="56" t="s">
        <v>380</v>
      </c>
      <c r="C38" s="130">
        <f>+C39+C40</f>
        <v>131957503</v>
      </c>
      <c r="D38" s="129">
        <f t="shared" ref="D38:K38" si="7">+D39+D40</f>
        <v>131957503</v>
      </c>
      <c r="E38" s="130">
        <f t="shared" si="7"/>
        <v>136399490</v>
      </c>
      <c r="F38" s="130">
        <f t="shared" si="7"/>
        <v>136399490</v>
      </c>
      <c r="G38" s="585">
        <f t="shared" si="7"/>
        <v>0</v>
      </c>
      <c r="H38" s="57">
        <f t="shared" si="1"/>
        <v>4441987</v>
      </c>
      <c r="I38" s="1500">
        <f t="shared" si="7"/>
        <v>0</v>
      </c>
      <c r="J38" s="130">
        <f t="shared" si="7"/>
        <v>136399490</v>
      </c>
      <c r="K38" s="1500">
        <f t="shared" si="7"/>
        <v>0</v>
      </c>
      <c r="L38" s="1514">
        <f t="shared" si="2"/>
        <v>100</v>
      </c>
    </row>
    <row r="39" spans="1:12" s="26" customFormat="1" ht="12.2" customHeight="1" x14ac:dyDescent="0.2">
      <c r="A39" s="12" t="s">
        <v>107</v>
      </c>
      <c r="B39" s="95" t="s">
        <v>212</v>
      </c>
      <c r="C39" s="131"/>
      <c r="D39" s="194"/>
      <c r="E39" s="131"/>
      <c r="F39" s="131"/>
      <c r="G39" s="589"/>
      <c r="H39" s="96">
        <f t="shared" si="1"/>
        <v>0</v>
      </c>
      <c r="I39" s="1504"/>
      <c r="J39" s="131"/>
      <c r="K39" s="1504"/>
      <c r="L39" s="1518" t="str">
        <f t="shared" si="2"/>
        <v/>
      </c>
    </row>
    <row r="40" spans="1:12" s="26" customFormat="1" ht="12.2" customHeight="1" x14ac:dyDescent="0.2">
      <c r="A40" s="1003" t="s">
        <v>108</v>
      </c>
      <c r="B40" s="346" t="s">
        <v>213</v>
      </c>
      <c r="C40" s="1033">
        <v>131957503</v>
      </c>
      <c r="D40" s="825">
        <v>131957503</v>
      </c>
      <c r="E40" s="1033">
        <f>131957503+4441987</f>
        <v>136399490</v>
      </c>
      <c r="F40" s="1494">
        <v>136399490</v>
      </c>
      <c r="G40" s="605"/>
      <c r="H40" s="824">
        <f>+E40-D40</f>
        <v>4441987</v>
      </c>
      <c r="I40" s="1505"/>
      <c r="J40" s="1494">
        <v>136399490</v>
      </c>
      <c r="K40" s="1721"/>
      <c r="L40" s="1722">
        <f t="shared" si="2"/>
        <v>100</v>
      </c>
    </row>
    <row r="41" spans="1:12" s="26" customFormat="1" ht="12.2" customHeight="1" thickBot="1" x14ac:dyDescent="0.25">
      <c r="A41" s="1003" t="s">
        <v>323</v>
      </c>
      <c r="B41" s="103" t="s">
        <v>165</v>
      </c>
      <c r="C41" s="92">
        <v>131957503</v>
      </c>
      <c r="D41" s="190">
        <v>131957503</v>
      </c>
      <c r="E41" s="92">
        <f>131957503+4441987</f>
        <v>136399490</v>
      </c>
      <c r="F41" s="92">
        <v>136399490</v>
      </c>
      <c r="G41" s="593"/>
      <c r="H41" s="61">
        <f t="shared" si="1"/>
        <v>4441987</v>
      </c>
      <c r="I41" s="1506"/>
      <c r="J41" s="92">
        <v>136399490</v>
      </c>
      <c r="K41" s="1503"/>
      <c r="L41" s="1517">
        <f t="shared" si="2"/>
        <v>100</v>
      </c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1340027294</v>
      </c>
      <c r="D42" s="127">
        <f t="shared" ref="D42:K42" si="8">+D10+D22+D27+D28+D32+D36+D38</f>
        <v>1340027294</v>
      </c>
      <c r="E42" s="89">
        <f t="shared" si="8"/>
        <v>1340690150</v>
      </c>
      <c r="F42" s="89">
        <f t="shared" si="8"/>
        <v>1340690150</v>
      </c>
      <c r="G42" s="582">
        <f t="shared" si="8"/>
        <v>576263</v>
      </c>
      <c r="H42" s="48">
        <f t="shared" si="1"/>
        <v>662856</v>
      </c>
      <c r="I42" s="1495">
        <f t="shared" si="8"/>
        <v>576263</v>
      </c>
      <c r="J42" s="89">
        <f t="shared" si="8"/>
        <v>1111716261</v>
      </c>
      <c r="K42" s="1495">
        <f t="shared" si="8"/>
        <v>0</v>
      </c>
      <c r="L42" s="1509">
        <f t="shared" si="2"/>
        <v>82.921192566380824</v>
      </c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SUM(C44:C47)</f>
        <v>529463437</v>
      </c>
      <c r="D43" s="127">
        <f>SUM(D44:D47)</f>
        <v>576788260</v>
      </c>
      <c r="E43" s="89">
        <f t="shared" ref="E43:K43" si="9">SUM(E44:E47)</f>
        <v>731576260</v>
      </c>
      <c r="F43" s="89">
        <f t="shared" si="9"/>
        <v>731576260</v>
      </c>
      <c r="G43" s="582">
        <f t="shared" si="9"/>
        <v>-576263</v>
      </c>
      <c r="H43" s="48">
        <f t="shared" si="1"/>
        <v>154788000</v>
      </c>
      <c r="I43" s="1495">
        <f t="shared" si="9"/>
        <v>173442282</v>
      </c>
      <c r="J43" s="89">
        <f t="shared" si="9"/>
        <v>513181245</v>
      </c>
      <c r="K43" s="1495" t="e">
        <f t="shared" si="9"/>
        <v>#VALUE!</v>
      </c>
      <c r="L43" s="1509">
        <f t="shared" si="2"/>
        <v>70.147334332582091</v>
      </c>
    </row>
    <row r="44" spans="1:12" s="26" customFormat="1" ht="12.2" customHeight="1" x14ac:dyDescent="0.2">
      <c r="A44" s="58" t="s">
        <v>171</v>
      </c>
      <c r="B44" s="59" t="s">
        <v>131</v>
      </c>
      <c r="C44" s="122">
        <v>3550090</v>
      </c>
      <c r="D44" s="189">
        <f>3550090+19163389+211738479</f>
        <v>234451958</v>
      </c>
      <c r="E44" s="122">
        <v>234451958</v>
      </c>
      <c r="F44" s="122">
        <v>234451958</v>
      </c>
      <c r="G44" s="586"/>
      <c r="H44" s="33">
        <f t="shared" si="1"/>
        <v>0</v>
      </c>
      <c r="I44" s="1501"/>
      <c r="J44" s="122">
        <v>234451958</v>
      </c>
      <c r="K44" s="1501"/>
      <c r="L44" s="1515">
        <f t="shared" si="2"/>
        <v>100</v>
      </c>
    </row>
    <row r="45" spans="1:12" s="26" customFormat="1" ht="12.2" customHeight="1" x14ac:dyDescent="0.2">
      <c r="A45" s="71" t="s">
        <v>172</v>
      </c>
      <c r="B45" s="59" t="s">
        <v>186</v>
      </c>
      <c r="C45" s="120"/>
      <c r="D45" s="193">
        <v>297434</v>
      </c>
      <c r="E45" s="120">
        <v>297434</v>
      </c>
      <c r="F45" s="120">
        <v>297434</v>
      </c>
      <c r="G45" s="91"/>
      <c r="H45" s="60">
        <f t="shared" si="1"/>
        <v>0</v>
      </c>
      <c r="I45" s="1502"/>
      <c r="J45" s="120">
        <v>297434</v>
      </c>
      <c r="K45" s="1502"/>
      <c r="L45" s="1516">
        <f t="shared" si="2"/>
        <v>100</v>
      </c>
    </row>
    <row r="46" spans="1:12" s="26" customFormat="1" ht="12.2" customHeight="1" x14ac:dyDescent="0.2">
      <c r="A46" s="1037" t="s">
        <v>173</v>
      </c>
      <c r="B46" s="336" t="s">
        <v>177</v>
      </c>
      <c r="C46" s="339">
        <f>C70-C42-C44-C63-C65-C68+C38+C32+C28</f>
        <v>499903700</v>
      </c>
      <c r="D46" s="323">
        <f>D70-D42-D44-D63-D65-D68+D38+D32+D28</f>
        <v>299497723</v>
      </c>
      <c r="E46" s="323">
        <f>E70-E42-E44-E63-E65-E68+E38+E32+E28</f>
        <v>449727710</v>
      </c>
      <c r="F46" s="339">
        <f>F70-F42-F44-F63-F65-F68+F38+F32+F28</f>
        <v>449727710</v>
      </c>
      <c r="G46" s="1489">
        <f t="shared" ref="G46:K46" si="10">G70-G42-G44-G63-G65-G68+G38+G32+G28</f>
        <v>-576263</v>
      </c>
      <c r="H46" s="324">
        <f>+E46-D46</f>
        <v>150229987</v>
      </c>
      <c r="I46" s="1489">
        <f t="shared" si="10"/>
        <v>-576263</v>
      </c>
      <c r="J46" s="1719">
        <f>278431853-J47</f>
        <v>241110232</v>
      </c>
      <c r="K46" s="1489" t="e">
        <f t="shared" si="10"/>
        <v>#VALUE!</v>
      </c>
      <c r="L46" s="1521">
        <f t="shared" si="2"/>
        <v>53.612491878697</v>
      </c>
    </row>
    <row r="47" spans="1:12" s="54" customFormat="1" ht="12.2" customHeight="1" thickBot="1" x14ac:dyDescent="0.25">
      <c r="A47" s="58" t="s">
        <v>178</v>
      </c>
      <c r="B47" s="62" t="s">
        <v>179</v>
      </c>
      <c r="C47" s="1034">
        <f>C62-C38-C32-C45-C28</f>
        <v>26009647</v>
      </c>
      <c r="D47" s="195">
        <f t="shared" ref="D47:K47" si="11">D62-D38-D32-D45-D28</f>
        <v>42541145</v>
      </c>
      <c r="E47" s="195">
        <f t="shared" ref="E47" si="12">E62-E38-E32-E45-E28</f>
        <v>47099158</v>
      </c>
      <c r="F47" s="195">
        <f t="shared" ref="F47" si="13">F62-F38-F32-F45-F28</f>
        <v>47099158</v>
      </c>
      <c r="G47" s="1490">
        <f t="shared" si="11"/>
        <v>0</v>
      </c>
      <c r="H47" s="1491">
        <f t="shared" si="1"/>
        <v>4558013</v>
      </c>
      <c r="I47" s="1490">
        <f t="shared" si="11"/>
        <v>174018545</v>
      </c>
      <c r="J47" s="1720">
        <f>+J63-J45-J40</f>
        <v>37321621</v>
      </c>
      <c r="K47" s="1490">
        <f t="shared" si="11"/>
        <v>94.680225555624205</v>
      </c>
      <c r="L47" s="1522">
        <f t="shared" si="2"/>
        <v>79.240526975025745</v>
      </c>
    </row>
    <row r="48" spans="1:12" s="559" customFormat="1" ht="15" customHeight="1" thickBot="1" x14ac:dyDescent="0.2">
      <c r="A48" s="63" t="s">
        <v>21</v>
      </c>
      <c r="B48" s="1677" t="s">
        <v>174</v>
      </c>
      <c r="C48" s="135">
        <f>+C42+C43</f>
        <v>1869490731</v>
      </c>
      <c r="D48" s="134">
        <f t="shared" ref="D48:K48" si="14">+D42+D43</f>
        <v>1916815554</v>
      </c>
      <c r="E48" s="135">
        <f t="shared" si="14"/>
        <v>2072266410</v>
      </c>
      <c r="F48" s="135">
        <f t="shared" si="14"/>
        <v>2072266410</v>
      </c>
      <c r="G48" s="592">
        <f t="shared" si="14"/>
        <v>0</v>
      </c>
      <c r="H48" s="68">
        <f t="shared" si="1"/>
        <v>155450856</v>
      </c>
      <c r="I48" s="1507">
        <f t="shared" si="14"/>
        <v>174018545</v>
      </c>
      <c r="J48" s="135">
        <f t="shared" si="14"/>
        <v>1624897506</v>
      </c>
      <c r="K48" s="1507" t="e">
        <f t="shared" si="14"/>
        <v>#VALUE!</v>
      </c>
      <c r="L48" s="1523">
        <f t="shared" si="2"/>
        <v>78.411612433557707</v>
      </c>
    </row>
    <row r="49" spans="1:12" s="54" customFormat="1" ht="14.45" customHeight="1" x14ac:dyDescent="0.2">
      <c r="A49" s="64"/>
      <c r="B49" s="65"/>
      <c r="C49" s="66"/>
      <c r="D49" s="125"/>
      <c r="E49" s="125"/>
      <c r="F49" s="125"/>
      <c r="G49" s="125"/>
      <c r="H49" s="125"/>
      <c r="I49" s="125"/>
      <c r="J49" s="125"/>
      <c r="K49" s="125"/>
      <c r="L49" s="138"/>
    </row>
    <row r="50" spans="1:12" ht="14.45" customHeight="1" x14ac:dyDescent="0.2">
      <c r="A50" s="1804" t="s">
        <v>34</v>
      </c>
      <c r="B50" s="1804"/>
      <c r="C50" s="1804"/>
      <c r="D50" s="1804"/>
      <c r="E50" s="1804"/>
      <c r="F50" s="1804"/>
      <c r="G50" s="1804"/>
      <c r="H50" s="1804"/>
      <c r="I50" s="1804"/>
      <c r="J50" s="1804"/>
      <c r="K50" s="1804"/>
      <c r="L50" s="1804"/>
    </row>
    <row r="51" spans="1:12" ht="14.45" customHeight="1" thickBot="1" x14ac:dyDescent="0.3">
      <c r="A51" s="1805" t="s">
        <v>362</v>
      </c>
      <c r="B51" s="1805"/>
      <c r="C51" s="1805"/>
      <c r="D51" s="1805"/>
      <c r="E51" s="1805"/>
      <c r="F51" s="1805"/>
      <c r="G51" s="1805"/>
      <c r="H51" s="1805"/>
      <c r="I51" s="1805"/>
      <c r="J51" s="1805"/>
      <c r="K51" s="1805"/>
      <c r="L51" s="1805"/>
    </row>
    <row r="52" spans="1:12" s="46" customFormat="1" ht="66.75" customHeight="1" thickBot="1" x14ac:dyDescent="0.25">
      <c r="A52" s="1413" t="s">
        <v>142</v>
      </c>
      <c r="B52" s="42" t="s">
        <v>36</v>
      </c>
      <c r="C52" s="21" t="str">
        <f>'1. mell.bevétel_össz'!C8</f>
        <v>2023. évi eredeti előirányzat
2/2023. (II.14.)</v>
      </c>
      <c r="D52" s="191" t="str">
        <f>'1. mell.bevétel_össz'!D8</f>
        <v>Módosított előirányzat a 14/2023.  (VI.29.)  rendelet szerint</v>
      </c>
      <c r="E52" s="42" t="str">
        <f>'1. mell.bevétel_össz'!E8</f>
        <v>Módosított előirányzat a 18/2023. (IX.26.)  rendelet szerint</v>
      </c>
      <c r="F52" s="42" t="str">
        <f>'1. mell.bevétel_össz'!F8</f>
        <v>Módosított előirányzat 2023.09.30-án</v>
      </c>
      <c r="G52" s="42" t="str">
        <f>'1. mell.bevétel_össz'!G8</f>
        <v>Módosított előirányzat a …../2023. (II…..)  rendelet szerint</v>
      </c>
      <c r="H52" s="126" t="str">
        <f>'1. mell.bevétel_össz'!H8</f>
        <v>Változás a 14/2023. (VI.29.) rendelethez képest</v>
      </c>
      <c r="I52" s="1439" t="str">
        <f>'1. mell.bevétel_össz'!I8</f>
        <v>2023. évi teljesítés              2023.06.30-ig</v>
      </c>
      <c r="J52" s="42" t="str">
        <f>'1. mell.bevétel_össz'!J8</f>
        <v>2023. évi teljesítés              2023.09.30-ig</v>
      </c>
      <c r="K52" s="1453" t="str">
        <f>'1. mell.bevétel_össz'!K8</f>
        <v>2023. évi teljesítés              2023.12.31-ig</v>
      </c>
      <c r="L52" s="1464" t="str">
        <f>'1. mell.bevétel_össz'!L8</f>
        <v>Teljesítés %-a</v>
      </c>
    </row>
    <row r="53" spans="1:12" s="31" customFormat="1" ht="12.2" customHeight="1" thickBot="1" x14ac:dyDescent="0.25">
      <c r="A53" s="197" t="s">
        <v>12</v>
      </c>
      <c r="B53" s="56" t="s">
        <v>547</v>
      </c>
      <c r="C53" s="89">
        <f>SUM(C54:C59)-C55</f>
        <v>1711523581</v>
      </c>
      <c r="D53" s="127">
        <f t="shared" ref="D53:K53" si="15">SUM(D54:D59)-D55</f>
        <v>1742019472</v>
      </c>
      <c r="E53" s="89">
        <f t="shared" si="15"/>
        <v>1888470328</v>
      </c>
      <c r="F53" s="89">
        <f t="shared" si="15"/>
        <v>1888470328</v>
      </c>
      <c r="G53" s="89">
        <f t="shared" si="15"/>
        <v>0</v>
      </c>
      <c r="H53" s="175">
        <f>+E53-D53</f>
        <v>146450856</v>
      </c>
      <c r="I53" s="1524">
        <f t="shared" si="15"/>
        <v>0</v>
      </c>
      <c r="J53" s="89">
        <f t="shared" si="15"/>
        <v>1305774672</v>
      </c>
      <c r="K53" s="1495">
        <f t="shared" si="15"/>
        <v>0</v>
      </c>
      <c r="L53" s="1509">
        <f t="shared" ref="L53:L72" si="16">IF(F53=0,"",J53/F53*100)</f>
        <v>69.144569159468418</v>
      </c>
    </row>
    <row r="54" spans="1:12" ht="12.2" customHeight="1" x14ac:dyDescent="0.2">
      <c r="A54" s="653" t="s">
        <v>91</v>
      </c>
      <c r="B54" s="17" t="s">
        <v>68</v>
      </c>
      <c r="C54" s="122">
        <v>1200055444</v>
      </c>
      <c r="D54" s="189">
        <f>1200055444+7650000+2280626</f>
        <v>1209986070</v>
      </c>
      <c r="E54" s="122">
        <f>1209986070+662856+21600000+48000000</f>
        <v>1280248926</v>
      </c>
      <c r="F54" s="122">
        <v>1280248926</v>
      </c>
      <c r="G54" s="122"/>
      <c r="H54" s="177">
        <f t="shared" ref="H54:H69" si="17">+E54-D54</f>
        <v>70262856</v>
      </c>
      <c r="I54" s="1525"/>
      <c r="J54" s="122">
        <v>888533798</v>
      </c>
      <c r="K54" s="1501"/>
      <c r="L54" s="1515">
        <f t="shared" si="16"/>
        <v>69.4032058887273</v>
      </c>
    </row>
    <row r="55" spans="1:12" ht="12.2" customHeight="1" x14ac:dyDescent="0.2">
      <c r="A55" s="653" t="s">
        <v>305</v>
      </c>
      <c r="B55" s="335" t="s">
        <v>270</v>
      </c>
      <c r="C55" s="122"/>
      <c r="D55" s="189"/>
      <c r="E55" s="122">
        <v>48000000</v>
      </c>
      <c r="F55" s="122">
        <v>48000000</v>
      </c>
      <c r="G55" s="122"/>
      <c r="H55" s="177">
        <f t="shared" si="17"/>
        <v>48000000</v>
      </c>
      <c r="I55" s="1525"/>
      <c r="J55" s="122"/>
      <c r="K55" s="1501"/>
      <c r="L55" s="1515">
        <f t="shared" si="16"/>
        <v>0</v>
      </c>
    </row>
    <row r="56" spans="1:12" ht="12.2" customHeight="1" x14ac:dyDescent="0.2">
      <c r="A56" s="653" t="s">
        <v>92</v>
      </c>
      <c r="B56" s="330" t="s">
        <v>87</v>
      </c>
      <c r="C56" s="339">
        <v>161783700</v>
      </c>
      <c r="D56" s="323">
        <f>161783700+2142000+948158</f>
        <v>164873858</v>
      </c>
      <c r="E56" s="339">
        <f>164873858+6048000+6240000+3200000</f>
        <v>180361858</v>
      </c>
      <c r="F56" s="339">
        <v>180361858</v>
      </c>
      <c r="G56" s="339"/>
      <c r="H56" s="503">
        <f t="shared" si="17"/>
        <v>15488000</v>
      </c>
      <c r="I56" s="1526"/>
      <c r="J56" s="339">
        <v>122670350</v>
      </c>
      <c r="K56" s="1489"/>
      <c r="L56" s="1521">
        <f t="shared" si="16"/>
        <v>68.013465463412999</v>
      </c>
    </row>
    <row r="57" spans="1:12" ht="12.2" customHeight="1" x14ac:dyDescent="0.2">
      <c r="A57" s="653" t="s">
        <v>93</v>
      </c>
      <c r="B57" s="330" t="s">
        <v>69</v>
      </c>
      <c r="C57" s="339">
        <v>349684437</v>
      </c>
      <c r="D57" s="323">
        <f>349684437+241300+180848-1465646+15934605+684000+1500000+400000</f>
        <v>367159544</v>
      </c>
      <c r="E57" s="339">
        <f>367159544+60700000</f>
        <v>427859544</v>
      </c>
      <c r="F57" s="339">
        <v>427859544</v>
      </c>
      <c r="G57" s="339"/>
      <c r="H57" s="503">
        <f t="shared" si="17"/>
        <v>60700000</v>
      </c>
      <c r="I57" s="1526"/>
      <c r="J57" s="339">
        <v>294570524</v>
      </c>
      <c r="K57" s="1489"/>
      <c r="L57" s="1521">
        <f t="shared" si="16"/>
        <v>68.847482341074056</v>
      </c>
    </row>
    <row r="58" spans="1:12" ht="12.2" customHeight="1" x14ac:dyDescent="0.2">
      <c r="A58" s="653" t="s">
        <v>90</v>
      </c>
      <c r="B58" s="330" t="s">
        <v>80</v>
      </c>
      <c r="C58" s="339"/>
      <c r="D58" s="323"/>
      <c r="E58" s="339"/>
      <c r="F58" s="339"/>
      <c r="G58" s="339"/>
      <c r="H58" s="503">
        <f t="shared" si="17"/>
        <v>0</v>
      </c>
      <c r="I58" s="1526"/>
      <c r="J58" s="339"/>
      <c r="K58" s="1489"/>
      <c r="L58" s="1521" t="str">
        <f t="shared" si="16"/>
        <v/>
      </c>
    </row>
    <row r="59" spans="1:12" ht="12.2" customHeight="1" x14ac:dyDescent="0.2">
      <c r="A59" s="653" t="s">
        <v>147</v>
      </c>
      <c r="B59" s="330" t="s">
        <v>88</v>
      </c>
      <c r="C59" s="339">
        <f>SUM(C60:C61)</f>
        <v>0</v>
      </c>
      <c r="D59" s="323">
        <f t="shared" ref="D59:K59" si="18">SUM(D60:D61)</f>
        <v>0</v>
      </c>
      <c r="E59" s="339">
        <f t="shared" si="18"/>
        <v>0</v>
      </c>
      <c r="F59" s="339">
        <f t="shared" si="18"/>
        <v>0</v>
      </c>
      <c r="G59" s="339">
        <f t="shared" si="18"/>
        <v>0</v>
      </c>
      <c r="H59" s="503">
        <f t="shared" si="17"/>
        <v>0</v>
      </c>
      <c r="I59" s="1526">
        <f t="shared" si="18"/>
        <v>0</v>
      </c>
      <c r="J59" s="339">
        <f t="shared" si="18"/>
        <v>0</v>
      </c>
      <c r="K59" s="1489">
        <f t="shared" si="18"/>
        <v>0</v>
      </c>
      <c r="L59" s="1521" t="str">
        <f t="shared" si="16"/>
        <v/>
      </c>
    </row>
    <row r="60" spans="1:12" ht="12.2" customHeight="1" x14ac:dyDescent="0.2">
      <c r="A60" s="653" t="s">
        <v>306</v>
      </c>
      <c r="B60" s="521" t="s">
        <v>235</v>
      </c>
      <c r="C60" s="339"/>
      <c r="D60" s="323"/>
      <c r="E60" s="339"/>
      <c r="F60" s="339"/>
      <c r="G60" s="339"/>
      <c r="H60" s="503">
        <f t="shared" si="17"/>
        <v>0</v>
      </c>
      <c r="I60" s="1526"/>
      <c r="J60" s="339"/>
      <c r="K60" s="1489"/>
      <c r="L60" s="1521" t="str">
        <f t="shared" si="16"/>
        <v/>
      </c>
    </row>
    <row r="61" spans="1:12" ht="12.2" customHeight="1" thickBot="1" x14ac:dyDescent="0.25">
      <c r="A61" s="198" t="s">
        <v>307</v>
      </c>
      <c r="B61" s="85" t="s">
        <v>234</v>
      </c>
      <c r="C61" s="92"/>
      <c r="D61" s="190"/>
      <c r="E61" s="92"/>
      <c r="F61" s="92"/>
      <c r="G61" s="92"/>
      <c r="H61" s="178">
        <f t="shared" si="17"/>
        <v>0</v>
      </c>
      <c r="I61" s="1527"/>
      <c r="J61" s="92"/>
      <c r="K61" s="1503"/>
      <c r="L61" s="1517" t="str">
        <f t="shared" si="16"/>
        <v/>
      </c>
    </row>
    <row r="62" spans="1:12" ht="12.2" customHeight="1" thickBot="1" x14ac:dyDescent="0.25">
      <c r="A62" s="197" t="s">
        <v>13</v>
      </c>
      <c r="B62" s="56" t="s">
        <v>548</v>
      </c>
      <c r="C62" s="89">
        <f>+C63+C65+C67</f>
        <v>157967150</v>
      </c>
      <c r="D62" s="127">
        <f>+D63+D65+D67</f>
        <v>174796082</v>
      </c>
      <c r="E62" s="89">
        <f>+E63+E65+E67</f>
        <v>183796082</v>
      </c>
      <c r="F62" s="89">
        <f>+F63+F65+F67</f>
        <v>183796082</v>
      </c>
      <c r="G62" s="89">
        <f t="shared" ref="G62:I62" si="19">+G63+G65+G67</f>
        <v>0</v>
      </c>
      <c r="H62" s="89">
        <f t="shared" si="19"/>
        <v>9000000</v>
      </c>
      <c r="I62" s="89">
        <f t="shared" si="19"/>
        <v>174018545</v>
      </c>
      <c r="J62" s="89">
        <f>+J63+J65+J67</f>
        <v>174018545</v>
      </c>
      <c r="K62" s="1495">
        <f t="shared" ref="K62" si="20">SUM(K63:K67)</f>
        <v>94.680225555624205</v>
      </c>
      <c r="L62" s="1509">
        <f t="shared" si="16"/>
        <v>94.680225555624205</v>
      </c>
    </row>
    <row r="63" spans="1:12" s="31" customFormat="1" ht="12.2" customHeight="1" x14ac:dyDescent="0.2">
      <c r="A63" s="653" t="s">
        <v>94</v>
      </c>
      <c r="B63" s="17" t="s">
        <v>119</v>
      </c>
      <c r="C63" s="122">
        <f>'15.felh.felúj.'!C97</f>
        <v>157967150</v>
      </c>
      <c r="D63" s="189">
        <f>'15.felh.felúj.'!D97</f>
        <v>174796082</v>
      </c>
      <c r="E63" s="122">
        <f>'15.felh.felúj.'!E97</f>
        <v>183796082</v>
      </c>
      <c r="F63" s="122">
        <f>'15.felh.felúj.'!F97</f>
        <v>183796082</v>
      </c>
      <c r="G63" s="122">
        <f>'15.felh.felúj.'!G97</f>
        <v>0</v>
      </c>
      <c r="H63" s="177">
        <f t="shared" si="17"/>
        <v>9000000</v>
      </c>
      <c r="I63" s="1525">
        <f>'15.felh.felúj.'!J97</f>
        <v>174018545</v>
      </c>
      <c r="J63" s="122">
        <f>'15.felh.felúj.'!J97</f>
        <v>174018545</v>
      </c>
      <c r="K63" s="1501">
        <f>'15.felh.felúj.'!L97</f>
        <v>94.680225555624205</v>
      </c>
      <c r="L63" s="1515">
        <f t="shared" si="16"/>
        <v>94.680225555624205</v>
      </c>
    </row>
    <row r="64" spans="1:12" s="31" customFormat="1" ht="12.2" customHeight="1" x14ac:dyDescent="0.2">
      <c r="A64" s="653" t="s">
        <v>316</v>
      </c>
      <c r="B64" s="522" t="s">
        <v>236</v>
      </c>
      <c r="C64" s="122">
        <v>131957503</v>
      </c>
      <c r="D64" s="189">
        <v>131957503</v>
      </c>
      <c r="E64" s="122">
        <v>131957503</v>
      </c>
      <c r="F64" s="122">
        <v>131957503</v>
      </c>
      <c r="G64" s="122"/>
      <c r="H64" s="177">
        <f t="shared" si="17"/>
        <v>0</v>
      </c>
      <c r="I64" s="1525"/>
      <c r="J64" s="122">
        <v>131957503</v>
      </c>
      <c r="K64" s="1501"/>
      <c r="L64" s="1515">
        <f t="shared" si="16"/>
        <v>100</v>
      </c>
    </row>
    <row r="65" spans="1:14" ht="12.2" customHeight="1" x14ac:dyDescent="0.2">
      <c r="A65" s="653" t="s">
        <v>95</v>
      </c>
      <c r="B65" s="330" t="s">
        <v>2</v>
      </c>
      <c r="C65" s="339">
        <f>'15.felh.felúj.'!C107</f>
        <v>0</v>
      </c>
      <c r="D65" s="323">
        <f>'15.felh.felúj.'!D107</f>
        <v>0</v>
      </c>
      <c r="E65" s="339">
        <f>'15.felh.felúj.'!E107</f>
        <v>0</v>
      </c>
      <c r="F65" s="339">
        <f>'15.felh.felúj.'!F107</f>
        <v>0</v>
      </c>
      <c r="G65" s="339">
        <f>'15.felh.felúj.'!G107</f>
        <v>0</v>
      </c>
      <c r="H65" s="503">
        <f t="shared" si="17"/>
        <v>0</v>
      </c>
      <c r="I65" s="1526">
        <f>'15.felh.felúj.'!J107</f>
        <v>0</v>
      </c>
      <c r="J65" s="339">
        <f>'15.felh.felúj.'!J107</f>
        <v>0</v>
      </c>
      <c r="K65" s="1489" t="str">
        <f>'15.felh.felúj.'!L107</f>
        <v/>
      </c>
      <c r="L65" s="1521" t="str">
        <f t="shared" si="16"/>
        <v/>
      </c>
    </row>
    <row r="66" spans="1:14" ht="12.2" customHeight="1" x14ac:dyDescent="0.2">
      <c r="A66" s="653" t="s">
        <v>342</v>
      </c>
      <c r="B66" s="523" t="s">
        <v>237</v>
      </c>
      <c r="C66" s="339"/>
      <c r="D66" s="323"/>
      <c r="E66" s="339"/>
      <c r="F66" s="339"/>
      <c r="G66" s="339"/>
      <c r="H66" s="503">
        <f t="shared" si="17"/>
        <v>0</v>
      </c>
      <c r="I66" s="1526"/>
      <c r="J66" s="339"/>
      <c r="K66" s="1489"/>
      <c r="L66" s="1521" t="str">
        <f t="shared" si="16"/>
        <v/>
      </c>
    </row>
    <row r="67" spans="1:14" ht="12.2" customHeight="1" x14ac:dyDescent="0.2">
      <c r="A67" s="653" t="s">
        <v>96</v>
      </c>
      <c r="B67" s="17" t="s">
        <v>175</v>
      </c>
      <c r="C67" s="339"/>
      <c r="D67" s="323"/>
      <c r="E67" s="339"/>
      <c r="F67" s="339"/>
      <c r="G67" s="339"/>
      <c r="H67" s="503">
        <f t="shared" si="17"/>
        <v>0</v>
      </c>
      <c r="I67" s="1526"/>
      <c r="J67" s="339"/>
      <c r="K67" s="1489"/>
      <c r="L67" s="1521" t="str">
        <f t="shared" si="16"/>
        <v/>
      </c>
    </row>
    <row r="68" spans="1:14" ht="12.2" customHeight="1" x14ac:dyDescent="0.2">
      <c r="A68" s="653" t="s">
        <v>317</v>
      </c>
      <c r="B68" s="521" t="s">
        <v>239</v>
      </c>
      <c r="C68" s="339"/>
      <c r="D68" s="323"/>
      <c r="E68" s="339"/>
      <c r="F68" s="339"/>
      <c r="G68" s="339"/>
      <c r="H68" s="503">
        <f t="shared" si="17"/>
        <v>0</v>
      </c>
      <c r="I68" s="1526"/>
      <c r="J68" s="339"/>
      <c r="K68" s="1489"/>
      <c r="L68" s="1521" t="str">
        <f t="shared" si="16"/>
        <v/>
      </c>
    </row>
    <row r="69" spans="1:14" ht="12.2" customHeight="1" thickBot="1" x14ac:dyDescent="0.25">
      <c r="A69" s="653" t="s">
        <v>318</v>
      </c>
      <c r="B69" s="521" t="s">
        <v>238</v>
      </c>
      <c r="C69" s="339"/>
      <c r="D69" s="323"/>
      <c r="E69" s="339"/>
      <c r="F69" s="339"/>
      <c r="G69" s="339"/>
      <c r="H69" s="503">
        <f t="shared" si="17"/>
        <v>0</v>
      </c>
      <c r="I69" s="1526"/>
      <c r="J69" s="339"/>
      <c r="K69" s="1489"/>
      <c r="L69" s="1521" t="str">
        <f t="shared" si="16"/>
        <v/>
      </c>
      <c r="N69" s="18"/>
    </row>
    <row r="70" spans="1:14" s="562" customFormat="1" ht="15" customHeight="1" thickBot="1" x14ac:dyDescent="0.25">
      <c r="A70" s="197" t="s">
        <v>14</v>
      </c>
      <c r="B70" s="47" t="s">
        <v>176</v>
      </c>
      <c r="C70" s="89">
        <f>+C53+C62</f>
        <v>1869490731</v>
      </c>
      <c r="D70" s="127">
        <f>+D53+D62</f>
        <v>1916815554</v>
      </c>
      <c r="E70" s="89">
        <f t="shared" ref="E70:K70" si="21">+E53+E62</f>
        <v>2072266410</v>
      </c>
      <c r="F70" s="89">
        <f t="shared" si="21"/>
        <v>2072266410</v>
      </c>
      <c r="G70" s="89">
        <f t="shared" si="21"/>
        <v>0</v>
      </c>
      <c r="H70" s="175">
        <f>+E70-D70</f>
        <v>155450856</v>
      </c>
      <c r="I70" s="1524">
        <f t="shared" si="21"/>
        <v>174018545</v>
      </c>
      <c r="J70" s="89">
        <f t="shared" si="21"/>
        <v>1479793217</v>
      </c>
      <c r="K70" s="1495">
        <f t="shared" si="21"/>
        <v>94.680225555624205</v>
      </c>
      <c r="L70" s="1509">
        <f t="shared" si="16"/>
        <v>71.409409999556956</v>
      </c>
    </row>
    <row r="71" spans="1:14" s="562" customFormat="1" ht="12" thickBot="1" x14ac:dyDescent="0.25">
      <c r="A71" s="1664"/>
      <c r="C71" s="1665"/>
      <c r="D71" s="1665"/>
      <c r="E71" s="1665"/>
      <c r="F71" s="1665"/>
      <c r="G71" s="1665"/>
      <c r="H71" s="1665"/>
      <c r="I71" s="1665"/>
      <c r="J71" s="1665"/>
      <c r="K71" s="1665"/>
      <c r="L71" s="1666" t="str">
        <f t="shared" si="16"/>
        <v/>
      </c>
    </row>
    <row r="72" spans="1:14" s="562" customFormat="1" ht="15" customHeight="1" thickBot="1" x14ac:dyDescent="0.25">
      <c r="A72" s="1667" t="s">
        <v>290</v>
      </c>
      <c r="B72" s="1668"/>
      <c r="C72" s="1669">
        <v>153</v>
      </c>
      <c r="D72" s="1670">
        <f>153-3</f>
        <v>150</v>
      </c>
      <c r="E72" s="1669">
        <f>150-6</f>
        <v>144</v>
      </c>
      <c r="F72" s="1669">
        <v>144</v>
      </c>
      <c r="G72" s="1669"/>
      <c r="H72" s="1671">
        <f>+E72-D72</f>
        <v>-6</v>
      </c>
      <c r="I72" s="1672"/>
      <c r="J72" s="1767">
        <v>142</v>
      </c>
      <c r="K72" s="1673"/>
      <c r="L72" s="1514">
        <f t="shared" si="16"/>
        <v>98.611111111111114</v>
      </c>
    </row>
    <row r="73" spans="1:14" s="602" customFormat="1" ht="14.25" hidden="1" customHeight="1" thickBot="1" x14ac:dyDescent="0.25">
      <c r="A73" s="596" t="s">
        <v>291</v>
      </c>
      <c r="B73" s="597"/>
      <c r="C73" s="654"/>
      <c r="D73" s="612"/>
      <c r="E73" s="603"/>
      <c r="F73" s="603"/>
      <c r="G73" s="603"/>
      <c r="H73" s="632"/>
      <c r="I73" s="633"/>
      <c r="J73" s="631"/>
      <c r="K73" s="633"/>
      <c r="L73" s="601" t="e">
        <f>I73/D73*100</f>
        <v>#DIV/0!</v>
      </c>
    </row>
    <row r="74" spans="1:14" x14ac:dyDescent="0.2">
      <c r="H74" s="163"/>
    </row>
  </sheetData>
  <sheetProtection formatCells="0"/>
  <mergeCells count="9">
    <mergeCell ref="A50:L50"/>
    <mergeCell ref="A51:L51"/>
    <mergeCell ref="A3:L3"/>
    <mergeCell ref="A2:H2"/>
    <mergeCell ref="A1:L1"/>
    <mergeCell ref="C4:L4"/>
    <mergeCell ref="C5:L5"/>
    <mergeCell ref="A6:L6"/>
    <mergeCell ref="A9:L9"/>
  </mergeCells>
  <phoneticPr fontId="45" type="noConversion"/>
  <printOptions horizontalCentered="1"/>
  <pageMargins left="0.19685039370078741" right="0.19685039370078741" top="0.39370078740157483" bottom="0.19685039370078741" header="0.78740157480314965" footer="0.78740157480314965"/>
  <pageSetup paperSize="9" scale="70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3"/>
  <dimension ref="A1:T23"/>
  <sheetViews>
    <sheetView view="pageBreakPreview" topLeftCell="B7" zoomScaleNormal="100" zoomScaleSheetLayoutView="100" workbookViewId="0">
      <selection activeCell="B21" sqref="A21:XFD22"/>
    </sheetView>
  </sheetViews>
  <sheetFormatPr defaultColWidth="8.6640625" defaultRowHeight="15.75" x14ac:dyDescent="0.2"/>
  <cols>
    <col min="1" max="1" width="12.83203125" style="356" hidden="1" customWidth="1"/>
    <col min="2" max="2" width="64.1640625" style="357" customWidth="1"/>
    <col min="3" max="3" width="18.83203125" style="723" customWidth="1"/>
    <col min="4" max="4" width="18.83203125" style="723" hidden="1" customWidth="1"/>
    <col min="5" max="5" width="21.5" style="723" customWidth="1"/>
    <col min="6" max="6" width="18.33203125" style="723" customWidth="1"/>
    <col min="7" max="7" width="18.83203125" style="723" hidden="1" customWidth="1"/>
    <col min="8" max="8" width="21.1640625" style="723" hidden="1" customWidth="1"/>
    <col min="9" max="9" width="18.83203125" style="723" hidden="1" customWidth="1"/>
    <col min="10" max="10" width="17.5" style="723" customWidth="1"/>
    <col min="11" max="11" width="18.83203125" style="723" hidden="1" customWidth="1"/>
    <col min="12" max="12" width="12.83203125" style="724" customWidth="1"/>
    <col min="13" max="13" width="8.6640625" style="357" customWidth="1"/>
    <col min="14" max="14" width="18.83203125" style="357" customWidth="1"/>
    <col min="15" max="15" width="8.6640625" style="357"/>
    <col min="16" max="16" width="13.33203125" style="357" bestFit="1" customWidth="1"/>
    <col min="17" max="17" width="14.6640625" style="357" bestFit="1" customWidth="1"/>
    <col min="18" max="16384" width="8.6640625" style="357"/>
  </cols>
  <sheetData>
    <row r="1" spans="1:20" x14ac:dyDescent="0.2">
      <c r="A1" s="1773" t="s">
        <v>824</v>
      </c>
      <c r="B1" s="1773"/>
      <c r="C1" s="1773"/>
      <c r="D1" s="1773"/>
      <c r="E1" s="1773"/>
      <c r="F1" s="1773"/>
      <c r="G1" s="1773"/>
      <c r="H1" s="1773"/>
      <c r="I1" s="1773"/>
      <c r="J1" s="1773"/>
      <c r="K1" s="1773"/>
      <c r="L1" s="1773"/>
    </row>
    <row r="2" spans="1:20" s="726" customFormat="1" x14ac:dyDescent="0.2">
      <c r="A2" s="1773"/>
      <c r="B2" s="1773"/>
      <c r="C2" s="1773"/>
      <c r="D2" s="1773"/>
      <c r="E2" s="1773"/>
      <c r="F2" s="1773"/>
      <c r="G2" s="1773"/>
      <c r="H2" s="1773"/>
    </row>
    <row r="3" spans="1:20" ht="12.95" customHeight="1" x14ac:dyDescent="0.2">
      <c r="D3" s="725"/>
      <c r="E3" s="725"/>
      <c r="F3" s="725"/>
      <c r="G3" s="725"/>
      <c r="H3" s="725"/>
      <c r="I3" s="725"/>
      <c r="J3" s="725"/>
      <c r="K3" s="725"/>
      <c r="L3" s="727"/>
    </row>
    <row r="4" spans="1:20" ht="12.95" customHeight="1" x14ac:dyDescent="0.2"/>
    <row r="5" spans="1:20" s="723" customFormat="1" ht="12.95" customHeight="1" x14ac:dyDescent="0.2">
      <c r="A5" s="728"/>
      <c r="B5" s="1813" t="s">
        <v>385</v>
      </c>
      <c r="C5" s="1813"/>
      <c r="D5" s="1813"/>
      <c r="E5" s="1813"/>
      <c r="F5" s="1813"/>
      <c r="G5" s="1813"/>
      <c r="H5" s="358"/>
      <c r="L5" s="724"/>
    </row>
    <row r="6" spans="1:20" s="723" customFormat="1" ht="28.5" customHeight="1" x14ac:dyDescent="0.2">
      <c r="B6" s="1813" t="s">
        <v>831</v>
      </c>
      <c r="C6" s="1813"/>
      <c r="D6" s="1813"/>
      <c r="E6" s="1813"/>
      <c r="F6" s="1813"/>
      <c r="G6" s="1813"/>
      <c r="H6" s="1813"/>
      <c r="I6" s="1813"/>
      <c r="J6" s="1813"/>
      <c r="K6" s="1813"/>
      <c r="L6" s="1813"/>
    </row>
    <row r="7" spans="1:20" s="723" customFormat="1" ht="12.95" customHeight="1" x14ac:dyDescent="0.2">
      <c r="A7" s="358"/>
      <c r="B7" s="358"/>
      <c r="L7" s="724"/>
    </row>
    <row r="8" spans="1:20" s="723" customFormat="1" ht="12.95" customHeight="1" x14ac:dyDescent="0.2">
      <c r="A8" s="358"/>
      <c r="B8" s="358"/>
      <c r="L8" s="724"/>
    </row>
    <row r="9" spans="1:20" s="723" customFormat="1" ht="22.7" customHeight="1" thickBot="1" x14ac:dyDescent="0.25">
      <c r="A9" s="1814" t="s">
        <v>362</v>
      </c>
      <c r="B9" s="1814"/>
      <c r="C9" s="1814"/>
      <c r="D9" s="1814"/>
      <c r="E9" s="1814"/>
      <c r="F9" s="1814"/>
      <c r="G9" s="1814"/>
      <c r="H9" s="1814"/>
      <c r="I9" s="1814"/>
      <c r="J9" s="1814"/>
      <c r="K9" s="1814"/>
      <c r="L9" s="1814"/>
    </row>
    <row r="10" spans="1:20" s="723" customFormat="1" ht="81.75" customHeight="1" thickBot="1" x14ac:dyDescent="0.25">
      <c r="A10" s="744" t="s">
        <v>638</v>
      </c>
      <c r="B10" s="683" t="s">
        <v>44</v>
      </c>
      <c r="C10" s="730" t="str">
        <f>'1. mell.bevétel_össz'!C8</f>
        <v>2023. évi eredeti előirányzat
2/2023. (II.14.)</v>
      </c>
      <c r="D10" s="729" t="str">
        <f>'1. mell.bevétel_össz'!D8</f>
        <v>Módosított előirányzat a 14/2023.  (VI.29.)  rendelet szerint</v>
      </c>
      <c r="E10" s="730" t="str">
        <f>'1. mell.bevétel_össz'!E8</f>
        <v>Módosított előirányzat a 18/2023. (IX.26.)  rendelet szerint</v>
      </c>
      <c r="F10" s="730" t="str">
        <f>'1. mell.bevétel_össz'!F8</f>
        <v>Módosított előirányzat 2023.09.30-án</v>
      </c>
      <c r="G10" s="730" t="str">
        <f>'1. mell.bevétel_össz'!G8</f>
        <v>Módosított előirányzat a …../2023. (II…..)  rendelet szerint</v>
      </c>
      <c r="H10" s="684" t="str">
        <f>'1. mell.bevétel_össz'!H8</f>
        <v>Változás a 14/2023. (VI.29.) rendelethez képest</v>
      </c>
      <c r="I10" s="729" t="str">
        <f>'1. mell.bevétel_össz'!I8</f>
        <v>2023. évi teljesítés              2023.06.30-ig</v>
      </c>
      <c r="J10" s="730" t="str">
        <f>'1. mell.bevétel_össz'!J8</f>
        <v>2023. évi teljesítés              2023.09.30-ig</v>
      </c>
      <c r="K10" s="730" t="str">
        <f>'1. mell.bevétel_össz'!K8</f>
        <v>2023. évi teljesítés              2023.12.31-ig</v>
      </c>
      <c r="L10" s="731" t="str">
        <f>'1. mell.bevétel_össz'!L8</f>
        <v>Teljesítés %-a</v>
      </c>
    </row>
    <row r="11" spans="1:20" s="723" customFormat="1" ht="30.2" customHeight="1" x14ac:dyDescent="0.2">
      <c r="A11" s="745">
        <v>123206</v>
      </c>
      <c r="B11" s="1042" t="s">
        <v>381</v>
      </c>
      <c r="C11" s="733">
        <v>10000000</v>
      </c>
      <c r="D11" s="733">
        <v>10000000</v>
      </c>
      <c r="E11" s="733">
        <v>10000000</v>
      </c>
      <c r="F11" s="733">
        <v>10000000</v>
      </c>
      <c r="G11" s="1656"/>
      <c r="H11" s="1112">
        <f>+E11-D11</f>
        <v>0</v>
      </c>
      <c r="I11" s="1657"/>
      <c r="J11" s="1718">
        <v>2998400</v>
      </c>
      <c r="K11" s="1656"/>
      <c r="L11" s="1658">
        <f>IF(F11=0,"",J11/F11*100)</f>
        <v>29.983999999999998</v>
      </c>
    </row>
    <row r="12" spans="1:20" s="723" customFormat="1" ht="30.2" customHeight="1" x14ac:dyDescent="0.2">
      <c r="A12" s="321">
        <v>123207</v>
      </c>
      <c r="B12" s="1043" t="s">
        <v>269</v>
      </c>
      <c r="C12" s="1046">
        <v>872000</v>
      </c>
      <c r="D12" s="732">
        <v>872000</v>
      </c>
      <c r="E12" s="1046">
        <v>872000</v>
      </c>
      <c r="F12" s="1046">
        <v>872000</v>
      </c>
      <c r="G12" s="1046"/>
      <c r="H12" s="839">
        <f t="shared" ref="H12:H21" si="0">+E12-D12</f>
        <v>0</v>
      </c>
      <c r="I12" s="732"/>
      <c r="J12" s="1046">
        <v>582049</v>
      </c>
      <c r="K12" s="1046"/>
      <c r="L12" s="1655">
        <f t="shared" ref="L12:L22" si="1">IF(F12=0,"",J12/F12*100)</f>
        <v>66.748738532110096</v>
      </c>
    </row>
    <row r="13" spans="1:20" s="723" customFormat="1" ht="30.2" customHeight="1" x14ac:dyDescent="0.2">
      <c r="A13" s="321">
        <v>123209</v>
      </c>
      <c r="B13" s="1044" t="s">
        <v>39</v>
      </c>
      <c r="C13" s="1296">
        <v>130000000</v>
      </c>
      <c r="D13" s="1297">
        <f>130000000+13084382</f>
        <v>143084382</v>
      </c>
      <c r="E13" s="1296">
        <v>143084382</v>
      </c>
      <c r="F13" s="1296">
        <v>143084382</v>
      </c>
      <c r="G13" s="1296"/>
      <c r="H13" s="1298">
        <f t="shared" si="0"/>
        <v>0</v>
      </c>
      <c r="I13" s="734"/>
      <c r="J13" s="790">
        <v>87838676</v>
      </c>
      <c r="K13" s="790"/>
      <c r="L13" s="1659">
        <f t="shared" si="1"/>
        <v>61.389422641529109</v>
      </c>
    </row>
    <row r="14" spans="1:20" s="723" customFormat="1" ht="30.2" customHeight="1" x14ac:dyDescent="0.2">
      <c r="A14" s="321">
        <v>123210</v>
      </c>
      <c r="B14" s="1044" t="s">
        <v>45</v>
      </c>
      <c r="C14" s="1296">
        <v>1000000</v>
      </c>
      <c r="D14" s="1297">
        <v>1000000</v>
      </c>
      <c r="E14" s="1296">
        <v>1000000</v>
      </c>
      <c r="F14" s="1296">
        <v>1000000</v>
      </c>
      <c r="G14" s="1296"/>
      <c r="H14" s="1298">
        <f t="shared" si="0"/>
        <v>0</v>
      </c>
      <c r="I14" s="734"/>
      <c r="J14" s="790">
        <v>653163</v>
      </c>
      <c r="K14" s="790"/>
      <c r="L14" s="1659">
        <f t="shared" si="1"/>
        <v>65.316299999999998</v>
      </c>
    </row>
    <row r="15" spans="1:20" s="723" customFormat="1" ht="30.2" customHeight="1" x14ac:dyDescent="0.2">
      <c r="A15" s="321">
        <v>123216</v>
      </c>
      <c r="B15" s="1044" t="s">
        <v>688</v>
      </c>
      <c r="C15" s="790">
        <v>2500000</v>
      </c>
      <c r="D15" s="734">
        <v>2500000</v>
      </c>
      <c r="E15" s="790">
        <v>2500000</v>
      </c>
      <c r="F15" s="790">
        <v>2500000</v>
      </c>
      <c r="G15" s="790"/>
      <c r="H15" s="840">
        <f t="shared" si="0"/>
        <v>0</v>
      </c>
      <c r="I15" s="734"/>
      <c r="J15" s="790">
        <v>1276373</v>
      </c>
      <c r="K15" s="790"/>
      <c r="L15" s="1659">
        <f t="shared" si="1"/>
        <v>51.054920000000003</v>
      </c>
      <c r="T15" s="723" t="s">
        <v>385</v>
      </c>
    </row>
    <row r="16" spans="1:20" s="723" customFormat="1" ht="30.2" customHeight="1" x14ac:dyDescent="0.2">
      <c r="A16" s="321">
        <v>123217</v>
      </c>
      <c r="B16" s="1044" t="s">
        <v>689</v>
      </c>
      <c r="C16" s="1660">
        <v>600000</v>
      </c>
      <c r="D16" s="735">
        <v>600000</v>
      </c>
      <c r="E16" s="1660">
        <v>600000</v>
      </c>
      <c r="F16" s="1660">
        <v>600000</v>
      </c>
      <c r="G16" s="1660"/>
      <c r="H16" s="841">
        <f t="shared" si="0"/>
        <v>0</v>
      </c>
      <c r="I16" s="735"/>
      <c r="J16" s="1660">
        <v>463551</v>
      </c>
      <c r="K16" s="1660"/>
      <c r="L16" s="1661">
        <f t="shared" si="1"/>
        <v>77.258499999999998</v>
      </c>
    </row>
    <row r="17" spans="1:17" s="723" customFormat="1" ht="30.2" customHeight="1" x14ac:dyDescent="0.2">
      <c r="A17" s="321">
        <v>123219</v>
      </c>
      <c r="B17" s="1044" t="s">
        <v>40</v>
      </c>
      <c r="C17" s="1660">
        <v>800000</v>
      </c>
      <c r="D17" s="735">
        <v>800000</v>
      </c>
      <c r="E17" s="1660">
        <v>800000</v>
      </c>
      <c r="F17" s="1660">
        <v>800000</v>
      </c>
      <c r="G17" s="1660"/>
      <c r="H17" s="841">
        <f t="shared" si="0"/>
        <v>0</v>
      </c>
      <c r="I17" s="735"/>
      <c r="J17" s="1660">
        <v>163651</v>
      </c>
      <c r="K17" s="1660"/>
      <c r="L17" s="1661">
        <f t="shared" si="1"/>
        <v>20.456374999999998</v>
      </c>
    </row>
    <row r="18" spans="1:17" s="723" customFormat="1" ht="30.75" customHeight="1" x14ac:dyDescent="0.2">
      <c r="A18" s="746">
        <v>123228</v>
      </c>
      <c r="B18" s="1044" t="s">
        <v>86</v>
      </c>
      <c r="C18" s="790">
        <v>10000000</v>
      </c>
      <c r="D18" s="735">
        <f>10000000+5000000</f>
        <v>15000000</v>
      </c>
      <c r="E18" s="790">
        <f>15000000+2000000+5000000</f>
        <v>22000000</v>
      </c>
      <c r="F18" s="790">
        <v>22000000</v>
      </c>
      <c r="G18" s="790"/>
      <c r="H18" s="840">
        <f t="shared" si="0"/>
        <v>7000000</v>
      </c>
      <c r="I18" s="734"/>
      <c r="J18" s="790">
        <v>12891634</v>
      </c>
      <c r="K18" s="790"/>
      <c r="L18" s="1659">
        <f t="shared" si="1"/>
        <v>58.598336363636363</v>
      </c>
    </row>
    <row r="19" spans="1:17" s="723" customFormat="1" ht="30.2" customHeight="1" thickBot="1" x14ac:dyDescent="0.25">
      <c r="A19" s="747"/>
      <c r="B19" s="1045"/>
      <c r="C19" s="737"/>
      <c r="D19" s="736"/>
      <c r="E19" s="737"/>
      <c r="F19" s="737"/>
      <c r="G19" s="737"/>
      <c r="H19" s="842"/>
      <c r="I19" s="736"/>
      <c r="J19" s="737"/>
      <c r="K19" s="737"/>
      <c r="L19" s="738" t="str">
        <f t="shared" si="1"/>
        <v/>
      </c>
    </row>
    <row r="20" spans="1:17" s="38" customFormat="1" ht="30.2" customHeight="1" thickBot="1" x14ac:dyDescent="0.25">
      <c r="A20" s="748"/>
      <c r="B20" s="748" t="s">
        <v>35</v>
      </c>
      <c r="C20" s="741">
        <f>SUM(C11:C19)</f>
        <v>155772000</v>
      </c>
      <c r="D20" s="740">
        <f t="shared" ref="D20" si="2">SUM(D11:D19)</f>
        <v>173856382</v>
      </c>
      <c r="E20" s="741">
        <f>SUM(E11:E19)</f>
        <v>180856382</v>
      </c>
      <c r="F20" s="741">
        <f>SUM(F11:F19)</f>
        <v>180856382</v>
      </c>
      <c r="G20" s="741">
        <f t="shared" ref="G20:J20" si="3">SUM(G11:G19)</f>
        <v>0</v>
      </c>
      <c r="H20" s="741">
        <f t="shared" si="3"/>
        <v>7000000</v>
      </c>
      <c r="I20" s="741">
        <f t="shared" si="3"/>
        <v>0</v>
      </c>
      <c r="J20" s="741">
        <f t="shared" si="3"/>
        <v>106867497</v>
      </c>
      <c r="K20" s="741">
        <f t="shared" ref="K20" si="4">SUM(K12:K19)</f>
        <v>0</v>
      </c>
      <c r="L20" s="742">
        <f t="shared" si="1"/>
        <v>59.089701905017655</v>
      </c>
    </row>
    <row r="21" spans="1:17" s="38" customFormat="1" ht="30.2" hidden="1" customHeight="1" thickBot="1" x14ac:dyDescent="0.25">
      <c r="A21" s="748"/>
      <c r="B21" s="843" t="s">
        <v>112</v>
      </c>
      <c r="C21" s="1179">
        <v>582205472</v>
      </c>
      <c r="D21" s="741">
        <f>582205472+63969+3641842+6350000+150000+37974169+2000000+3334300+7085584-5000000-13084382</f>
        <v>624720954</v>
      </c>
      <c r="E21" s="1373">
        <f>624720954+55381-222000-150000-2000000-150000+195000</f>
        <v>622449335</v>
      </c>
      <c r="F21" s="741">
        <v>622449335</v>
      </c>
      <c r="G21" s="741"/>
      <c r="H21" s="741">
        <f t="shared" si="0"/>
        <v>-2271619</v>
      </c>
      <c r="I21" s="741"/>
      <c r="J21" s="741">
        <f>433398775-J20</f>
        <v>326531278</v>
      </c>
      <c r="K21" s="741"/>
      <c r="L21" s="742">
        <f t="shared" si="1"/>
        <v>52.459093397537323</v>
      </c>
      <c r="Q21" s="885"/>
    </row>
    <row r="22" spans="1:17" s="38" customFormat="1" ht="30.2" hidden="1" customHeight="1" thickBot="1" x14ac:dyDescent="0.25">
      <c r="A22" s="748"/>
      <c r="B22" s="843" t="s">
        <v>113</v>
      </c>
      <c r="C22" s="1119">
        <f>SUM(C20:C21)</f>
        <v>737977472</v>
      </c>
      <c r="D22" s="741">
        <f t="shared" ref="D22:K22" si="5">SUM(D20:D21)</f>
        <v>798577336</v>
      </c>
      <c r="E22" s="741">
        <f t="shared" si="5"/>
        <v>803305717</v>
      </c>
      <c r="F22" s="741">
        <f t="shared" si="5"/>
        <v>803305717</v>
      </c>
      <c r="G22" s="741">
        <f t="shared" si="5"/>
        <v>0</v>
      </c>
      <c r="H22" s="741">
        <f>+E22-D22</f>
        <v>4728381</v>
      </c>
      <c r="I22" s="741">
        <f t="shared" si="5"/>
        <v>0</v>
      </c>
      <c r="J22" s="741">
        <f t="shared" si="5"/>
        <v>433398775</v>
      </c>
      <c r="K22" s="741">
        <f t="shared" si="5"/>
        <v>0</v>
      </c>
      <c r="L22" s="742">
        <f t="shared" si="1"/>
        <v>53.951909693678921</v>
      </c>
    </row>
    <row r="23" spans="1:17" x14ac:dyDescent="0.2">
      <c r="D23" s="46"/>
      <c r="E23" s="46"/>
      <c r="F23" s="46"/>
      <c r="G23" s="46"/>
      <c r="H23" s="1041"/>
      <c r="I23" s="46"/>
      <c r="J23" s="46"/>
      <c r="K23" s="46"/>
      <c r="L23" s="743"/>
      <c r="N23" s="38"/>
    </row>
  </sheetData>
  <mergeCells count="5">
    <mergeCell ref="B5:G5"/>
    <mergeCell ref="A2:H2"/>
    <mergeCell ref="A1:L1"/>
    <mergeCell ref="B6:L6"/>
    <mergeCell ref="A9:L9"/>
  </mergeCells>
  <phoneticPr fontId="0" type="noConversion"/>
  <printOptions horizontalCentered="1"/>
  <pageMargins left="0.39370078740157483" right="0.39370078740157483" top="0.78740157480314965" bottom="0.98425196850393704" header="0.47244094488188981" footer="0.51181102362204722"/>
  <pageSetup paperSize="9" scale="65" orientation="portrait" r:id="rId1"/>
  <headerFooter alignWithMargins="0">
    <oddHeader xml:space="preserve">&amp;C
&amp;13 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4"/>
  <dimension ref="A1:XFD102"/>
  <sheetViews>
    <sheetView view="pageBreakPreview" topLeftCell="B1" zoomScale="105" zoomScaleNormal="130" zoomScaleSheetLayoutView="105" workbookViewId="0">
      <selection activeCell="L2" sqref="L1:L1048576"/>
    </sheetView>
  </sheetViews>
  <sheetFormatPr defaultColWidth="18.5" defaultRowHeight="15.75" x14ac:dyDescent="0.2"/>
  <cols>
    <col min="1" max="1" width="12.83203125" style="357" hidden="1" customWidth="1"/>
    <col min="2" max="2" width="86" style="357" customWidth="1"/>
    <col min="3" max="3" width="20" style="357" customWidth="1"/>
    <col min="4" max="4" width="22.33203125" style="357" hidden="1" customWidth="1"/>
    <col min="5" max="6" width="20.83203125" style="357" customWidth="1"/>
    <col min="7" max="7" width="19" style="357" hidden="1" customWidth="1"/>
    <col min="8" max="8" width="22.5" style="357" hidden="1" customWidth="1"/>
    <col min="9" max="9" width="18.33203125" style="357" hidden="1" customWidth="1"/>
    <col min="10" max="10" width="18.33203125" style="357" customWidth="1"/>
    <col min="11" max="11" width="18.33203125" style="357" hidden="1" customWidth="1"/>
    <col min="12" max="12" width="11.83203125" style="357" customWidth="1"/>
    <col min="13" max="15" width="18.5" style="357" customWidth="1"/>
    <col min="16" max="16384" width="18.5" style="357"/>
  </cols>
  <sheetData>
    <row r="1" spans="1:16384" ht="15" customHeight="1" x14ac:dyDescent="0.2">
      <c r="B1" s="1820" t="s">
        <v>825</v>
      </c>
      <c r="C1" s="1820"/>
      <c r="D1" s="1820"/>
      <c r="E1" s="1820"/>
      <c r="F1" s="1820"/>
      <c r="G1" s="1820"/>
      <c r="H1" s="1820"/>
      <c r="I1" s="1820"/>
      <c r="J1" s="1820"/>
      <c r="K1" s="1820"/>
      <c r="L1" s="1820"/>
    </row>
    <row r="2" spans="1:16384" ht="15" customHeight="1" x14ac:dyDescent="0.2">
      <c r="A2" s="1820"/>
      <c r="B2" s="1820"/>
      <c r="C2" s="1820"/>
      <c r="D2" s="1820"/>
      <c r="E2" s="1820"/>
      <c r="F2" s="1820"/>
      <c r="G2" s="1820"/>
      <c r="H2" s="1820"/>
      <c r="O2" s="1815"/>
      <c r="P2" s="1815"/>
      <c r="Q2" s="1815"/>
      <c r="R2" s="1815"/>
      <c r="S2" s="1815"/>
      <c r="T2" s="1815"/>
      <c r="U2" s="1815"/>
      <c r="V2" s="1815"/>
      <c r="W2" s="1815"/>
      <c r="X2" s="1815"/>
      <c r="Y2" s="1815"/>
      <c r="Z2" s="1815"/>
      <c r="AA2" s="1815"/>
      <c r="AB2" s="1815"/>
      <c r="AC2" s="1815"/>
      <c r="AD2" s="1815"/>
      <c r="AE2" s="1815"/>
      <c r="AF2" s="1815"/>
      <c r="AG2" s="1815"/>
      <c r="AH2" s="1815"/>
      <c r="AI2" s="1815"/>
      <c r="AJ2" s="1815"/>
      <c r="AK2" s="1815"/>
      <c r="AL2" s="1815"/>
      <c r="AM2" s="1815"/>
      <c r="AN2" s="1815"/>
      <c r="AO2" s="1815"/>
      <c r="AP2" s="1815"/>
      <c r="AQ2" s="1815"/>
      <c r="AR2" s="1815"/>
      <c r="AS2" s="1815"/>
      <c r="AT2" s="1815"/>
      <c r="AU2" s="1815"/>
      <c r="AV2" s="1815"/>
      <c r="AW2" s="1815"/>
      <c r="AX2" s="1815"/>
      <c r="AY2" s="1815"/>
      <c r="AZ2" s="1815"/>
      <c r="BA2" s="1815"/>
      <c r="BB2" s="1815"/>
      <c r="BC2" s="1815"/>
      <c r="BD2" s="1815"/>
      <c r="BE2" s="1815"/>
      <c r="BF2" s="1815"/>
      <c r="BG2" s="1815"/>
      <c r="BH2" s="1815"/>
      <c r="BI2" s="1815"/>
      <c r="BJ2" s="1815"/>
      <c r="BK2" s="1815"/>
      <c r="BL2" s="1815"/>
      <c r="BM2" s="1815"/>
      <c r="BN2" s="1815"/>
      <c r="BO2" s="1815"/>
      <c r="BP2" s="1815"/>
      <c r="BQ2" s="1815"/>
      <c r="BR2" s="1815"/>
      <c r="BS2" s="1815"/>
      <c r="BT2" s="1815"/>
      <c r="BU2" s="1815"/>
      <c r="BV2" s="1815"/>
      <c r="BW2" s="1815"/>
      <c r="BX2" s="1815"/>
      <c r="BY2" s="1815"/>
      <c r="BZ2" s="1815"/>
      <c r="CA2" s="1815"/>
      <c r="CB2" s="1815"/>
      <c r="CC2" s="1815"/>
      <c r="CD2" s="1815"/>
      <c r="CE2" s="1815"/>
      <c r="CF2" s="1815"/>
      <c r="CG2" s="1815"/>
      <c r="CH2" s="1815"/>
      <c r="CI2" s="1815"/>
      <c r="CJ2" s="1815"/>
      <c r="CK2" s="1815"/>
      <c r="CL2" s="1815"/>
      <c r="CM2" s="1815"/>
      <c r="CN2" s="1815"/>
      <c r="CO2" s="1815"/>
      <c r="CP2" s="1815"/>
      <c r="CQ2" s="1815"/>
      <c r="CR2" s="1815"/>
      <c r="CS2" s="1815"/>
      <c r="CT2" s="1815"/>
      <c r="CU2" s="1815"/>
      <c r="CV2" s="1815"/>
      <c r="CW2" s="1815"/>
      <c r="CX2" s="1815"/>
      <c r="CY2" s="1815"/>
      <c r="CZ2" s="1815"/>
      <c r="DA2" s="1815"/>
      <c r="DB2" s="1815"/>
      <c r="DC2" s="1815"/>
      <c r="DD2" s="1815"/>
      <c r="DE2" s="1815"/>
      <c r="DF2" s="1815"/>
      <c r="DG2" s="1815"/>
      <c r="DH2" s="1815"/>
      <c r="DI2" s="1815"/>
      <c r="DJ2" s="1815"/>
      <c r="DK2" s="1815"/>
      <c r="DL2" s="1815"/>
      <c r="DM2" s="1815"/>
      <c r="DN2" s="1815"/>
      <c r="DO2" s="1815"/>
      <c r="DP2" s="1815"/>
      <c r="DQ2" s="1815"/>
      <c r="DR2" s="1815"/>
      <c r="DS2" s="1815"/>
      <c r="DT2" s="1815"/>
      <c r="DU2" s="1815"/>
      <c r="DV2" s="1815"/>
      <c r="DW2" s="1815"/>
      <c r="DX2" s="1815"/>
      <c r="DY2" s="1815"/>
      <c r="DZ2" s="1815"/>
      <c r="EA2" s="1815"/>
      <c r="EB2" s="1815"/>
      <c r="EC2" s="1815"/>
      <c r="ED2" s="1815"/>
      <c r="EE2" s="1815"/>
      <c r="EF2" s="1815"/>
      <c r="EG2" s="1815"/>
      <c r="EH2" s="1815"/>
      <c r="EI2" s="1815"/>
      <c r="EJ2" s="1815"/>
      <c r="EK2" s="1815"/>
      <c r="EL2" s="1815"/>
      <c r="EM2" s="1815"/>
      <c r="EN2" s="1815"/>
      <c r="EO2" s="1815"/>
      <c r="EP2" s="1815"/>
      <c r="EQ2" s="1815"/>
      <c r="ER2" s="1815"/>
      <c r="ES2" s="1815"/>
      <c r="ET2" s="1815"/>
      <c r="EU2" s="1815"/>
      <c r="EV2" s="1815"/>
      <c r="EW2" s="1815"/>
      <c r="EX2" s="1815"/>
      <c r="EY2" s="1815"/>
      <c r="EZ2" s="1815"/>
      <c r="FA2" s="1815"/>
      <c r="FB2" s="1815"/>
      <c r="FC2" s="1815"/>
      <c r="FD2" s="1815"/>
      <c r="FE2" s="1815"/>
      <c r="FF2" s="1815"/>
      <c r="FG2" s="1815"/>
      <c r="FH2" s="1815"/>
      <c r="FI2" s="1815"/>
      <c r="FJ2" s="1815"/>
      <c r="FK2" s="1815"/>
      <c r="FL2" s="1815"/>
      <c r="FM2" s="1815"/>
      <c r="FN2" s="1815"/>
      <c r="FO2" s="1815"/>
      <c r="FP2" s="1815"/>
      <c r="FQ2" s="1815"/>
      <c r="FR2" s="1815"/>
      <c r="FS2" s="1815"/>
      <c r="FT2" s="1815"/>
      <c r="FU2" s="1815"/>
      <c r="FV2" s="1815"/>
      <c r="FW2" s="1815"/>
      <c r="FX2" s="1815"/>
      <c r="FY2" s="1815"/>
      <c r="FZ2" s="1815"/>
      <c r="GA2" s="1815"/>
      <c r="GB2" s="1815"/>
      <c r="GC2" s="1815"/>
      <c r="GD2" s="1815"/>
      <c r="GE2" s="1815"/>
      <c r="GF2" s="1815"/>
      <c r="GG2" s="1815"/>
      <c r="GH2" s="1815"/>
      <c r="GI2" s="1815"/>
      <c r="GJ2" s="1815"/>
      <c r="GK2" s="1815"/>
      <c r="GL2" s="1815"/>
      <c r="GM2" s="1815"/>
      <c r="GN2" s="1815"/>
      <c r="GO2" s="1815"/>
      <c r="GP2" s="1815"/>
      <c r="GQ2" s="1815"/>
      <c r="GR2" s="1815"/>
      <c r="GS2" s="1815"/>
      <c r="GT2" s="1815"/>
      <c r="GU2" s="1815"/>
      <c r="GV2" s="1815"/>
      <c r="GW2" s="1815"/>
      <c r="GX2" s="1815"/>
      <c r="GY2" s="1815"/>
      <c r="GZ2" s="1815"/>
      <c r="HA2" s="1815"/>
      <c r="HB2" s="1815"/>
      <c r="HC2" s="1815"/>
      <c r="HD2" s="1815"/>
      <c r="HE2" s="1815"/>
      <c r="HF2" s="1815"/>
      <c r="HG2" s="1815"/>
      <c r="HH2" s="1815"/>
      <c r="HI2" s="1815"/>
      <c r="HJ2" s="1815"/>
      <c r="HK2" s="1815"/>
      <c r="HL2" s="1815"/>
      <c r="HM2" s="1815"/>
      <c r="HN2" s="1815"/>
      <c r="HO2" s="1815"/>
      <c r="HP2" s="1815"/>
      <c r="HQ2" s="1815"/>
      <c r="HR2" s="1815"/>
      <c r="HS2" s="1815"/>
      <c r="HT2" s="1815"/>
      <c r="HU2" s="1815"/>
      <c r="HV2" s="1815"/>
      <c r="HW2" s="1815"/>
      <c r="HX2" s="1815"/>
      <c r="HY2" s="1815"/>
      <c r="HZ2" s="1815"/>
      <c r="IA2" s="1815"/>
      <c r="IB2" s="1815"/>
      <c r="IC2" s="1815"/>
      <c r="ID2" s="1815"/>
      <c r="IE2" s="1815"/>
      <c r="IF2" s="1815"/>
      <c r="IG2" s="1815"/>
      <c r="IH2" s="1815"/>
      <c r="II2" s="1815"/>
      <c r="IJ2" s="1815"/>
      <c r="IK2" s="1815"/>
      <c r="IL2" s="1815"/>
      <c r="IM2" s="1815"/>
      <c r="IN2" s="1815"/>
      <c r="IO2" s="1815"/>
      <c r="IP2" s="1815"/>
      <c r="IQ2" s="1815"/>
      <c r="IR2" s="1815"/>
      <c r="IS2" s="1815"/>
      <c r="IT2" s="1815"/>
      <c r="IU2" s="1815"/>
      <c r="IV2" s="1815"/>
      <c r="IW2" s="1815"/>
      <c r="IX2" s="1815"/>
      <c r="IY2" s="1815"/>
      <c r="IZ2" s="1815"/>
      <c r="JA2" s="1815"/>
      <c r="JB2" s="1815"/>
      <c r="JC2" s="1815"/>
      <c r="JD2" s="1815"/>
      <c r="JE2" s="1815"/>
      <c r="JF2" s="1815"/>
      <c r="JG2" s="1815"/>
      <c r="JH2" s="1815"/>
      <c r="JI2" s="1815"/>
      <c r="JJ2" s="1815"/>
      <c r="JK2" s="1815"/>
      <c r="JL2" s="1815"/>
      <c r="JM2" s="1815"/>
      <c r="JN2" s="1815"/>
      <c r="JO2" s="1815"/>
      <c r="JP2" s="1815"/>
      <c r="JQ2" s="1815"/>
      <c r="JR2" s="1815"/>
      <c r="JS2" s="1815"/>
      <c r="JT2" s="1815"/>
      <c r="JU2" s="1815"/>
      <c r="JV2" s="1815"/>
      <c r="JW2" s="1815"/>
      <c r="JX2" s="1815"/>
      <c r="JY2" s="1815"/>
      <c r="JZ2" s="1815"/>
      <c r="KA2" s="1815"/>
      <c r="KB2" s="1815"/>
      <c r="KC2" s="1815"/>
      <c r="KD2" s="1815"/>
      <c r="KE2" s="1815"/>
      <c r="KF2" s="1815"/>
      <c r="KG2" s="1815"/>
      <c r="KH2" s="1815"/>
      <c r="KI2" s="1815"/>
      <c r="KJ2" s="1815"/>
      <c r="KK2" s="1815"/>
      <c r="KL2" s="1815"/>
      <c r="KM2" s="1815"/>
      <c r="KN2" s="1815"/>
      <c r="KO2" s="1815"/>
      <c r="KP2" s="1815"/>
      <c r="KQ2" s="1815"/>
      <c r="KR2" s="1815"/>
      <c r="KS2" s="1815"/>
      <c r="KT2" s="1815"/>
      <c r="KU2" s="1815"/>
      <c r="KV2" s="1815"/>
      <c r="KW2" s="1815"/>
      <c r="KX2" s="1815"/>
      <c r="KY2" s="1815"/>
      <c r="KZ2" s="1815"/>
      <c r="LA2" s="1815"/>
      <c r="LB2" s="1815"/>
      <c r="LC2" s="1815"/>
      <c r="LD2" s="1815"/>
      <c r="LE2" s="1815"/>
      <c r="LF2" s="1815"/>
      <c r="LG2" s="1815"/>
      <c r="LH2" s="1815"/>
      <c r="LI2" s="1815"/>
      <c r="LJ2" s="1815"/>
      <c r="LK2" s="1815"/>
      <c r="LL2" s="1815"/>
      <c r="LM2" s="1815"/>
      <c r="LN2" s="1815"/>
      <c r="LO2" s="1815"/>
      <c r="LP2" s="1815"/>
      <c r="LQ2" s="1815"/>
      <c r="LR2" s="1815"/>
      <c r="LS2" s="1815"/>
      <c r="LT2" s="1815"/>
      <c r="LU2" s="1815"/>
      <c r="LV2" s="1815"/>
      <c r="LW2" s="1815"/>
      <c r="LX2" s="1815"/>
      <c r="LY2" s="1815"/>
      <c r="LZ2" s="1815"/>
      <c r="MA2" s="1815"/>
      <c r="MB2" s="1815"/>
      <c r="MC2" s="1815"/>
      <c r="MD2" s="1815"/>
      <c r="ME2" s="1815"/>
      <c r="MF2" s="1815"/>
      <c r="MG2" s="1815"/>
      <c r="MH2" s="1815"/>
      <c r="MI2" s="1815"/>
      <c r="MJ2" s="1815"/>
      <c r="MK2" s="1815"/>
      <c r="ML2" s="1815"/>
      <c r="MM2" s="1815"/>
      <c r="MN2" s="1815"/>
      <c r="MO2" s="1815"/>
      <c r="MP2" s="1815"/>
      <c r="MQ2" s="1815"/>
      <c r="MR2" s="1815"/>
      <c r="MS2" s="1815"/>
      <c r="MT2" s="1815"/>
      <c r="MU2" s="1815"/>
      <c r="MV2" s="1815"/>
      <c r="MW2" s="1815"/>
      <c r="MX2" s="1815"/>
      <c r="MY2" s="1815"/>
      <c r="MZ2" s="1815"/>
      <c r="NA2" s="1815"/>
      <c r="NB2" s="1815"/>
      <c r="NC2" s="1815"/>
      <c r="ND2" s="1815"/>
      <c r="NE2" s="1815"/>
      <c r="NF2" s="1815"/>
      <c r="NG2" s="1815"/>
      <c r="NH2" s="1815"/>
      <c r="NI2" s="1815"/>
      <c r="NJ2" s="1815"/>
      <c r="NK2" s="1815"/>
      <c r="NL2" s="1815"/>
      <c r="NM2" s="1815"/>
      <c r="NN2" s="1815"/>
      <c r="NO2" s="1815"/>
      <c r="NP2" s="1815"/>
      <c r="NQ2" s="1815"/>
      <c r="NR2" s="1815"/>
      <c r="NS2" s="1815"/>
      <c r="NT2" s="1815"/>
      <c r="NU2" s="1815"/>
      <c r="NV2" s="1815"/>
      <c r="NW2" s="1815"/>
      <c r="NX2" s="1815"/>
      <c r="NY2" s="1815"/>
      <c r="NZ2" s="1815"/>
      <c r="OA2" s="1815"/>
      <c r="OB2" s="1815"/>
      <c r="OC2" s="1815"/>
      <c r="OD2" s="1815"/>
      <c r="OE2" s="1815"/>
      <c r="OF2" s="1815"/>
      <c r="OG2" s="1815"/>
      <c r="OH2" s="1815"/>
      <c r="OI2" s="1815"/>
      <c r="OJ2" s="1815"/>
      <c r="OK2" s="1815"/>
      <c r="OL2" s="1815"/>
      <c r="OM2" s="1815"/>
      <c r="ON2" s="1815"/>
      <c r="OO2" s="1815"/>
      <c r="OP2" s="1815"/>
      <c r="OQ2" s="1815"/>
      <c r="OR2" s="1815"/>
      <c r="OS2" s="1815"/>
      <c r="OT2" s="1815"/>
      <c r="OU2" s="1815"/>
      <c r="OV2" s="1815"/>
      <c r="OW2" s="1815"/>
      <c r="OX2" s="1815"/>
      <c r="OY2" s="1815"/>
      <c r="OZ2" s="1815"/>
      <c r="PA2" s="1815"/>
      <c r="PB2" s="1815"/>
      <c r="PC2" s="1815"/>
      <c r="PD2" s="1815"/>
      <c r="PE2" s="1815"/>
      <c r="PF2" s="1815"/>
      <c r="PG2" s="1815"/>
      <c r="PH2" s="1815"/>
      <c r="PI2" s="1815"/>
      <c r="PJ2" s="1815"/>
      <c r="PK2" s="1815"/>
      <c r="PL2" s="1815"/>
      <c r="PM2" s="1815"/>
      <c r="PN2" s="1815"/>
      <c r="PO2" s="1815"/>
      <c r="PP2" s="1815"/>
      <c r="PQ2" s="1815"/>
      <c r="PR2" s="1815"/>
      <c r="PS2" s="1815"/>
      <c r="PT2" s="1815"/>
      <c r="PU2" s="1815"/>
      <c r="PV2" s="1815"/>
      <c r="PW2" s="1815"/>
      <c r="PX2" s="1815"/>
      <c r="PY2" s="1815"/>
      <c r="PZ2" s="1815"/>
      <c r="QA2" s="1815"/>
      <c r="QB2" s="1815"/>
      <c r="QC2" s="1815"/>
      <c r="QD2" s="1815"/>
      <c r="QE2" s="1815"/>
      <c r="QF2" s="1815"/>
      <c r="QG2" s="1815"/>
      <c r="QH2" s="1815"/>
      <c r="QI2" s="1815"/>
      <c r="QJ2" s="1815"/>
      <c r="QK2" s="1815"/>
      <c r="QL2" s="1815"/>
      <c r="QM2" s="1815"/>
      <c r="QN2" s="1815"/>
      <c r="QO2" s="1815"/>
      <c r="QP2" s="1815"/>
      <c r="QQ2" s="1815"/>
      <c r="QR2" s="1815"/>
      <c r="QS2" s="1815"/>
      <c r="QT2" s="1815"/>
      <c r="QU2" s="1815"/>
      <c r="QV2" s="1815"/>
      <c r="QW2" s="1815"/>
      <c r="QX2" s="1815"/>
      <c r="QY2" s="1815"/>
      <c r="QZ2" s="1815"/>
      <c r="RA2" s="1815"/>
      <c r="RB2" s="1815"/>
      <c r="RC2" s="1815"/>
      <c r="RD2" s="1815"/>
      <c r="RE2" s="1815"/>
      <c r="RF2" s="1815"/>
      <c r="RG2" s="1815"/>
      <c r="RH2" s="1815"/>
      <c r="RI2" s="1815"/>
      <c r="RJ2" s="1815"/>
      <c r="RK2" s="1815"/>
      <c r="RL2" s="1815"/>
      <c r="RM2" s="1815"/>
      <c r="RN2" s="1815"/>
      <c r="RO2" s="1815"/>
      <c r="RP2" s="1815"/>
      <c r="RQ2" s="1815"/>
      <c r="RR2" s="1815"/>
      <c r="RS2" s="1815"/>
      <c r="RT2" s="1815"/>
      <c r="RU2" s="1815"/>
      <c r="RV2" s="1815"/>
      <c r="RW2" s="1815"/>
      <c r="RX2" s="1815"/>
      <c r="RY2" s="1815"/>
      <c r="RZ2" s="1815"/>
      <c r="SA2" s="1815"/>
      <c r="SB2" s="1815"/>
      <c r="SC2" s="1815"/>
      <c r="SD2" s="1815"/>
      <c r="SE2" s="1815"/>
      <c r="SF2" s="1815"/>
      <c r="SG2" s="1815"/>
      <c r="SH2" s="1815"/>
      <c r="SI2" s="1815"/>
      <c r="SJ2" s="1815"/>
      <c r="SK2" s="1815"/>
      <c r="SL2" s="1815"/>
      <c r="SM2" s="1815"/>
      <c r="SN2" s="1815"/>
      <c r="SO2" s="1815"/>
      <c r="SP2" s="1815"/>
      <c r="SQ2" s="1815"/>
      <c r="SR2" s="1815"/>
      <c r="SS2" s="1815"/>
      <c r="ST2" s="1815"/>
      <c r="SU2" s="1815"/>
      <c r="SV2" s="1815"/>
      <c r="SW2" s="1815"/>
      <c r="SX2" s="1815"/>
      <c r="SY2" s="1815"/>
      <c r="SZ2" s="1815"/>
      <c r="TA2" s="1815"/>
      <c r="TB2" s="1815"/>
      <c r="TC2" s="1815"/>
      <c r="TD2" s="1815"/>
      <c r="TE2" s="1815"/>
      <c r="TF2" s="1815"/>
      <c r="TG2" s="1815"/>
      <c r="TH2" s="1815"/>
      <c r="TI2" s="1815"/>
      <c r="TJ2" s="1815"/>
      <c r="TK2" s="1815"/>
      <c r="TL2" s="1815"/>
      <c r="TM2" s="1815"/>
      <c r="TN2" s="1815"/>
      <c r="TO2" s="1815"/>
      <c r="TP2" s="1815"/>
      <c r="TQ2" s="1815"/>
      <c r="TR2" s="1815"/>
      <c r="TS2" s="1815"/>
      <c r="TT2" s="1815"/>
      <c r="TU2" s="1815"/>
      <c r="TV2" s="1815"/>
      <c r="TW2" s="1815"/>
      <c r="TX2" s="1815"/>
      <c r="TY2" s="1815"/>
      <c r="TZ2" s="1815"/>
      <c r="UA2" s="1815"/>
      <c r="UB2" s="1815"/>
      <c r="UC2" s="1815"/>
      <c r="UD2" s="1815"/>
      <c r="UE2" s="1815"/>
      <c r="UF2" s="1815"/>
      <c r="UG2" s="1815"/>
      <c r="UH2" s="1815"/>
      <c r="UI2" s="1815"/>
      <c r="UJ2" s="1815"/>
      <c r="UK2" s="1815"/>
      <c r="UL2" s="1815"/>
      <c r="UM2" s="1815"/>
      <c r="UN2" s="1815"/>
      <c r="UO2" s="1815"/>
      <c r="UP2" s="1815"/>
      <c r="UQ2" s="1815"/>
      <c r="UR2" s="1815"/>
      <c r="US2" s="1815"/>
      <c r="UT2" s="1815"/>
      <c r="UU2" s="1815"/>
      <c r="UV2" s="1815"/>
      <c r="UW2" s="1815"/>
      <c r="UX2" s="1815"/>
      <c r="UY2" s="1815"/>
      <c r="UZ2" s="1815"/>
      <c r="VA2" s="1815"/>
      <c r="VB2" s="1815"/>
      <c r="VC2" s="1815"/>
      <c r="VD2" s="1815"/>
      <c r="VE2" s="1815"/>
      <c r="VF2" s="1815"/>
      <c r="VG2" s="1815"/>
      <c r="VH2" s="1815"/>
      <c r="VI2" s="1815"/>
      <c r="VJ2" s="1815"/>
      <c r="VK2" s="1815"/>
      <c r="VL2" s="1815"/>
      <c r="VM2" s="1815"/>
      <c r="VN2" s="1815"/>
      <c r="VO2" s="1815"/>
      <c r="VP2" s="1815"/>
      <c r="VQ2" s="1815"/>
      <c r="VR2" s="1815"/>
      <c r="VS2" s="1815"/>
      <c r="VT2" s="1815"/>
      <c r="VU2" s="1815"/>
      <c r="VV2" s="1815"/>
      <c r="VW2" s="1815"/>
      <c r="VX2" s="1815"/>
      <c r="VY2" s="1815"/>
      <c r="VZ2" s="1815"/>
      <c r="WA2" s="1815"/>
      <c r="WB2" s="1815"/>
      <c r="WC2" s="1815"/>
      <c r="WD2" s="1815"/>
      <c r="WE2" s="1815"/>
      <c r="WF2" s="1815"/>
      <c r="WG2" s="1815"/>
      <c r="WH2" s="1815"/>
      <c r="WI2" s="1815"/>
      <c r="WJ2" s="1815"/>
      <c r="WK2" s="1815"/>
      <c r="WL2" s="1815"/>
      <c r="WM2" s="1815"/>
      <c r="WN2" s="1815"/>
      <c r="WO2" s="1815"/>
      <c r="WP2" s="1815"/>
      <c r="WQ2" s="1815"/>
      <c r="WR2" s="1815"/>
      <c r="WS2" s="1815"/>
      <c r="WT2" s="1815"/>
      <c r="WU2" s="1815"/>
      <c r="WV2" s="1815"/>
      <c r="WW2" s="1815"/>
      <c r="WX2" s="1815"/>
      <c r="WY2" s="1815"/>
      <c r="WZ2" s="1815"/>
      <c r="XA2" s="1815"/>
      <c r="XB2" s="1815"/>
      <c r="XC2" s="1815"/>
      <c r="XD2" s="1815"/>
      <c r="XE2" s="1815"/>
      <c r="XF2" s="1815"/>
      <c r="XG2" s="1815"/>
      <c r="XH2" s="1815"/>
      <c r="XI2" s="1815"/>
      <c r="XJ2" s="1815"/>
      <c r="XK2" s="1815"/>
      <c r="XL2" s="1815"/>
      <c r="XM2" s="1815"/>
      <c r="XN2" s="1815"/>
      <c r="XO2" s="1815"/>
      <c r="XP2" s="1815"/>
      <c r="XQ2" s="1815"/>
      <c r="XR2" s="1815"/>
      <c r="XS2" s="1815"/>
      <c r="XT2" s="1815"/>
      <c r="XU2" s="1815"/>
      <c r="XV2" s="1815"/>
      <c r="XW2" s="1815"/>
      <c r="XX2" s="1815"/>
      <c r="XY2" s="1815"/>
      <c r="XZ2" s="1815"/>
      <c r="YA2" s="1815"/>
      <c r="YB2" s="1815"/>
      <c r="YC2" s="1815"/>
      <c r="YD2" s="1815"/>
      <c r="YE2" s="1815"/>
      <c r="YF2" s="1815"/>
      <c r="YG2" s="1815"/>
      <c r="YH2" s="1815"/>
      <c r="YI2" s="1815"/>
      <c r="YJ2" s="1815"/>
      <c r="YK2" s="1815"/>
      <c r="YL2" s="1815"/>
      <c r="YM2" s="1815"/>
      <c r="YN2" s="1815"/>
      <c r="YO2" s="1815"/>
      <c r="YP2" s="1815"/>
      <c r="YQ2" s="1815"/>
      <c r="YR2" s="1815"/>
      <c r="YS2" s="1815"/>
      <c r="YT2" s="1815"/>
      <c r="YU2" s="1815"/>
      <c r="YV2" s="1815"/>
      <c r="YW2" s="1815"/>
      <c r="YX2" s="1815"/>
      <c r="YY2" s="1815"/>
      <c r="YZ2" s="1815"/>
      <c r="ZA2" s="1815"/>
      <c r="ZB2" s="1815"/>
      <c r="ZC2" s="1815"/>
      <c r="ZD2" s="1815"/>
      <c r="ZE2" s="1815"/>
      <c r="ZF2" s="1815"/>
      <c r="ZG2" s="1815"/>
      <c r="ZH2" s="1815"/>
      <c r="ZI2" s="1815"/>
      <c r="ZJ2" s="1815"/>
      <c r="ZK2" s="1815"/>
      <c r="ZL2" s="1815"/>
      <c r="ZM2" s="1815"/>
      <c r="ZN2" s="1815"/>
      <c r="ZO2" s="1815"/>
      <c r="ZP2" s="1815"/>
      <c r="ZQ2" s="1815"/>
      <c r="ZR2" s="1815"/>
      <c r="ZS2" s="1815"/>
      <c r="ZT2" s="1815"/>
      <c r="ZU2" s="1815"/>
      <c r="ZV2" s="1815"/>
      <c r="ZW2" s="1815"/>
      <c r="ZX2" s="1815"/>
      <c r="ZY2" s="1815"/>
      <c r="ZZ2" s="1815"/>
      <c r="AAA2" s="1815"/>
      <c r="AAB2" s="1815"/>
      <c r="AAC2" s="1815"/>
      <c r="AAD2" s="1815"/>
      <c r="AAE2" s="1815"/>
      <c r="AAF2" s="1815"/>
      <c r="AAG2" s="1815"/>
      <c r="AAH2" s="1815"/>
      <c r="AAI2" s="1815"/>
      <c r="AAJ2" s="1815"/>
      <c r="AAK2" s="1815"/>
      <c r="AAL2" s="1815"/>
      <c r="AAM2" s="1815"/>
      <c r="AAN2" s="1815"/>
      <c r="AAO2" s="1815"/>
      <c r="AAP2" s="1815"/>
      <c r="AAQ2" s="1815"/>
      <c r="AAR2" s="1815"/>
      <c r="AAS2" s="1815"/>
      <c r="AAT2" s="1815"/>
      <c r="AAU2" s="1815"/>
      <c r="AAV2" s="1815"/>
      <c r="AAW2" s="1815"/>
      <c r="AAX2" s="1815"/>
      <c r="AAY2" s="1815"/>
      <c r="AAZ2" s="1815"/>
      <c r="ABA2" s="1815"/>
      <c r="ABB2" s="1815"/>
      <c r="ABC2" s="1815"/>
      <c r="ABD2" s="1815"/>
      <c r="ABE2" s="1815"/>
      <c r="ABF2" s="1815"/>
      <c r="ABG2" s="1815"/>
      <c r="ABH2" s="1815"/>
      <c r="ABI2" s="1815"/>
      <c r="ABJ2" s="1815"/>
      <c r="ABK2" s="1815"/>
      <c r="ABL2" s="1815"/>
      <c r="ABM2" s="1815"/>
      <c r="ABN2" s="1815"/>
      <c r="ABO2" s="1815"/>
      <c r="ABP2" s="1815"/>
      <c r="ABQ2" s="1815"/>
      <c r="ABR2" s="1815"/>
      <c r="ABS2" s="1815"/>
      <c r="ABT2" s="1815"/>
      <c r="ABU2" s="1815"/>
      <c r="ABV2" s="1815"/>
      <c r="ABW2" s="1815"/>
      <c r="ABX2" s="1815"/>
      <c r="ABY2" s="1815"/>
      <c r="ABZ2" s="1815"/>
      <c r="ACA2" s="1815"/>
      <c r="ACB2" s="1815"/>
      <c r="ACC2" s="1815"/>
      <c r="ACD2" s="1815"/>
      <c r="ACE2" s="1815"/>
      <c r="ACF2" s="1815"/>
      <c r="ACG2" s="1815"/>
      <c r="ACH2" s="1815"/>
      <c r="ACI2" s="1815"/>
      <c r="ACJ2" s="1815"/>
      <c r="ACK2" s="1815"/>
      <c r="ACL2" s="1815"/>
      <c r="ACM2" s="1815"/>
      <c r="ACN2" s="1815"/>
      <c r="ACO2" s="1815"/>
      <c r="ACP2" s="1815"/>
      <c r="ACQ2" s="1815"/>
      <c r="ACR2" s="1815"/>
      <c r="ACS2" s="1815"/>
      <c r="ACT2" s="1815"/>
      <c r="ACU2" s="1815"/>
      <c r="ACV2" s="1815"/>
      <c r="ACW2" s="1815"/>
      <c r="ACX2" s="1815"/>
      <c r="ACY2" s="1815"/>
      <c r="ACZ2" s="1815"/>
      <c r="ADA2" s="1815"/>
      <c r="ADB2" s="1815"/>
      <c r="ADC2" s="1815"/>
      <c r="ADD2" s="1815"/>
      <c r="ADE2" s="1815"/>
      <c r="ADF2" s="1815"/>
      <c r="ADG2" s="1815"/>
      <c r="ADH2" s="1815"/>
      <c r="ADI2" s="1815"/>
      <c r="ADJ2" s="1815"/>
      <c r="ADK2" s="1815"/>
      <c r="ADL2" s="1815"/>
      <c r="ADM2" s="1815"/>
      <c r="ADN2" s="1815"/>
      <c r="ADO2" s="1815"/>
      <c r="ADP2" s="1815"/>
      <c r="ADQ2" s="1815"/>
      <c r="ADR2" s="1815"/>
      <c r="ADS2" s="1815"/>
      <c r="ADT2" s="1815"/>
      <c r="ADU2" s="1815"/>
      <c r="ADV2" s="1815"/>
      <c r="ADW2" s="1815"/>
      <c r="ADX2" s="1815"/>
      <c r="ADY2" s="1815"/>
      <c r="ADZ2" s="1815"/>
      <c r="AEA2" s="1815"/>
      <c r="AEB2" s="1815"/>
      <c r="AEC2" s="1815"/>
      <c r="AED2" s="1815"/>
      <c r="AEE2" s="1815"/>
      <c r="AEF2" s="1815"/>
      <c r="AEG2" s="1815"/>
      <c r="AEH2" s="1815"/>
      <c r="AEI2" s="1815"/>
      <c r="AEJ2" s="1815"/>
      <c r="AEK2" s="1815"/>
      <c r="AEL2" s="1815"/>
      <c r="AEM2" s="1815"/>
      <c r="AEN2" s="1815"/>
      <c r="AEO2" s="1815"/>
      <c r="AEP2" s="1815"/>
      <c r="AEQ2" s="1815"/>
      <c r="AER2" s="1815"/>
      <c r="AES2" s="1815"/>
      <c r="AET2" s="1815"/>
      <c r="AEU2" s="1815"/>
      <c r="AEV2" s="1815"/>
      <c r="AEW2" s="1815"/>
      <c r="AEX2" s="1815"/>
      <c r="AEY2" s="1815"/>
      <c r="AEZ2" s="1815"/>
      <c r="AFA2" s="1815"/>
      <c r="AFB2" s="1815"/>
      <c r="AFC2" s="1815"/>
      <c r="AFD2" s="1815"/>
      <c r="AFE2" s="1815"/>
      <c r="AFF2" s="1815"/>
      <c r="AFG2" s="1815"/>
      <c r="AFH2" s="1815"/>
      <c r="AFI2" s="1815"/>
      <c r="AFJ2" s="1815"/>
      <c r="AFK2" s="1815"/>
      <c r="AFL2" s="1815"/>
      <c r="AFM2" s="1815"/>
      <c r="AFN2" s="1815"/>
      <c r="AFO2" s="1815"/>
      <c r="AFP2" s="1815"/>
      <c r="AFQ2" s="1815"/>
      <c r="AFR2" s="1815"/>
      <c r="AFS2" s="1815"/>
      <c r="AFT2" s="1815"/>
      <c r="AFU2" s="1815"/>
      <c r="AFV2" s="1815"/>
      <c r="AFW2" s="1815"/>
      <c r="AFX2" s="1815"/>
      <c r="AFY2" s="1815"/>
      <c r="AFZ2" s="1815"/>
      <c r="AGA2" s="1815"/>
      <c r="AGB2" s="1815"/>
      <c r="AGC2" s="1815"/>
      <c r="AGD2" s="1815"/>
      <c r="AGE2" s="1815"/>
      <c r="AGF2" s="1815"/>
      <c r="AGG2" s="1815"/>
      <c r="AGH2" s="1815"/>
      <c r="AGI2" s="1815"/>
      <c r="AGJ2" s="1815"/>
      <c r="AGK2" s="1815"/>
      <c r="AGL2" s="1815"/>
      <c r="AGM2" s="1815"/>
      <c r="AGN2" s="1815"/>
      <c r="AGO2" s="1815"/>
      <c r="AGP2" s="1815"/>
      <c r="AGQ2" s="1815"/>
      <c r="AGR2" s="1815"/>
      <c r="AGS2" s="1815"/>
      <c r="AGT2" s="1815"/>
      <c r="AGU2" s="1815"/>
      <c r="AGV2" s="1815"/>
      <c r="AGW2" s="1815"/>
      <c r="AGX2" s="1815"/>
      <c r="AGY2" s="1815"/>
      <c r="AGZ2" s="1815"/>
      <c r="AHA2" s="1815"/>
      <c r="AHB2" s="1815"/>
      <c r="AHC2" s="1815"/>
      <c r="AHD2" s="1815"/>
      <c r="AHE2" s="1815"/>
      <c r="AHF2" s="1815"/>
      <c r="AHG2" s="1815"/>
      <c r="AHH2" s="1815"/>
      <c r="AHI2" s="1815"/>
      <c r="AHJ2" s="1815"/>
      <c r="AHK2" s="1815"/>
      <c r="AHL2" s="1815"/>
      <c r="AHM2" s="1815"/>
      <c r="AHN2" s="1815"/>
      <c r="AHO2" s="1815"/>
      <c r="AHP2" s="1815"/>
      <c r="AHQ2" s="1815"/>
      <c r="AHR2" s="1815"/>
      <c r="AHS2" s="1815"/>
      <c r="AHT2" s="1815"/>
      <c r="AHU2" s="1815"/>
      <c r="AHV2" s="1815"/>
      <c r="AHW2" s="1815"/>
      <c r="AHX2" s="1815"/>
      <c r="AHY2" s="1815"/>
      <c r="AHZ2" s="1815"/>
      <c r="AIA2" s="1815"/>
      <c r="AIB2" s="1815"/>
      <c r="AIC2" s="1815"/>
      <c r="AID2" s="1815"/>
      <c r="AIE2" s="1815"/>
      <c r="AIF2" s="1815"/>
      <c r="AIG2" s="1815"/>
      <c r="AIH2" s="1815"/>
      <c r="AII2" s="1815"/>
      <c r="AIJ2" s="1815"/>
      <c r="AIK2" s="1815"/>
      <c r="AIL2" s="1815"/>
      <c r="AIM2" s="1815"/>
      <c r="AIN2" s="1815"/>
      <c r="AIO2" s="1815"/>
      <c r="AIP2" s="1815"/>
      <c r="AIQ2" s="1815"/>
      <c r="AIR2" s="1815"/>
      <c r="AIS2" s="1815"/>
      <c r="AIT2" s="1815"/>
      <c r="AIU2" s="1815"/>
      <c r="AIV2" s="1815"/>
      <c r="AIW2" s="1815"/>
      <c r="AIX2" s="1815"/>
      <c r="AIY2" s="1815"/>
      <c r="AIZ2" s="1815"/>
      <c r="AJA2" s="1815"/>
      <c r="AJB2" s="1815"/>
      <c r="AJC2" s="1815"/>
      <c r="AJD2" s="1815"/>
      <c r="AJE2" s="1815"/>
      <c r="AJF2" s="1815"/>
      <c r="AJG2" s="1815"/>
      <c r="AJH2" s="1815"/>
      <c r="AJI2" s="1815"/>
      <c r="AJJ2" s="1815"/>
      <c r="AJK2" s="1815"/>
      <c r="AJL2" s="1815"/>
      <c r="AJM2" s="1815"/>
      <c r="AJN2" s="1815"/>
      <c r="AJO2" s="1815"/>
      <c r="AJP2" s="1815"/>
      <c r="AJQ2" s="1815"/>
      <c r="AJR2" s="1815"/>
      <c r="AJS2" s="1815"/>
      <c r="AJT2" s="1815"/>
      <c r="AJU2" s="1815"/>
      <c r="AJV2" s="1815"/>
      <c r="AJW2" s="1815"/>
      <c r="AJX2" s="1815"/>
      <c r="AJY2" s="1815"/>
      <c r="AJZ2" s="1815"/>
      <c r="AKA2" s="1815"/>
      <c r="AKB2" s="1815"/>
      <c r="AKC2" s="1815"/>
      <c r="AKD2" s="1815"/>
      <c r="AKE2" s="1815"/>
      <c r="AKF2" s="1815"/>
      <c r="AKG2" s="1815"/>
      <c r="AKH2" s="1815"/>
      <c r="AKI2" s="1815"/>
      <c r="AKJ2" s="1815"/>
      <c r="AKK2" s="1815"/>
      <c r="AKL2" s="1815"/>
      <c r="AKM2" s="1815"/>
      <c r="AKN2" s="1815"/>
      <c r="AKO2" s="1815"/>
      <c r="AKP2" s="1815"/>
      <c r="AKQ2" s="1815"/>
      <c r="AKR2" s="1815"/>
      <c r="AKS2" s="1815"/>
      <c r="AKT2" s="1815"/>
      <c r="AKU2" s="1815"/>
      <c r="AKV2" s="1815"/>
      <c r="AKW2" s="1815"/>
      <c r="AKX2" s="1815"/>
      <c r="AKY2" s="1815"/>
      <c r="AKZ2" s="1815"/>
      <c r="ALA2" s="1815"/>
      <c r="ALB2" s="1815"/>
      <c r="ALC2" s="1815"/>
      <c r="ALD2" s="1815"/>
      <c r="ALE2" s="1815"/>
      <c r="ALF2" s="1815"/>
      <c r="ALG2" s="1815"/>
      <c r="ALH2" s="1815"/>
      <c r="ALI2" s="1815"/>
      <c r="ALJ2" s="1815"/>
      <c r="ALK2" s="1815"/>
      <c r="ALL2" s="1815"/>
      <c r="ALM2" s="1815"/>
      <c r="ALN2" s="1815"/>
      <c r="ALO2" s="1815"/>
      <c r="ALP2" s="1815"/>
      <c r="ALQ2" s="1815"/>
      <c r="ALR2" s="1815"/>
      <c r="ALS2" s="1815"/>
      <c r="ALT2" s="1815"/>
      <c r="ALU2" s="1815"/>
      <c r="ALV2" s="1815"/>
      <c r="ALW2" s="1815"/>
      <c r="ALX2" s="1815"/>
      <c r="ALY2" s="1815"/>
      <c r="ALZ2" s="1815"/>
      <c r="AMA2" s="1815"/>
      <c r="AMB2" s="1815"/>
      <c r="AMC2" s="1815"/>
      <c r="AMD2" s="1815"/>
      <c r="AME2" s="1815"/>
      <c r="AMF2" s="1815"/>
      <c r="AMG2" s="1815"/>
      <c r="AMH2" s="1815"/>
      <c r="AMI2" s="1815"/>
      <c r="AMJ2" s="1815"/>
      <c r="AMK2" s="1815"/>
      <c r="AML2" s="1815"/>
      <c r="AMM2" s="1815"/>
      <c r="AMN2" s="1815"/>
      <c r="AMO2" s="1815"/>
      <c r="AMP2" s="1815"/>
      <c r="AMQ2" s="1815"/>
      <c r="AMR2" s="1815"/>
      <c r="AMS2" s="1815"/>
      <c r="AMT2" s="1815"/>
      <c r="AMU2" s="1815"/>
      <c r="AMV2" s="1815"/>
      <c r="AMW2" s="1815"/>
      <c r="AMX2" s="1815"/>
      <c r="AMY2" s="1815"/>
      <c r="AMZ2" s="1815"/>
      <c r="ANA2" s="1815"/>
      <c r="ANB2" s="1815"/>
      <c r="ANC2" s="1815"/>
      <c r="AND2" s="1815"/>
      <c r="ANE2" s="1815"/>
      <c r="ANF2" s="1815"/>
      <c r="ANG2" s="1815"/>
      <c r="ANH2" s="1815"/>
      <c r="ANI2" s="1815"/>
      <c r="ANJ2" s="1815"/>
      <c r="ANK2" s="1815"/>
      <c r="ANL2" s="1815"/>
      <c r="ANM2" s="1815"/>
      <c r="ANN2" s="1815"/>
      <c r="ANO2" s="1815"/>
      <c r="ANP2" s="1815"/>
      <c r="ANQ2" s="1815"/>
      <c r="ANR2" s="1815"/>
      <c r="ANS2" s="1815"/>
      <c r="ANT2" s="1815"/>
      <c r="ANU2" s="1815"/>
      <c r="ANV2" s="1815"/>
      <c r="ANW2" s="1815"/>
      <c r="ANX2" s="1815"/>
      <c r="ANY2" s="1815"/>
      <c r="ANZ2" s="1815"/>
      <c r="AOA2" s="1815"/>
      <c r="AOB2" s="1815"/>
      <c r="AOC2" s="1815"/>
      <c r="AOD2" s="1815"/>
      <c r="AOE2" s="1815"/>
      <c r="AOF2" s="1815"/>
      <c r="AOG2" s="1815"/>
      <c r="AOH2" s="1815"/>
      <c r="AOI2" s="1815"/>
      <c r="AOJ2" s="1815"/>
      <c r="AOK2" s="1815"/>
      <c r="AOL2" s="1815"/>
      <c r="AOM2" s="1815"/>
      <c r="AON2" s="1815"/>
      <c r="AOO2" s="1815"/>
      <c r="AOP2" s="1815"/>
      <c r="AOQ2" s="1815"/>
      <c r="AOR2" s="1815"/>
      <c r="AOS2" s="1815"/>
      <c r="AOT2" s="1815"/>
      <c r="AOU2" s="1815"/>
      <c r="AOV2" s="1815"/>
      <c r="AOW2" s="1815"/>
      <c r="AOX2" s="1815"/>
      <c r="AOY2" s="1815"/>
      <c r="AOZ2" s="1815"/>
      <c r="APA2" s="1815"/>
      <c r="APB2" s="1815"/>
      <c r="APC2" s="1815"/>
      <c r="APD2" s="1815"/>
      <c r="APE2" s="1815"/>
      <c r="APF2" s="1815"/>
      <c r="APG2" s="1815"/>
      <c r="APH2" s="1815"/>
      <c r="API2" s="1815"/>
      <c r="APJ2" s="1815"/>
      <c r="APK2" s="1815"/>
      <c r="APL2" s="1815"/>
      <c r="APM2" s="1815"/>
      <c r="APN2" s="1815"/>
      <c r="APO2" s="1815"/>
      <c r="APP2" s="1815"/>
      <c r="APQ2" s="1815"/>
      <c r="APR2" s="1815"/>
      <c r="APS2" s="1815"/>
      <c r="APT2" s="1815"/>
      <c r="APU2" s="1815"/>
      <c r="APV2" s="1815"/>
      <c r="APW2" s="1815"/>
      <c r="APX2" s="1815"/>
      <c r="APY2" s="1815"/>
      <c r="APZ2" s="1815"/>
      <c r="AQA2" s="1815"/>
      <c r="AQB2" s="1815"/>
      <c r="AQC2" s="1815"/>
      <c r="AQD2" s="1815"/>
      <c r="AQE2" s="1815"/>
      <c r="AQF2" s="1815"/>
      <c r="AQG2" s="1815"/>
      <c r="AQH2" s="1815"/>
      <c r="AQI2" s="1815"/>
      <c r="AQJ2" s="1815"/>
      <c r="AQK2" s="1815"/>
      <c r="AQL2" s="1815"/>
      <c r="AQM2" s="1815"/>
      <c r="AQN2" s="1815"/>
      <c r="AQO2" s="1815"/>
      <c r="AQP2" s="1815"/>
      <c r="AQQ2" s="1815"/>
      <c r="AQR2" s="1815"/>
      <c r="AQS2" s="1815"/>
      <c r="AQT2" s="1815"/>
      <c r="AQU2" s="1815"/>
      <c r="AQV2" s="1815"/>
      <c r="AQW2" s="1815"/>
      <c r="AQX2" s="1815"/>
      <c r="AQY2" s="1815"/>
      <c r="AQZ2" s="1815"/>
      <c r="ARA2" s="1815"/>
      <c r="ARB2" s="1815"/>
      <c r="ARC2" s="1815"/>
      <c r="ARD2" s="1815"/>
      <c r="ARE2" s="1815"/>
      <c r="ARF2" s="1815"/>
      <c r="ARG2" s="1815"/>
      <c r="ARH2" s="1815"/>
      <c r="ARI2" s="1815"/>
      <c r="ARJ2" s="1815"/>
      <c r="ARK2" s="1815"/>
      <c r="ARL2" s="1815"/>
      <c r="ARM2" s="1815"/>
      <c r="ARN2" s="1815"/>
      <c r="ARO2" s="1815"/>
      <c r="ARP2" s="1815"/>
      <c r="ARQ2" s="1815"/>
      <c r="ARR2" s="1815"/>
      <c r="ARS2" s="1815"/>
      <c r="ART2" s="1815"/>
      <c r="ARU2" s="1815"/>
      <c r="ARV2" s="1815"/>
      <c r="ARW2" s="1815"/>
      <c r="ARX2" s="1815"/>
      <c r="ARY2" s="1815"/>
      <c r="ARZ2" s="1815"/>
      <c r="ASA2" s="1815"/>
      <c r="ASB2" s="1815"/>
      <c r="ASC2" s="1815"/>
      <c r="ASD2" s="1815"/>
      <c r="ASE2" s="1815"/>
      <c r="ASF2" s="1815"/>
      <c r="ASG2" s="1815"/>
      <c r="ASH2" s="1815"/>
      <c r="ASI2" s="1815"/>
      <c r="ASJ2" s="1815"/>
      <c r="ASK2" s="1815"/>
      <c r="ASL2" s="1815"/>
      <c r="ASM2" s="1815"/>
      <c r="ASN2" s="1815"/>
      <c r="ASO2" s="1815"/>
      <c r="ASP2" s="1815"/>
      <c r="ASQ2" s="1815"/>
      <c r="ASR2" s="1815"/>
      <c r="ASS2" s="1815"/>
      <c r="AST2" s="1815"/>
      <c r="ASU2" s="1815"/>
      <c r="ASV2" s="1815"/>
      <c r="ASW2" s="1815"/>
      <c r="ASX2" s="1815"/>
      <c r="ASY2" s="1815"/>
      <c r="ASZ2" s="1815"/>
      <c r="ATA2" s="1815"/>
      <c r="ATB2" s="1815"/>
      <c r="ATC2" s="1815"/>
      <c r="ATD2" s="1815"/>
      <c r="ATE2" s="1815"/>
      <c r="ATF2" s="1815"/>
      <c r="ATG2" s="1815"/>
      <c r="ATH2" s="1815"/>
      <c r="ATI2" s="1815"/>
      <c r="ATJ2" s="1815"/>
      <c r="ATK2" s="1815"/>
      <c r="ATL2" s="1815"/>
      <c r="ATM2" s="1815"/>
      <c r="ATN2" s="1815"/>
      <c r="ATO2" s="1815"/>
      <c r="ATP2" s="1815"/>
      <c r="ATQ2" s="1815"/>
      <c r="ATR2" s="1815"/>
      <c r="ATS2" s="1815"/>
      <c r="ATT2" s="1815"/>
      <c r="ATU2" s="1815"/>
      <c r="ATV2" s="1815"/>
      <c r="ATW2" s="1815"/>
      <c r="ATX2" s="1815"/>
      <c r="ATY2" s="1815"/>
      <c r="ATZ2" s="1815"/>
      <c r="AUA2" s="1815"/>
      <c r="AUB2" s="1815"/>
      <c r="AUC2" s="1815"/>
      <c r="AUD2" s="1815"/>
      <c r="AUE2" s="1815"/>
      <c r="AUF2" s="1815"/>
      <c r="AUG2" s="1815"/>
      <c r="AUH2" s="1815"/>
      <c r="AUI2" s="1815"/>
      <c r="AUJ2" s="1815"/>
      <c r="AUK2" s="1815"/>
      <c r="AUL2" s="1815"/>
      <c r="AUM2" s="1815"/>
      <c r="AUN2" s="1815"/>
      <c r="AUO2" s="1815"/>
      <c r="AUP2" s="1815"/>
      <c r="AUQ2" s="1815"/>
      <c r="AUR2" s="1815"/>
      <c r="AUS2" s="1815"/>
      <c r="AUT2" s="1815"/>
      <c r="AUU2" s="1815"/>
      <c r="AUV2" s="1815"/>
      <c r="AUW2" s="1815"/>
      <c r="AUX2" s="1815"/>
      <c r="AUY2" s="1815"/>
      <c r="AUZ2" s="1815"/>
      <c r="AVA2" s="1815"/>
      <c r="AVB2" s="1815"/>
      <c r="AVC2" s="1815"/>
      <c r="AVD2" s="1815"/>
      <c r="AVE2" s="1815"/>
      <c r="AVF2" s="1815"/>
      <c r="AVG2" s="1815"/>
      <c r="AVH2" s="1815"/>
      <c r="AVI2" s="1815"/>
      <c r="AVJ2" s="1815"/>
      <c r="AVK2" s="1815"/>
      <c r="AVL2" s="1815"/>
      <c r="AVM2" s="1815"/>
      <c r="AVN2" s="1815"/>
      <c r="AVO2" s="1815"/>
      <c r="AVP2" s="1815"/>
      <c r="AVQ2" s="1815"/>
      <c r="AVR2" s="1815"/>
      <c r="AVS2" s="1815"/>
      <c r="AVT2" s="1815"/>
      <c r="AVU2" s="1815"/>
      <c r="AVV2" s="1815"/>
      <c r="AVW2" s="1815"/>
      <c r="AVX2" s="1815"/>
      <c r="AVY2" s="1815"/>
      <c r="AVZ2" s="1815"/>
      <c r="AWA2" s="1815"/>
      <c r="AWB2" s="1815"/>
      <c r="AWC2" s="1815"/>
      <c r="AWD2" s="1815"/>
      <c r="AWE2" s="1815"/>
      <c r="AWF2" s="1815"/>
      <c r="AWG2" s="1815"/>
      <c r="AWH2" s="1815"/>
      <c r="AWI2" s="1815"/>
      <c r="AWJ2" s="1815"/>
      <c r="AWK2" s="1815"/>
      <c r="AWL2" s="1815"/>
      <c r="AWM2" s="1815"/>
      <c r="AWN2" s="1815"/>
      <c r="AWO2" s="1815"/>
      <c r="AWP2" s="1815"/>
      <c r="AWQ2" s="1815"/>
      <c r="AWR2" s="1815"/>
      <c r="AWS2" s="1815"/>
      <c r="AWT2" s="1815"/>
      <c r="AWU2" s="1815"/>
      <c r="AWV2" s="1815"/>
      <c r="AWW2" s="1815"/>
      <c r="AWX2" s="1815"/>
      <c r="AWY2" s="1815"/>
      <c r="AWZ2" s="1815"/>
      <c r="AXA2" s="1815"/>
      <c r="AXB2" s="1815"/>
      <c r="AXC2" s="1815"/>
      <c r="AXD2" s="1815"/>
      <c r="AXE2" s="1815"/>
      <c r="AXF2" s="1815"/>
      <c r="AXG2" s="1815"/>
      <c r="AXH2" s="1815"/>
      <c r="AXI2" s="1815"/>
      <c r="AXJ2" s="1815"/>
      <c r="AXK2" s="1815"/>
      <c r="AXL2" s="1815"/>
      <c r="AXM2" s="1815"/>
      <c r="AXN2" s="1815"/>
      <c r="AXO2" s="1815"/>
      <c r="AXP2" s="1815"/>
      <c r="AXQ2" s="1815"/>
      <c r="AXR2" s="1815"/>
      <c r="AXS2" s="1815"/>
      <c r="AXT2" s="1815"/>
      <c r="AXU2" s="1815"/>
      <c r="AXV2" s="1815"/>
      <c r="AXW2" s="1815"/>
      <c r="AXX2" s="1815"/>
      <c r="AXY2" s="1815"/>
      <c r="AXZ2" s="1815"/>
      <c r="AYA2" s="1815"/>
      <c r="AYB2" s="1815"/>
      <c r="AYC2" s="1815"/>
      <c r="AYD2" s="1815"/>
      <c r="AYE2" s="1815"/>
      <c r="AYF2" s="1815"/>
      <c r="AYG2" s="1815"/>
      <c r="AYH2" s="1815"/>
      <c r="AYI2" s="1815"/>
      <c r="AYJ2" s="1815"/>
      <c r="AYK2" s="1815"/>
      <c r="AYL2" s="1815"/>
      <c r="AYM2" s="1815"/>
      <c r="AYN2" s="1815"/>
      <c r="AYO2" s="1815"/>
      <c r="AYP2" s="1815"/>
      <c r="AYQ2" s="1815"/>
      <c r="AYR2" s="1815"/>
      <c r="AYS2" s="1815"/>
      <c r="AYT2" s="1815"/>
      <c r="AYU2" s="1815"/>
      <c r="AYV2" s="1815"/>
      <c r="AYW2" s="1815"/>
      <c r="AYX2" s="1815"/>
      <c r="AYY2" s="1815"/>
      <c r="AYZ2" s="1815"/>
      <c r="AZA2" s="1815"/>
      <c r="AZB2" s="1815"/>
      <c r="AZC2" s="1815"/>
      <c r="AZD2" s="1815"/>
      <c r="AZE2" s="1815"/>
      <c r="AZF2" s="1815"/>
      <c r="AZG2" s="1815"/>
      <c r="AZH2" s="1815"/>
      <c r="AZI2" s="1815"/>
      <c r="AZJ2" s="1815"/>
      <c r="AZK2" s="1815"/>
      <c r="AZL2" s="1815"/>
      <c r="AZM2" s="1815"/>
      <c r="AZN2" s="1815"/>
      <c r="AZO2" s="1815"/>
      <c r="AZP2" s="1815"/>
      <c r="AZQ2" s="1815"/>
      <c r="AZR2" s="1815"/>
      <c r="AZS2" s="1815"/>
      <c r="AZT2" s="1815"/>
      <c r="AZU2" s="1815"/>
      <c r="AZV2" s="1815"/>
      <c r="AZW2" s="1815"/>
      <c r="AZX2" s="1815"/>
      <c r="AZY2" s="1815"/>
      <c r="AZZ2" s="1815"/>
      <c r="BAA2" s="1815"/>
      <c r="BAB2" s="1815"/>
      <c r="BAC2" s="1815"/>
      <c r="BAD2" s="1815"/>
      <c r="BAE2" s="1815"/>
      <c r="BAF2" s="1815"/>
      <c r="BAG2" s="1815"/>
      <c r="BAH2" s="1815"/>
      <c r="BAI2" s="1815"/>
      <c r="BAJ2" s="1815"/>
      <c r="BAK2" s="1815"/>
      <c r="BAL2" s="1815"/>
      <c r="BAM2" s="1815"/>
      <c r="BAN2" s="1815"/>
      <c r="BAO2" s="1815"/>
      <c r="BAP2" s="1815"/>
      <c r="BAQ2" s="1815"/>
      <c r="BAR2" s="1815"/>
      <c r="BAS2" s="1815"/>
      <c r="BAT2" s="1815"/>
      <c r="BAU2" s="1815"/>
      <c r="BAV2" s="1815"/>
      <c r="BAW2" s="1815"/>
      <c r="BAX2" s="1815"/>
      <c r="BAY2" s="1815"/>
      <c r="BAZ2" s="1815"/>
      <c r="BBA2" s="1815"/>
      <c r="BBB2" s="1815"/>
      <c r="BBC2" s="1815"/>
      <c r="BBD2" s="1815"/>
      <c r="BBE2" s="1815"/>
      <c r="BBF2" s="1815"/>
      <c r="BBG2" s="1815"/>
      <c r="BBH2" s="1815"/>
      <c r="BBI2" s="1815"/>
      <c r="BBJ2" s="1815"/>
      <c r="BBK2" s="1815"/>
      <c r="BBL2" s="1815"/>
      <c r="BBM2" s="1815"/>
      <c r="BBN2" s="1815"/>
      <c r="BBO2" s="1815"/>
      <c r="BBP2" s="1815"/>
      <c r="BBQ2" s="1815"/>
      <c r="BBR2" s="1815"/>
      <c r="BBS2" s="1815"/>
      <c r="BBT2" s="1815"/>
      <c r="BBU2" s="1815"/>
      <c r="BBV2" s="1815"/>
      <c r="BBW2" s="1815"/>
      <c r="BBX2" s="1815"/>
      <c r="BBY2" s="1815"/>
      <c r="BBZ2" s="1815"/>
      <c r="BCA2" s="1815"/>
      <c r="BCB2" s="1815"/>
      <c r="BCC2" s="1815"/>
      <c r="BCD2" s="1815"/>
      <c r="BCE2" s="1815"/>
      <c r="BCF2" s="1815"/>
      <c r="BCG2" s="1815"/>
      <c r="BCH2" s="1815"/>
      <c r="BCI2" s="1815"/>
      <c r="BCJ2" s="1815"/>
      <c r="BCK2" s="1815"/>
      <c r="BCL2" s="1815"/>
      <c r="BCM2" s="1815"/>
      <c r="BCN2" s="1815"/>
      <c r="BCO2" s="1815"/>
      <c r="BCP2" s="1815"/>
      <c r="BCQ2" s="1815"/>
      <c r="BCR2" s="1815"/>
      <c r="BCS2" s="1815"/>
      <c r="BCT2" s="1815"/>
      <c r="BCU2" s="1815"/>
      <c r="BCV2" s="1815"/>
      <c r="BCW2" s="1815"/>
      <c r="BCX2" s="1815"/>
      <c r="BCY2" s="1815"/>
      <c r="BCZ2" s="1815"/>
      <c r="BDA2" s="1815"/>
      <c r="BDB2" s="1815"/>
      <c r="BDC2" s="1815"/>
      <c r="BDD2" s="1815"/>
      <c r="BDE2" s="1815"/>
      <c r="BDF2" s="1815"/>
      <c r="BDG2" s="1815"/>
      <c r="BDH2" s="1815"/>
      <c r="BDI2" s="1815"/>
      <c r="BDJ2" s="1815"/>
      <c r="BDK2" s="1815"/>
      <c r="BDL2" s="1815"/>
      <c r="BDM2" s="1815"/>
      <c r="BDN2" s="1815"/>
      <c r="BDO2" s="1815"/>
      <c r="BDP2" s="1815"/>
      <c r="BDQ2" s="1815"/>
      <c r="BDR2" s="1815"/>
      <c r="BDS2" s="1815"/>
      <c r="BDT2" s="1815"/>
      <c r="BDU2" s="1815"/>
      <c r="BDV2" s="1815"/>
      <c r="BDW2" s="1815"/>
      <c r="BDX2" s="1815"/>
      <c r="BDY2" s="1815"/>
      <c r="BDZ2" s="1815"/>
      <c r="BEA2" s="1815"/>
      <c r="BEB2" s="1815"/>
      <c r="BEC2" s="1815"/>
      <c r="BED2" s="1815"/>
      <c r="BEE2" s="1815"/>
      <c r="BEF2" s="1815"/>
      <c r="BEG2" s="1815"/>
      <c r="BEH2" s="1815"/>
      <c r="BEI2" s="1815"/>
      <c r="BEJ2" s="1815"/>
      <c r="BEK2" s="1815"/>
      <c r="BEL2" s="1815"/>
      <c r="BEM2" s="1815"/>
      <c r="BEN2" s="1815"/>
      <c r="BEO2" s="1815"/>
      <c r="BEP2" s="1815"/>
      <c r="BEQ2" s="1815"/>
      <c r="BER2" s="1815"/>
      <c r="BES2" s="1815"/>
      <c r="BET2" s="1815"/>
      <c r="BEU2" s="1815"/>
      <c r="BEV2" s="1815"/>
      <c r="BEW2" s="1815"/>
      <c r="BEX2" s="1815"/>
      <c r="BEY2" s="1815"/>
      <c r="BEZ2" s="1815"/>
      <c r="BFA2" s="1815"/>
      <c r="BFB2" s="1815"/>
      <c r="BFC2" s="1815"/>
      <c r="BFD2" s="1815"/>
      <c r="BFE2" s="1815"/>
      <c r="BFF2" s="1815"/>
      <c r="BFG2" s="1815"/>
      <c r="BFH2" s="1815"/>
      <c r="BFI2" s="1815"/>
      <c r="BFJ2" s="1815"/>
      <c r="BFK2" s="1815"/>
      <c r="BFL2" s="1815"/>
      <c r="BFM2" s="1815"/>
      <c r="BFN2" s="1815"/>
      <c r="BFO2" s="1815"/>
      <c r="BFP2" s="1815"/>
      <c r="BFQ2" s="1815"/>
      <c r="BFR2" s="1815"/>
      <c r="BFS2" s="1815"/>
      <c r="BFT2" s="1815"/>
      <c r="BFU2" s="1815"/>
      <c r="BFV2" s="1815"/>
      <c r="BFW2" s="1815"/>
      <c r="BFX2" s="1815"/>
      <c r="BFY2" s="1815"/>
      <c r="BFZ2" s="1815"/>
      <c r="BGA2" s="1815"/>
      <c r="BGB2" s="1815"/>
      <c r="BGC2" s="1815"/>
      <c r="BGD2" s="1815"/>
      <c r="BGE2" s="1815"/>
      <c r="BGF2" s="1815"/>
      <c r="BGG2" s="1815"/>
      <c r="BGH2" s="1815"/>
      <c r="BGI2" s="1815"/>
      <c r="BGJ2" s="1815"/>
      <c r="BGK2" s="1815"/>
      <c r="BGL2" s="1815"/>
      <c r="BGM2" s="1815"/>
      <c r="BGN2" s="1815"/>
      <c r="BGO2" s="1815"/>
      <c r="BGP2" s="1815"/>
      <c r="BGQ2" s="1815"/>
      <c r="BGR2" s="1815"/>
      <c r="BGS2" s="1815"/>
      <c r="BGT2" s="1815"/>
      <c r="BGU2" s="1815"/>
      <c r="BGV2" s="1815"/>
      <c r="BGW2" s="1815"/>
      <c r="BGX2" s="1815"/>
      <c r="BGY2" s="1815"/>
      <c r="BGZ2" s="1815"/>
      <c r="BHA2" s="1815"/>
      <c r="BHB2" s="1815"/>
      <c r="BHC2" s="1815"/>
      <c r="BHD2" s="1815"/>
      <c r="BHE2" s="1815"/>
      <c r="BHF2" s="1815"/>
      <c r="BHG2" s="1815"/>
      <c r="BHH2" s="1815"/>
      <c r="BHI2" s="1815"/>
      <c r="BHJ2" s="1815"/>
      <c r="BHK2" s="1815"/>
      <c r="BHL2" s="1815"/>
      <c r="BHM2" s="1815"/>
      <c r="BHN2" s="1815"/>
      <c r="BHO2" s="1815"/>
      <c r="BHP2" s="1815"/>
      <c r="BHQ2" s="1815"/>
      <c r="BHR2" s="1815"/>
      <c r="BHS2" s="1815"/>
      <c r="BHT2" s="1815"/>
      <c r="BHU2" s="1815"/>
      <c r="BHV2" s="1815"/>
      <c r="BHW2" s="1815"/>
      <c r="BHX2" s="1815"/>
      <c r="BHY2" s="1815"/>
      <c r="BHZ2" s="1815"/>
      <c r="BIA2" s="1815"/>
      <c r="BIB2" s="1815"/>
      <c r="BIC2" s="1815"/>
      <c r="BID2" s="1815"/>
      <c r="BIE2" s="1815"/>
      <c r="BIF2" s="1815"/>
      <c r="BIG2" s="1815"/>
      <c r="BIH2" s="1815"/>
      <c r="BII2" s="1815"/>
      <c r="BIJ2" s="1815"/>
      <c r="BIK2" s="1815"/>
      <c r="BIL2" s="1815"/>
      <c r="BIM2" s="1815"/>
      <c r="BIN2" s="1815"/>
      <c r="BIO2" s="1815"/>
      <c r="BIP2" s="1815"/>
      <c r="BIQ2" s="1815"/>
      <c r="BIR2" s="1815"/>
      <c r="BIS2" s="1815"/>
      <c r="BIT2" s="1815"/>
      <c r="BIU2" s="1815"/>
      <c r="BIV2" s="1815"/>
      <c r="BIW2" s="1815"/>
      <c r="BIX2" s="1815"/>
      <c r="BIY2" s="1815"/>
      <c r="BIZ2" s="1815"/>
      <c r="BJA2" s="1815"/>
      <c r="BJB2" s="1815"/>
      <c r="BJC2" s="1815"/>
      <c r="BJD2" s="1815"/>
      <c r="BJE2" s="1815"/>
      <c r="BJF2" s="1815"/>
      <c r="BJG2" s="1815"/>
      <c r="BJH2" s="1815"/>
      <c r="BJI2" s="1815"/>
      <c r="BJJ2" s="1815"/>
      <c r="BJK2" s="1815"/>
      <c r="BJL2" s="1815"/>
      <c r="BJM2" s="1815"/>
      <c r="BJN2" s="1815"/>
      <c r="BJO2" s="1815"/>
      <c r="BJP2" s="1815"/>
      <c r="BJQ2" s="1815"/>
      <c r="BJR2" s="1815"/>
      <c r="BJS2" s="1815"/>
      <c r="BJT2" s="1815"/>
      <c r="BJU2" s="1815"/>
      <c r="BJV2" s="1815"/>
      <c r="BJW2" s="1815"/>
      <c r="BJX2" s="1815"/>
      <c r="BJY2" s="1815"/>
      <c r="BJZ2" s="1815"/>
      <c r="BKA2" s="1815"/>
      <c r="BKB2" s="1815"/>
      <c r="BKC2" s="1815"/>
      <c r="BKD2" s="1815"/>
      <c r="BKE2" s="1815"/>
      <c r="BKF2" s="1815"/>
      <c r="BKG2" s="1815"/>
      <c r="BKH2" s="1815"/>
      <c r="BKI2" s="1815"/>
      <c r="BKJ2" s="1815"/>
      <c r="BKK2" s="1815"/>
      <c r="BKL2" s="1815"/>
      <c r="BKM2" s="1815"/>
      <c r="BKN2" s="1815"/>
      <c r="BKO2" s="1815"/>
      <c r="BKP2" s="1815"/>
      <c r="BKQ2" s="1815"/>
      <c r="BKR2" s="1815"/>
      <c r="BKS2" s="1815"/>
      <c r="BKT2" s="1815"/>
      <c r="BKU2" s="1815"/>
      <c r="BKV2" s="1815"/>
      <c r="BKW2" s="1815"/>
      <c r="BKX2" s="1815"/>
      <c r="BKY2" s="1815"/>
      <c r="BKZ2" s="1815"/>
      <c r="BLA2" s="1815"/>
      <c r="BLB2" s="1815"/>
      <c r="BLC2" s="1815"/>
      <c r="BLD2" s="1815"/>
      <c r="BLE2" s="1815"/>
      <c r="BLF2" s="1815"/>
      <c r="BLG2" s="1815"/>
      <c r="BLH2" s="1815"/>
      <c r="BLI2" s="1815"/>
      <c r="BLJ2" s="1815"/>
      <c r="BLK2" s="1815"/>
      <c r="BLL2" s="1815"/>
      <c r="BLM2" s="1815"/>
      <c r="BLN2" s="1815"/>
      <c r="BLO2" s="1815"/>
      <c r="BLP2" s="1815"/>
      <c r="BLQ2" s="1815"/>
      <c r="BLR2" s="1815"/>
      <c r="BLS2" s="1815"/>
      <c r="BLT2" s="1815"/>
      <c r="BLU2" s="1815"/>
      <c r="BLV2" s="1815"/>
      <c r="BLW2" s="1815"/>
      <c r="BLX2" s="1815"/>
      <c r="BLY2" s="1815"/>
      <c r="BLZ2" s="1815"/>
      <c r="BMA2" s="1815"/>
      <c r="BMB2" s="1815"/>
      <c r="BMC2" s="1815"/>
      <c r="BMD2" s="1815"/>
      <c r="BME2" s="1815"/>
      <c r="BMF2" s="1815"/>
      <c r="BMG2" s="1815"/>
      <c r="BMH2" s="1815"/>
      <c r="BMI2" s="1815"/>
      <c r="BMJ2" s="1815"/>
      <c r="BMK2" s="1815"/>
      <c r="BML2" s="1815"/>
      <c r="BMM2" s="1815"/>
      <c r="BMN2" s="1815"/>
      <c r="BMO2" s="1815"/>
      <c r="BMP2" s="1815"/>
      <c r="BMQ2" s="1815"/>
      <c r="BMR2" s="1815"/>
      <c r="BMS2" s="1815"/>
      <c r="BMT2" s="1815"/>
      <c r="BMU2" s="1815"/>
      <c r="BMV2" s="1815"/>
      <c r="BMW2" s="1815"/>
      <c r="BMX2" s="1815"/>
      <c r="BMY2" s="1815"/>
      <c r="BMZ2" s="1815"/>
      <c r="BNA2" s="1815"/>
      <c r="BNB2" s="1815"/>
      <c r="BNC2" s="1815"/>
      <c r="BND2" s="1815"/>
      <c r="BNE2" s="1815"/>
      <c r="BNF2" s="1815"/>
      <c r="BNG2" s="1815"/>
      <c r="BNH2" s="1815"/>
      <c r="BNI2" s="1815"/>
      <c r="BNJ2" s="1815"/>
      <c r="BNK2" s="1815"/>
      <c r="BNL2" s="1815"/>
      <c r="BNM2" s="1815"/>
      <c r="BNN2" s="1815"/>
      <c r="BNO2" s="1815"/>
      <c r="BNP2" s="1815"/>
      <c r="BNQ2" s="1815"/>
      <c r="BNR2" s="1815"/>
      <c r="BNS2" s="1815"/>
      <c r="BNT2" s="1815"/>
      <c r="BNU2" s="1815"/>
      <c r="BNV2" s="1815"/>
      <c r="BNW2" s="1815"/>
      <c r="BNX2" s="1815"/>
      <c r="BNY2" s="1815"/>
      <c r="BNZ2" s="1815"/>
      <c r="BOA2" s="1815"/>
      <c r="BOB2" s="1815"/>
      <c r="BOC2" s="1815"/>
      <c r="BOD2" s="1815"/>
      <c r="BOE2" s="1815"/>
      <c r="BOF2" s="1815"/>
      <c r="BOG2" s="1815"/>
      <c r="BOH2" s="1815"/>
      <c r="BOI2" s="1815"/>
      <c r="BOJ2" s="1815"/>
      <c r="BOK2" s="1815"/>
      <c r="BOL2" s="1815"/>
      <c r="BOM2" s="1815"/>
      <c r="BON2" s="1815"/>
      <c r="BOO2" s="1815"/>
      <c r="BOP2" s="1815"/>
      <c r="BOQ2" s="1815"/>
      <c r="BOR2" s="1815"/>
      <c r="BOS2" s="1815"/>
      <c r="BOT2" s="1815"/>
      <c r="BOU2" s="1815"/>
      <c r="BOV2" s="1815"/>
      <c r="BOW2" s="1815"/>
      <c r="BOX2" s="1815"/>
      <c r="BOY2" s="1815"/>
      <c r="BOZ2" s="1815"/>
      <c r="BPA2" s="1815"/>
      <c r="BPB2" s="1815"/>
      <c r="BPC2" s="1815"/>
      <c r="BPD2" s="1815"/>
      <c r="BPE2" s="1815"/>
      <c r="BPF2" s="1815"/>
      <c r="BPG2" s="1815"/>
      <c r="BPH2" s="1815"/>
      <c r="BPI2" s="1815"/>
      <c r="BPJ2" s="1815"/>
      <c r="BPK2" s="1815"/>
      <c r="BPL2" s="1815"/>
      <c r="BPM2" s="1815"/>
      <c r="BPN2" s="1815"/>
      <c r="BPO2" s="1815"/>
      <c r="BPP2" s="1815"/>
      <c r="BPQ2" s="1815"/>
      <c r="BPR2" s="1815"/>
      <c r="BPS2" s="1815"/>
      <c r="BPT2" s="1815"/>
      <c r="BPU2" s="1815"/>
      <c r="BPV2" s="1815"/>
      <c r="BPW2" s="1815"/>
      <c r="BPX2" s="1815"/>
      <c r="BPY2" s="1815"/>
      <c r="BPZ2" s="1815"/>
      <c r="BQA2" s="1815"/>
      <c r="BQB2" s="1815"/>
      <c r="BQC2" s="1815"/>
      <c r="BQD2" s="1815"/>
      <c r="BQE2" s="1815"/>
      <c r="BQF2" s="1815"/>
      <c r="BQG2" s="1815"/>
      <c r="BQH2" s="1815"/>
      <c r="BQI2" s="1815"/>
      <c r="BQJ2" s="1815"/>
      <c r="BQK2" s="1815"/>
      <c r="BQL2" s="1815"/>
      <c r="BQM2" s="1815"/>
      <c r="BQN2" s="1815"/>
      <c r="BQO2" s="1815"/>
      <c r="BQP2" s="1815"/>
      <c r="BQQ2" s="1815"/>
      <c r="BQR2" s="1815"/>
      <c r="BQS2" s="1815"/>
      <c r="BQT2" s="1815"/>
      <c r="BQU2" s="1815"/>
      <c r="BQV2" s="1815"/>
      <c r="BQW2" s="1815"/>
      <c r="BQX2" s="1815"/>
      <c r="BQY2" s="1815"/>
      <c r="BQZ2" s="1815"/>
      <c r="BRA2" s="1815"/>
      <c r="BRB2" s="1815"/>
      <c r="BRC2" s="1815"/>
      <c r="BRD2" s="1815"/>
      <c r="BRE2" s="1815"/>
      <c r="BRF2" s="1815"/>
      <c r="BRG2" s="1815"/>
      <c r="BRH2" s="1815"/>
      <c r="BRI2" s="1815"/>
      <c r="BRJ2" s="1815"/>
      <c r="BRK2" s="1815"/>
      <c r="BRL2" s="1815"/>
      <c r="BRM2" s="1815"/>
      <c r="BRN2" s="1815"/>
      <c r="BRO2" s="1815"/>
      <c r="BRP2" s="1815"/>
      <c r="BRQ2" s="1815"/>
      <c r="BRR2" s="1815"/>
      <c r="BRS2" s="1815"/>
      <c r="BRT2" s="1815"/>
      <c r="BRU2" s="1815"/>
      <c r="BRV2" s="1815"/>
      <c r="BRW2" s="1815"/>
      <c r="BRX2" s="1815"/>
      <c r="BRY2" s="1815"/>
      <c r="BRZ2" s="1815"/>
      <c r="BSA2" s="1815"/>
      <c r="BSB2" s="1815"/>
      <c r="BSC2" s="1815"/>
      <c r="BSD2" s="1815"/>
      <c r="BSE2" s="1815"/>
      <c r="BSF2" s="1815"/>
      <c r="BSG2" s="1815"/>
      <c r="BSH2" s="1815"/>
      <c r="BSI2" s="1815"/>
      <c r="BSJ2" s="1815"/>
      <c r="BSK2" s="1815"/>
      <c r="BSL2" s="1815"/>
      <c r="BSM2" s="1815"/>
      <c r="BSN2" s="1815"/>
      <c r="BSO2" s="1815"/>
      <c r="BSP2" s="1815"/>
      <c r="BSQ2" s="1815"/>
      <c r="BSR2" s="1815"/>
      <c r="BSS2" s="1815"/>
      <c r="BST2" s="1815"/>
      <c r="BSU2" s="1815"/>
      <c r="BSV2" s="1815"/>
      <c r="BSW2" s="1815"/>
      <c r="BSX2" s="1815"/>
      <c r="BSY2" s="1815"/>
      <c r="BSZ2" s="1815"/>
      <c r="BTA2" s="1815"/>
      <c r="BTB2" s="1815"/>
      <c r="BTC2" s="1815"/>
      <c r="BTD2" s="1815"/>
      <c r="BTE2" s="1815"/>
      <c r="BTF2" s="1815"/>
      <c r="BTG2" s="1815"/>
      <c r="BTH2" s="1815"/>
      <c r="BTI2" s="1815"/>
      <c r="BTJ2" s="1815"/>
      <c r="BTK2" s="1815"/>
      <c r="BTL2" s="1815"/>
      <c r="BTM2" s="1815"/>
      <c r="BTN2" s="1815"/>
      <c r="BTO2" s="1815"/>
      <c r="BTP2" s="1815"/>
      <c r="BTQ2" s="1815"/>
      <c r="BTR2" s="1815"/>
      <c r="BTS2" s="1815"/>
      <c r="BTT2" s="1815"/>
      <c r="BTU2" s="1815"/>
      <c r="BTV2" s="1815"/>
      <c r="BTW2" s="1815"/>
      <c r="BTX2" s="1815"/>
      <c r="BTY2" s="1815"/>
      <c r="BTZ2" s="1815"/>
      <c r="BUA2" s="1815"/>
      <c r="BUB2" s="1815"/>
      <c r="BUC2" s="1815"/>
      <c r="BUD2" s="1815"/>
      <c r="BUE2" s="1815"/>
      <c r="BUF2" s="1815"/>
      <c r="BUG2" s="1815"/>
      <c r="BUH2" s="1815"/>
      <c r="BUI2" s="1815"/>
      <c r="BUJ2" s="1815"/>
      <c r="BUK2" s="1815"/>
      <c r="BUL2" s="1815"/>
      <c r="BUM2" s="1815"/>
      <c r="BUN2" s="1815"/>
      <c r="BUO2" s="1815"/>
      <c r="BUP2" s="1815"/>
      <c r="BUQ2" s="1815"/>
      <c r="BUR2" s="1815"/>
      <c r="BUS2" s="1815"/>
      <c r="BUT2" s="1815"/>
      <c r="BUU2" s="1815"/>
      <c r="BUV2" s="1815"/>
      <c r="BUW2" s="1815"/>
      <c r="BUX2" s="1815"/>
      <c r="BUY2" s="1815"/>
      <c r="BUZ2" s="1815"/>
      <c r="BVA2" s="1815"/>
      <c r="BVB2" s="1815"/>
      <c r="BVC2" s="1815"/>
      <c r="BVD2" s="1815"/>
      <c r="BVE2" s="1815"/>
      <c r="BVF2" s="1815"/>
      <c r="BVG2" s="1815"/>
      <c r="BVH2" s="1815"/>
      <c r="BVI2" s="1815"/>
      <c r="BVJ2" s="1815"/>
      <c r="BVK2" s="1815"/>
      <c r="BVL2" s="1815"/>
      <c r="BVM2" s="1815"/>
      <c r="BVN2" s="1815"/>
      <c r="BVO2" s="1815"/>
      <c r="BVP2" s="1815"/>
      <c r="BVQ2" s="1815"/>
      <c r="BVR2" s="1815"/>
      <c r="BVS2" s="1815"/>
      <c r="BVT2" s="1815"/>
      <c r="BVU2" s="1815"/>
      <c r="BVV2" s="1815"/>
      <c r="BVW2" s="1815"/>
      <c r="BVX2" s="1815"/>
      <c r="BVY2" s="1815"/>
      <c r="BVZ2" s="1815"/>
      <c r="BWA2" s="1815"/>
      <c r="BWB2" s="1815"/>
      <c r="BWC2" s="1815"/>
      <c r="BWD2" s="1815"/>
      <c r="BWE2" s="1815"/>
      <c r="BWF2" s="1815"/>
      <c r="BWG2" s="1815"/>
      <c r="BWH2" s="1815"/>
      <c r="BWI2" s="1815"/>
      <c r="BWJ2" s="1815"/>
      <c r="BWK2" s="1815"/>
      <c r="BWL2" s="1815"/>
      <c r="BWM2" s="1815"/>
      <c r="BWN2" s="1815"/>
      <c r="BWO2" s="1815"/>
      <c r="BWP2" s="1815"/>
      <c r="BWQ2" s="1815"/>
      <c r="BWR2" s="1815"/>
      <c r="BWS2" s="1815"/>
      <c r="BWT2" s="1815"/>
      <c r="BWU2" s="1815"/>
      <c r="BWV2" s="1815"/>
      <c r="BWW2" s="1815"/>
      <c r="BWX2" s="1815"/>
      <c r="BWY2" s="1815"/>
      <c r="BWZ2" s="1815"/>
      <c r="BXA2" s="1815"/>
      <c r="BXB2" s="1815"/>
      <c r="BXC2" s="1815"/>
      <c r="BXD2" s="1815"/>
      <c r="BXE2" s="1815"/>
      <c r="BXF2" s="1815"/>
      <c r="BXG2" s="1815"/>
      <c r="BXH2" s="1815"/>
      <c r="BXI2" s="1815"/>
      <c r="BXJ2" s="1815"/>
      <c r="BXK2" s="1815"/>
      <c r="BXL2" s="1815"/>
      <c r="BXM2" s="1815"/>
      <c r="BXN2" s="1815"/>
      <c r="BXO2" s="1815"/>
      <c r="BXP2" s="1815"/>
      <c r="BXQ2" s="1815"/>
      <c r="BXR2" s="1815"/>
      <c r="BXS2" s="1815"/>
      <c r="BXT2" s="1815"/>
      <c r="BXU2" s="1815"/>
      <c r="BXV2" s="1815"/>
      <c r="BXW2" s="1815"/>
      <c r="BXX2" s="1815"/>
      <c r="BXY2" s="1815"/>
      <c r="BXZ2" s="1815"/>
      <c r="BYA2" s="1815"/>
      <c r="BYB2" s="1815"/>
      <c r="BYC2" s="1815"/>
      <c r="BYD2" s="1815"/>
      <c r="BYE2" s="1815"/>
      <c r="BYF2" s="1815"/>
      <c r="BYG2" s="1815"/>
      <c r="BYH2" s="1815"/>
      <c r="BYI2" s="1815"/>
      <c r="BYJ2" s="1815"/>
      <c r="BYK2" s="1815"/>
      <c r="BYL2" s="1815"/>
      <c r="BYM2" s="1815"/>
      <c r="BYN2" s="1815"/>
      <c r="BYO2" s="1815"/>
      <c r="BYP2" s="1815"/>
      <c r="BYQ2" s="1815"/>
      <c r="BYR2" s="1815"/>
      <c r="BYS2" s="1815"/>
      <c r="BYT2" s="1815"/>
      <c r="BYU2" s="1815"/>
      <c r="BYV2" s="1815"/>
      <c r="BYW2" s="1815"/>
      <c r="BYX2" s="1815"/>
      <c r="BYY2" s="1815"/>
      <c r="BYZ2" s="1815"/>
      <c r="BZA2" s="1815"/>
      <c r="BZB2" s="1815"/>
      <c r="BZC2" s="1815"/>
      <c r="BZD2" s="1815"/>
      <c r="BZE2" s="1815"/>
      <c r="BZF2" s="1815"/>
      <c r="BZG2" s="1815"/>
      <c r="BZH2" s="1815"/>
      <c r="BZI2" s="1815"/>
      <c r="BZJ2" s="1815"/>
      <c r="BZK2" s="1815"/>
      <c r="BZL2" s="1815"/>
      <c r="BZM2" s="1815"/>
      <c r="BZN2" s="1815"/>
      <c r="BZO2" s="1815"/>
      <c r="BZP2" s="1815"/>
      <c r="BZQ2" s="1815"/>
      <c r="BZR2" s="1815"/>
      <c r="BZS2" s="1815"/>
      <c r="BZT2" s="1815"/>
      <c r="BZU2" s="1815"/>
      <c r="BZV2" s="1815"/>
      <c r="BZW2" s="1815"/>
      <c r="BZX2" s="1815"/>
      <c r="BZY2" s="1815"/>
      <c r="BZZ2" s="1815"/>
      <c r="CAA2" s="1815"/>
      <c r="CAB2" s="1815"/>
      <c r="CAC2" s="1815"/>
      <c r="CAD2" s="1815"/>
      <c r="CAE2" s="1815"/>
      <c r="CAF2" s="1815"/>
      <c r="CAG2" s="1815"/>
      <c r="CAH2" s="1815"/>
      <c r="CAI2" s="1815"/>
      <c r="CAJ2" s="1815"/>
      <c r="CAK2" s="1815"/>
      <c r="CAL2" s="1815"/>
      <c r="CAM2" s="1815"/>
      <c r="CAN2" s="1815"/>
      <c r="CAO2" s="1815"/>
      <c r="CAP2" s="1815"/>
      <c r="CAQ2" s="1815"/>
      <c r="CAR2" s="1815"/>
      <c r="CAS2" s="1815"/>
      <c r="CAT2" s="1815"/>
      <c r="CAU2" s="1815"/>
      <c r="CAV2" s="1815"/>
      <c r="CAW2" s="1815"/>
      <c r="CAX2" s="1815"/>
      <c r="CAY2" s="1815"/>
      <c r="CAZ2" s="1815"/>
      <c r="CBA2" s="1815"/>
      <c r="CBB2" s="1815"/>
      <c r="CBC2" s="1815"/>
      <c r="CBD2" s="1815"/>
      <c r="CBE2" s="1815"/>
      <c r="CBF2" s="1815"/>
      <c r="CBG2" s="1815"/>
      <c r="CBH2" s="1815"/>
      <c r="CBI2" s="1815"/>
      <c r="CBJ2" s="1815"/>
      <c r="CBK2" s="1815"/>
      <c r="CBL2" s="1815"/>
      <c r="CBM2" s="1815"/>
      <c r="CBN2" s="1815"/>
      <c r="CBO2" s="1815"/>
      <c r="CBP2" s="1815"/>
      <c r="CBQ2" s="1815"/>
      <c r="CBR2" s="1815"/>
      <c r="CBS2" s="1815"/>
      <c r="CBT2" s="1815"/>
      <c r="CBU2" s="1815"/>
      <c r="CBV2" s="1815"/>
      <c r="CBW2" s="1815"/>
      <c r="CBX2" s="1815"/>
      <c r="CBY2" s="1815"/>
      <c r="CBZ2" s="1815"/>
      <c r="CCA2" s="1815"/>
      <c r="CCB2" s="1815"/>
      <c r="CCC2" s="1815"/>
      <c r="CCD2" s="1815"/>
      <c r="CCE2" s="1815"/>
      <c r="CCF2" s="1815"/>
      <c r="CCG2" s="1815"/>
      <c r="CCH2" s="1815"/>
      <c r="CCI2" s="1815"/>
      <c r="CCJ2" s="1815"/>
      <c r="CCK2" s="1815"/>
      <c r="CCL2" s="1815"/>
      <c r="CCM2" s="1815"/>
      <c r="CCN2" s="1815"/>
      <c r="CCO2" s="1815"/>
      <c r="CCP2" s="1815"/>
      <c r="CCQ2" s="1815"/>
      <c r="CCR2" s="1815"/>
      <c r="CCS2" s="1815"/>
      <c r="CCT2" s="1815"/>
      <c r="CCU2" s="1815"/>
      <c r="CCV2" s="1815"/>
      <c r="CCW2" s="1815"/>
      <c r="CCX2" s="1815"/>
      <c r="CCY2" s="1815"/>
      <c r="CCZ2" s="1815"/>
      <c r="CDA2" s="1815"/>
      <c r="CDB2" s="1815"/>
      <c r="CDC2" s="1815"/>
      <c r="CDD2" s="1815"/>
      <c r="CDE2" s="1815"/>
      <c r="CDF2" s="1815"/>
      <c r="CDG2" s="1815"/>
      <c r="CDH2" s="1815"/>
      <c r="CDI2" s="1815"/>
      <c r="CDJ2" s="1815"/>
      <c r="CDK2" s="1815"/>
      <c r="CDL2" s="1815"/>
      <c r="CDM2" s="1815"/>
      <c r="CDN2" s="1815"/>
      <c r="CDO2" s="1815"/>
      <c r="CDP2" s="1815"/>
      <c r="CDQ2" s="1815"/>
      <c r="CDR2" s="1815"/>
      <c r="CDS2" s="1815"/>
      <c r="CDT2" s="1815"/>
      <c r="CDU2" s="1815"/>
      <c r="CDV2" s="1815"/>
      <c r="CDW2" s="1815"/>
      <c r="CDX2" s="1815"/>
      <c r="CDY2" s="1815"/>
      <c r="CDZ2" s="1815"/>
      <c r="CEA2" s="1815"/>
      <c r="CEB2" s="1815"/>
      <c r="CEC2" s="1815"/>
      <c r="CED2" s="1815"/>
      <c r="CEE2" s="1815"/>
      <c r="CEF2" s="1815"/>
      <c r="CEG2" s="1815"/>
      <c r="CEH2" s="1815"/>
      <c r="CEI2" s="1815"/>
      <c r="CEJ2" s="1815"/>
      <c r="CEK2" s="1815"/>
      <c r="CEL2" s="1815"/>
      <c r="CEM2" s="1815"/>
      <c r="CEN2" s="1815"/>
      <c r="CEO2" s="1815"/>
      <c r="CEP2" s="1815"/>
      <c r="CEQ2" s="1815"/>
      <c r="CER2" s="1815"/>
      <c r="CES2" s="1815"/>
      <c r="CET2" s="1815"/>
      <c r="CEU2" s="1815"/>
      <c r="CEV2" s="1815"/>
      <c r="CEW2" s="1815"/>
      <c r="CEX2" s="1815"/>
      <c r="CEY2" s="1815"/>
      <c r="CEZ2" s="1815"/>
      <c r="CFA2" s="1815"/>
      <c r="CFB2" s="1815"/>
      <c r="CFC2" s="1815"/>
      <c r="CFD2" s="1815"/>
      <c r="CFE2" s="1815"/>
      <c r="CFF2" s="1815"/>
      <c r="CFG2" s="1815"/>
      <c r="CFH2" s="1815"/>
      <c r="CFI2" s="1815"/>
      <c r="CFJ2" s="1815"/>
      <c r="CFK2" s="1815"/>
      <c r="CFL2" s="1815"/>
      <c r="CFM2" s="1815"/>
      <c r="CFN2" s="1815"/>
      <c r="CFO2" s="1815"/>
      <c r="CFP2" s="1815"/>
      <c r="CFQ2" s="1815"/>
      <c r="CFR2" s="1815"/>
      <c r="CFS2" s="1815"/>
      <c r="CFT2" s="1815"/>
      <c r="CFU2" s="1815"/>
      <c r="CFV2" s="1815"/>
      <c r="CFW2" s="1815"/>
      <c r="CFX2" s="1815"/>
      <c r="CFY2" s="1815"/>
      <c r="CFZ2" s="1815"/>
      <c r="CGA2" s="1815"/>
      <c r="CGB2" s="1815"/>
      <c r="CGC2" s="1815"/>
      <c r="CGD2" s="1815"/>
      <c r="CGE2" s="1815"/>
      <c r="CGF2" s="1815"/>
      <c r="CGG2" s="1815"/>
      <c r="CGH2" s="1815"/>
      <c r="CGI2" s="1815"/>
      <c r="CGJ2" s="1815"/>
      <c r="CGK2" s="1815"/>
      <c r="CGL2" s="1815"/>
      <c r="CGM2" s="1815"/>
      <c r="CGN2" s="1815"/>
      <c r="CGO2" s="1815"/>
      <c r="CGP2" s="1815"/>
      <c r="CGQ2" s="1815"/>
      <c r="CGR2" s="1815"/>
      <c r="CGS2" s="1815"/>
      <c r="CGT2" s="1815"/>
      <c r="CGU2" s="1815"/>
      <c r="CGV2" s="1815"/>
      <c r="CGW2" s="1815"/>
      <c r="CGX2" s="1815"/>
      <c r="CGY2" s="1815"/>
      <c r="CGZ2" s="1815"/>
      <c r="CHA2" s="1815"/>
      <c r="CHB2" s="1815"/>
      <c r="CHC2" s="1815"/>
      <c r="CHD2" s="1815"/>
      <c r="CHE2" s="1815"/>
      <c r="CHF2" s="1815"/>
      <c r="CHG2" s="1815"/>
      <c r="CHH2" s="1815"/>
      <c r="CHI2" s="1815"/>
      <c r="CHJ2" s="1815"/>
      <c r="CHK2" s="1815"/>
      <c r="CHL2" s="1815"/>
      <c r="CHM2" s="1815"/>
      <c r="CHN2" s="1815"/>
      <c r="CHO2" s="1815"/>
      <c r="CHP2" s="1815"/>
      <c r="CHQ2" s="1815"/>
      <c r="CHR2" s="1815"/>
      <c r="CHS2" s="1815"/>
      <c r="CHT2" s="1815"/>
      <c r="CHU2" s="1815"/>
      <c r="CHV2" s="1815"/>
      <c r="CHW2" s="1815"/>
      <c r="CHX2" s="1815"/>
      <c r="CHY2" s="1815"/>
      <c r="CHZ2" s="1815"/>
      <c r="CIA2" s="1815"/>
      <c r="CIB2" s="1815"/>
      <c r="CIC2" s="1815"/>
      <c r="CID2" s="1815"/>
      <c r="CIE2" s="1815"/>
      <c r="CIF2" s="1815"/>
      <c r="CIG2" s="1815"/>
      <c r="CIH2" s="1815"/>
      <c r="CII2" s="1815"/>
      <c r="CIJ2" s="1815"/>
      <c r="CIK2" s="1815"/>
      <c r="CIL2" s="1815"/>
      <c r="CIM2" s="1815"/>
      <c r="CIN2" s="1815"/>
      <c r="CIO2" s="1815"/>
      <c r="CIP2" s="1815"/>
      <c r="CIQ2" s="1815"/>
      <c r="CIR2" s="1815"/>
      <c r="CIS2" s="1815"/>
      <c r="CIT2" s="1815"/>
      <c r="CIU2" s="1815"/>
      <c r="CIV2" s="1815"/>
      <c r="CIW2" s="1815"/>
      <c r="CIX2" s="1815"/>
      <c r="CIY2" s="1815"/>
      <c r="CIZ2" s="1815"/>
      <c r="CJA2" s="1815"/>
      <c r="CJB2" s="1815"/>
      <c r="CJC2" s="1815"/>
      <c r="CJD2" s="1815"/>
      <c r="CJE2" s="1815"/>
      <c r="CJF2" s="1815"/>
      <c r="CJG2" s="1815"/>
      <c r="CJH2" s="1815"/>
      <c r="CJI2" s="1815"/>
      <c r="CJJ2" s="1815"/>
      <c r="CJK2" s="1815"/>
      <c r="CJL2" s="1815"/>
      <c r="CJM2" s="1815"/>
      <c r="CJN2" s="1815"/>
      <c r="CJO2" s="1815"/>
      <c r="CJP2" s="1815"/>
      <c r="CJQ2" s="1815"/>
      <c r="CJR2" s="1815"/>
      <c r="CJS2" s="1815"/>
      <c r="CJT2" s="1815"/>
      <c r="CJU2" s="1815"/>
      <c r="CJV2" s="1815"/>
      <c r="CJW2" s="1815"/>
      <c r="CJX2" s="1815"/>
      <c r="CJY2" s="1815"/>
      <c r="CJZ2" s="1815"/>
      <c r="CKA2" s="1815"/>
      <c r="CKB2" s="1815"/>
      <c r="CKC2" s="1815"/>
      <c r="CKD2" s="1815"/>
      <c r="CKE2" s="1815"/>
      <c r="CKF2" s="1815"/>
      <c r="CKG2" s="1815"/>
      <c r="CKH2" s="1815"/>
      <c r="CKI2" s="1815"/>
      <c r="CKJ2" s="1815"/>
      <c r="CKK2" s="1815"/>
      <c r="CKL2" s="1815"/>
      <c r="CKM2" s="1815"/>
      <c r="CKN2" s="1815"/>
      <c r="CKO2" s="1815"/>
      <c r="CKP2" s="1815"/>
      <c r="CKQ2" s="1815"/>
      <c r="CKR2" s="1815"/>
      <c r="CKS2" s="1815"/>
      <c r="CKT2" s="1815"/>
      <c r="CKU2" s="1815"/>
      <c r="CKV2" s="1815"/>
      <c r="CKW2" s="1815"/>
      <c r="CKX2" s="1815"/>
      <c r="CKY2" s="1815"/>
      <c r="CKZ2" s="1815"/>
      <c r="CLA2" s="1815"/>
      <c r="CLB2" s="1815"/>
      <c r="CLC2" s="1815"/>
      <c r="CLD2" s="1815"/>
      <c r="CLE2" s="1815"/>
      <c r="CLF2" s="1815"/>
      <c r="CLG2" s="1815"/>
      <c r="CLH2" s="1815"/>
      <c r="CLI2" s="1815"/>
      <c r="CLJ2" s="1815"/>
      <c r="CLK2" s="1815"/>
      <c r="CLL2" s="1815"/>
      <c r="CLM2" s="1815"/>
      <c r="CLN2" s="1815"/>
      <c r="CLO2" s="1815"/>
      <c r="CLP2" s="1815"/>
      <c r="CLQ2" s="1815"/>
      <c r="CLR2" s="1815"/>
      <c r="CLS2" s="1815"/>
      <c r="CLT2" s="1815"/>
      <c r="CLU2" s="1815"/>
      <c r="CLV2" s="1815"/>
      <c r="CLW2" s="1815"/>
      <c r="CLX2" s="1815"/>
      <c r="CLY2" s="1815"/>
      <c r="CLZ2" s="1815"/>
      <c r="CMA2" s="1815"/>
      <c r="CMB2" s="1815"/>
      <c r="CMC2" s="1815"/>
      <c r="CMD2" s="1815"/>
      <c r="CME2" s="1815"/>
      <c r="CMF2" s="1815"/>
      <c r="CMG2" s="1815"/>
      <c r="CMH2" s="1815"/>
      <c r="CMI2" s="1815"/>
      <c r="CMJ2" s="1815"/>
      <c r="CMK2" s="1815"/>
      <c r="CML2" s="1815"/>
      <c r="CMM2" s="1815"/>
      <c r="CMN2" s="1815"/>
      <c r="CMO2" s="1815"/>
      <c r="CMP2" s="1815"/>
      <c r="CMQ2" s="1815"/>
      <c r="CMR2" s="1815"/>
      <c r="CMS2" s="1815"/>
      <c r="CMT2" s="1815"/>
      <c r="CMU2" s="1815"/>
      <c r="CMV2" s="1815"/>
      <c r="CMW2" s="1815"/>
      <c r="CMX2" s="1815"/>
      <c r="CMY2" s="1815"/>
      <c r="CMZ2" s="1815"/>
      <c r="CNA2" s="1815"/>
      <c r="CNB2" s="1815"/>
      <c r="CNC2" s="1815"/>
      <c r="CND2" s="1815"/>
      <c r="CNE2" s="1815"/>
      <c r="CNF2" s="1815"/>
      <c r="CNG2" s="1815"/>
      <c r="CNH2" s="1815"/>
      <c r="CNI2" s="1815"/>
      <c r="CNJ2" s="1815"/>
      <c r="CNK2" s="1815"/>
      <c r="CNL2" s="1815"/>
      <c r="CNM2" s="1815"/>
      <c r="CNN2" s="1815"/>
      <c r="CNO2" s="1815"/>
      <c r="CNP2" s="1815"/>
      <c r="CNQ2" s="1815"/>
      <c r="CNR2" s="1815"/>
      <c r="CNS2" s="1815"/>
      <c r="CNT2" s="1815"/>
      <c r="CNU2" s="1815"/>
      <c r="CNV2" s="1815"/>
      <c r="CNW2" s="1815"/>
      <c r="CNX2" s="1815"/>
      <c r="CNY2" s="1815"/>
      <c r="CNZ2" s="1815"/>
      <c r="COA2" s="1815"/>
      <c r="COB2" s="1815"/>
      <c r="COC2" s="1815"/>
      <c r="COD2" s="1815"/>
      <c r="COE2" s="1815"/>
      <c r="COF2" s="1815"/>
      <c r="COG2" s="1815"/>
      <c r="COH2" s="1815"/>
      <c r="COI2" s="1815"/>
      <c r="COJ2" s="1815"/>
      <c r="COK2" s="1815"/>
      <c r="COL2" s="1815"/>
      <c r="COM2" s="1815"/>
      <c r="CON2" s="1815"/>
      <c r="COO2" s="1815"/>
      <c r="COP2" s="1815"/>
      <c r="COQ2" s="1815"/>
      <c r="COR2" s="1815"/>
      <c r="COS2" s="1815"/>
      <c r="COT2" s="1815"/>
      <c r="COU2" s="1815"/>
      <c r="COV2" s="1815"/>
      <c r="COW2" s="1815"/>
      <c r="COX2" s="1815"/>
      <c r="COY2" s="1815"/>
      <c r="COZ2" s="1815"/>
      <c r="CPA2" s="1815"/>
      <c r="CPB2" s="1815"/>
      <c r="CPC2" s="1815"/>
      <c r="CPD2" s="1815"/>
      <c r="CPE2" s="1815"/>
      <c r="CPF2" s="1815"/>
      <c r="CPG2" s="1815"/>
      <c r="CPH2" s="1815"/>
      <c r="CPI2" s="1815"/>
      <c r="CPJ2" s="1815"/>
      <c r="CPK2" s="1815"/>
      <c r="CPL2" s="1815"/>
      <c r="CPM2" s="1815"/>
      <c r="CPN2" s="1815"/>
      <c r="CPO2" s="1815"/>
      <c r="CPP2" s="1815"/>
      <c r="CPQ2" s="1815"/>
      <c r="CPR2" s="1815"/>
      <c r="CPS2" s="1815"/>
      <c r="CPT2" s="1815"/>
      <c r="CPU2" s="1815"/>
      <c r="CPV2" s="1815"/>
      <c r="CPW2" s="1815"/>
      <c r="CPX2" s="1815"/>
      <c r="CPY2" s="1815"/>
      <c r="CPZ2" s="1815"/>
      <c r="CQA2" s="1815"/>
      <c r="CQB2" s="1815"/>
      <c r="CQC2" s="1815"/>
      <c r="CQD2" s="1815"/>
      <c r="CQE2" s="1815"/>
      <c r="CQF2" s="1815"/>
      <c r="CQG2" s="1815"/>
      <c r="CQH2" s="1815"/>
      <c r="CQI2" s="1815"/>
      <c r="CQJ2" s="1815"/>
      <c r="CQK2" s="1815"/>
      <c r="CQL2" s="1815"/>
      <c r="CQM2" s="1815"/>
      <c r="CQN2" s="1815"/>
      <c r="CQO2" s="1815"/>
      <c r="CQP2" s="1815"/>
      <c r="CQQ2" s="1815"/>
      <c r="CQR2" s="1815"/>
      <c r="CQS2" s="1815"/>
      <c r="CQT2" s="1815"/>
      <c r="CQU2" s="1815"/>
      <c r="CQV2" s="1815"/>
      <c r="CQW2" s="1815"/>
      <c r="CQX2" s="1815"/>
      <c r="CQY2" s="1815"/>
      <c r="CQZ2" s="1815"/>
      <c r="CRA2" s="1815"/>
      <c r="CRB2" s="1815"/>
      <c r="CRC2" s="1815"/>
      <c r="CRD2" s="1815"/>
      <c r="CRE2" s="1815"/>
      <c r="CRF2" s="1815"/>
      <c r="CRG2" s="1815"/>
      <c r="CRH2" s="1815"/>
      <c r="CRI2" s="1815"/>
      <c r="CRJ2" s="1815"/>
      <c r="CRK2" s="1815"/>
      <c r="CRL2" s="1815"/>
      <c r="CRM2" s="1815"/>
      <c r="CRN2" s="1815"/>
      <c r="CRO2" s="1815"/>
      <c r="CRP2" s="1815"/>
      <c r="CRQ2" s="1815"/>
      <c r="CRR2" s="1815"/>
      <c r="CRS2" s="1815"/>
      <c r="CRT2" s="1815"/>
      <c r="CRU2" s="1815"/>
      <c r="CRV2" s="1815"/>
      <c r="CRW2" s="1815"/>
      <c r="CRX2" s="1815"/>
      <c r="CRY2" s="1815"/>
      <c r="CRZ2" s="1815"/>
      <c r="CSA2" s="1815"/>
      <c r="CSB2" s="1815"/>
      <c r="CSC2" s="1815"/>
      <c r="CSD2" s="1815"/>
      <c r="CSE2" s="1815"/>
      <c r="CSF2" s="1815"/>
      <c r="CSG2" s="1815"/>
      <c r="CSH2" s="1815"/>
      <c r="CSI2" s="1815"/>
      <c r="CSJ2" s="1815"/>
      <c r="CSK2" s="1815"/>
      <c r="CSL2" s="1815"/>
      <c r="CSM2" s="1815"/>
      <c r="CSN2" s="1815"/>
      <c r="CSO2" s="1815"/>
      <c r="CSP2" s="1815"/>
      <c r="CSQ2" s="1815"/>
      <c r="CSR2" s="1815"/>
      <c r="CSS2" s="1815"/>
      <c r="CST2" s="1815"/>
      <c r="CSU2" s="1815"/>
      <c r="CSV2" s="1815"/>
      <c r="CSW2" s="1815"/>
      <c r="CSX2" s="1815"/>
      <c r="CSY2" s="1815"/>
      <c r="CSZ2" s="1815"/>
      <c r="CTA2" s="1815"/>
      <c r="CTB2" s="1815"/>
      <c r="CTC2" s="1815"/>
      <c r="CTD2" s="1815"/>
      <c r="CTE2" s="1815"/>
      <c r="CTF2" s="1815"/>
      <c r="CTG2" s="1815"/>
      <c r="CTH2" s="1815"/>
      <c r="CTI2" s="1815"/>
      <c r="CTJ2" s="1815"/>
      <c r="CTK2" s="1815"/>
      <c r="CTL2" s="1815"/>
      <c r="CTM2" s="1815"/>
      <c r="CTN2" s="1815"/>
      <c r="CTO2" s="1815"/>
      <c r="CTP2" s="1815"/>
      <c r="CTQ2" s="1815"/>
      <c r="CTR2" s="1815"/>
      <c r="CTS2" s="1815"/>
      <c r="CTT2" s="1815"/>
      <c r="CTU2" s="1815"/>
      <c r="CTV2" s="1815"/>
      <c r="CTW2" s="1815"/>
      <c r="CTX2" s="1815"/>
      <c r="CTY2" s="1815"/>
      <c r="CTZ2" s="1815"/>
      <c r="CUA2" s="1815"/>
      <c r="CUB2" s="1815"/>
      <c r="CUC2" s="1815"/>
      <c r="CUD2" s="1815"/>
      <c r="CUE2" s="1815"/>
      <c r="CUF2" s="1815"/>
      <c r="CUG2" s="1815"/>
      <c r="CUH2" s="1815"/>
      <c r="CUI2" s="1815"/>
      <c r="CUJ2" s="1815"/>
      <c r="CUK2" s="1815"/>
      <c r="CUL2" s="1815"/>
      <c r="CUM2" s="1815"/>
      <c r="CUN2" s="1815"/>
      <c r="CUO2" s="1815"/>
      <c r="CUP2" s="1815"/>
      <c r="CUQ2" s="1815"/>
      <c r="CUR2" s="1815"/>
      <c r="CUS2" s="1815"/>
      <c r="CUT2" s="1815"/>
      <c r="CUU2" s="1815"/>
      <c r="CUV2" s="1815"/>
      <c r="CUW2" s="1815"/>
      <c r="CUX2" s="1815"/>
      <c r="CUY2" s="1815"/>
      <c r="CUZ2" s="1815"/>
      <c r="CVA2" s="1815"/>
      <c r="CVB2" s="1815"/>
      <c r="CVC2" s="1815"/>
      <c r="CVD2" s="1815"/>
      <c r="CVE2" s="1815"/>
      <c r="CVF2" s="1815"/>
      <c r="CVG2" s="1815"/>
      <c r="CVH2" s="1815"/>
      <c r="CVI2" s="1815"/>
      <c r="CVJ2" s="1815"/>
      <c r="CVK2" s="1815"/>
      <c r="CVL2" s="1815"/>
      <c r="CVM2" s="1815"/>
      <c r="CVN2" s="1815"/>
      <c r="CVO2" s="1815"/>
      <c r="CVP2" s="1815"/>
      <c r="CVQ2" s="1815"/>
      <c r="CVR2" s="1815"/>
      <c r="CVS2" s="1815"/>
      <c r="CVT2" s="1815"/>
      <c r="CVU2" s="1815"/>
      <c r="CVV2" s="1815"/>
      <c r="CVW2" s="1815"/>
      <c r="CVX2" s="1815"/>
      <c r="CVY2" s="1815"/>
      <c r="CVZ2" s="1815"/>
      <c r="CWA2" s="1815"/>
      <c r="CWB2" s="1815"/>
      <c r="CWC2" s="1815"/>
      <c r="CWD2" s="1815"/>
      <c r="CWE2" s="1815"/>
      <c r="CWF2" s="1815"/>
      <c r="CWG2" s="1815"/>
      <c r="CWH2" s="1815"/>
      <c r="CWI2" s="1815"/>
      <c r="CWJ2" s="1815"/>
      <c r="CWK2" s="1815"/>
      <c r="CWL2" s="1815"/>
      <c r="CWM2" s="1815"/>
      <c r="CWN2" s="1815"/>
      <c r="CWO2" s="1815"/>
      <c r="CWP2" s="1815"/>
      <c r="CWQ2" s="1815"/>
      <c r="CWR2" s="1815"/>
      <c r="CWS2" s="1815"/>
      <c r="CWT2" s="1815"/>
      <c r="CWU2" s="1815"/>
      <c r="CWV2" s="1815"/>
      <c r="CWW2" s="1815"/>
      <c r="CWX2" s="1815"/>
      <c r="CWY2" s="1815"/>
      <c r="CWZ2" s="1815"/>
      <c r="CXA2" s="1815"/>
      <c r="CXB2" s="1815"/>
      <c r="CXC2" s="1815"/>
      <c r="CXD2" s="1815"/>
      <c r="CXE2" s="1815"/>
      <c r="CXF2" s="1815"/>
      <c r="CXG2" s="1815"/>
      <c r="CXH2" s="1815"/>
      <c r="CXI2" s="1815"/>
      <c r="CXJ2" s="1815"/>
      <c r="CXK2" s="1815"/>
      <c r="CXL2" s="1815"/>
      <c r="CXM2" s="1815"/>
      <c r="CXN2" s="1815"/>
      <c r="CXO2" s="1815"/>
      <c r="CXP2" s="1815"/>
      <c r="CXQ2" s="1815"/>
      <c r="CXR2" s="1815"/>
      <c r="CXS2" s="1815"/>
      <c r="CXT2" s="1815"/>
      <c r="CXU2" s="1815"/>
      <c r="CXV2" s="1815"/>
      <c r="CXW2" s="1815"/>
      <c r="CXX2" s="1815"/>
      <c r="CXY2" s="1815"/>
      <c r="CXZ2" s="1815"/>
      <c r="CYA2" s="1815"/>
      <c r="CYB2" s="1815"/>
      <c r="CYC2" s="1815"/>
      <c r="CYD2" s="1815"/>
      <c r="CYE2" s="1815"/>
      <c r="CYF2" s="1815"/>
      <c r="CYG2" s="1815"/>
      <c r="CYH2" s="1815"/>
      <c r="CYI2" s="1815"/>
      <c r="CYJ2" s="1815"/>
      <c r="CYK2" s="1815"/>
      <c r="CYL2" s="1815"/>
      <c r="CYM2" s="1815"/>
      <c r="CYN2" s="1815"/>
      <c r="CYO2" s="1815"/>
      <c r="CYP2" s="1815"/>
      <c r="CYQ2" s="1815"/>
      <c r="CYR2" s="1815"/>
      <c r="CYS2" s="1815"/>
      <c r="CYT2" s="1815"/>
      <c r="CYU2" s="1815"/>
      <c r="CYV2" s="1815"/>
      <c r="CYW2" s="1815"/>
      <c r="CYX2" s="1815"/>
      <c r="CYY2" s="1815"/>
      <c r="CYZ2" s="1815"/>
      <c r="CZA2" s="1815"/>
      <c r="CZB2" s="1815"/>
      <c r="CZC2" s="1815"/>
      <c r="CZD2" s="1815"/>
      <c r="CZE2" s="1815"/>
      <c r="CZF2" s="1815"/>
      <c r="CZG2" s="1815"/>
      <c r="CZH2" s="1815"/>
      <c r="CZI2" s="1815"/>
      <c r="CZJ2" s="1815"/>
      <c r="CZK2" s="1815"/>
      <c r="CZL2" s="1815"/>
      <c r="CZM2" s="1815"/>
      <c r="CZN2" s="1815"/>
      <c r="CZO2" s="1815"/>
      <c r="CZP2" s="1815"/>
      <c r="CZQ2" s="1815"/>
      <c r="CZR2" s="1815"/>
      <c r="CZS2" s="1815"/>
      <c r="CZT2" s="1815"/>
      <c r="CZU2" s="1815"/>
      <c r="CZV2" s="1815"/>
      <c r="CZW2" s="1815"/>
      <c r="CZX2" s="1815"/>
      <c r="CZY2" s="1815"/>
      <c r="CZZ2" s="1815"/>
      <c r="DAA2" s="1815"/>
      <c r="DAB2" s="1815"/>
      <c r="DAC2" s="1815"/>
      <c r="DAD2" s="1815"/>
      <c r="DAE2" s="1815"/>
      <c r="DAF2" s="1815"/>
      <c r="DAG2" s="1815"/>
      <c r="DAH2" s="1815"/>
      <c r="DAI2" s="1815"/>
      <c r="DAJ2" s="1815"/>
      <c r="DAK2" s="1815"/>
      <c r="DAL2" s="1815"/>
      <c r="DAM2" s="1815"/>
      <c r="DAN2" s="1815"/>
      <c r="DAO2" s="1815"/>
      <c r="DAP2" s="1815"/>
      <c r="DAQ2" s="1815"/>
      <c r="DAR2" s="1815"/>
      <c r="DAS2" s="1815"/>
      <c r="DAT2" s="1815"/>
      <c r="DAU2" s="1815"/>
      <c r="DAV2" s="1815"/>
      <c r="DAW2" s="1815"/>
      <c r="DAX2" s="1815"/>
      <c r="DAY2" s="1815"/>
      <c r="DAZ2" s="1815"/>
      <c r="DBA2" s="1815"/>
      <c r="DBB2" s="1815"/>
      <c r="DBC2" s="1815"/>
      <c r="DBD2" s="1815"/>
      <c r="DBE2" s="1815"/>
      <c r="DBF2" s="1815"/>
      <c r="DBG2" s="1815"/>
      <c r="DBH2" s="1815"/>
      <c r="DBI2" s="1815"/>
      <c r="DBJ2" s="1815"/>
      <c r="DBK2" s="1815"/>
      <c r="DBL2" s="1815"/>
      <c r="DBM2" s="1815"/>
      <c r="DBN2" s="1815"/>
      <c r="DBO2" s="1815"/>
      <c r="DBP2" s="1815"/>
      <c r="DBQ2" s="1815"/>
      <c r="DBR2" s="1815"/>
      <c r="DBS2" s="1815"/>
      <c r="DBT2" s="1815"/>
      <c r="DBU2" s="1815"/>
      <c r="DBV2" s="1815"/>
      <c r="DBW2" s="1815"/>
      <c r="DBX2" s="1815"/>
      <c r="DBY2" s="1815"/>
      <c r="DBZ2" s="1815"/>
      <c r="DCA2" s="1815"/>
      <c r="DCB2" s="1815"/>
      <c r="DCC2" s="1815"/>
      <c r="DCD2" s="1815"/>
      <c r="DCE2" s="1815"/>
      <c r="DCF2" s="1815"/>
      <c r="DCG2" s="1815"/>
      <c r="DCH2" s="1815"/>
      <c r="DCI2" s="1815"/>
      <c r="DCJ2" s="1815"/>
      <c r="DCK2" s="1815"/>
      <c r="DCL2" s="1815"/>
      <c r="DCM2" s="1815"/>
      <c r="DCN2" s="1815"/>
      <c r="DCO2" s="1815"/>
      <c r="DCP2" s="1815"/>
      <c r="DCQ2" s="1815"/>
      <c r="DCR2" s="1815"/>
      <c r="DCS2" s="1815"/>
      <c r="DCT2" s="1815"/>
      <c r="DCU2" s="1815"/>
      <c r="DCV2" s="1815"/>
      <c r="DCW2" s="1815"/>
      <c r="DCX2" s="1815"/>
      <c r="DCY2" s="1815"/>
      <c r="DCZ2" s="1815"/>
      <c r="DDA2" s="1815"/>
      <c r="DDB2" s="1815"/>
      <c r="DDC2" s="1815"/>
      <c r="DDD2" s="1815"/>
      <c r="DDE2" s="1815"/>
      <c r="DDF2" s="1815"/>
      <c r="DDG2" s="1815"/>
      <c r="DDH2" s="1815"/>
      <c r="DDI2" s="1815"/>
      <c r="DDJ2" s="1815"/>
      <c r="DDK2" s="1815"/>
      <c r="DDL2" s="1815"/>
      <c r="DDM2" s="1815"/>
      <c r="DDN2" s="1815"/>
      <c r="DDO2" s="1815"/>
      <c r="DDP2" s="1815"/>
      <c r="DDQ2" s="1815"/>
      <c r="DDR2" s="1815"/>
      <c r="DDS2" s="1815"/>
      <c r="DDT2" s="1815"/>
      <c r="DDU2" s="1815"/>
      <c r="DDV2" s="1815"/>
      <c r="DDW2" s="1815"/>
      <c r="DDX2" s="1815"/>
      <c r="DDY2" s="1815"/>
      <c r="DDZ2" s="1815"/>
      <c r="DEA2" s="1815"/>
      <c r="DEB2" s="1815"/>
      <c r="DEC2" s="1815"/>
      <c r="DED2" s="1815"/>
      <c r="DEE2" s="1815"/>
      <c r="DEF2" s="1815"/>
      <c r="DEG2" s="1815"/>
      <c r="DEH2" s="1815"/>
      <c r="DEI2" s="1815"/>
      <c r="DEJ2" s="1815"/>
      <c r="DEK2" s="1815"/>
      <c r="DEL2" s="1815"/>
      <c r="DEM2" s="1815"/>
      <c r="DEN2" s="1815"/>
      <c r="DEO2" s="1815"/>
      <c r="DEP2" s="1815"/>
      <c r="DEQ2" s="1815"/>
      <c r="DER2" s="1815"/>
      <c r="DES2" s="1815"/>
      <c r="DET2" s="1815"/>
      <c r="DEU2" s="1815"/>
      <c r="DEV2" s="1815"/>
      <c r="DEW2" s="1815"/>
      <c r="DEX2" s="1815"/>
      <c r="DEY2" s="1815"/>
      <c r="DEZ2" s="1815"/>
      <c r="DFA2" s="1815"/>
      <c r="DFB2" s="1815"/>
      <c r="DFC2" s="1815"/>
      <c r="DFD2" s="1815"/>
      <c r="DFE2" s="1815"/>
      <c r="DFF2" s="1815"/>
      <c r="DFG2" s="1815"/>
      <c r="DFH2" s="1815"/>
      <c r="DFI2" s="1815"/>
      <c r="DFJ2" s="1815"/>
      <c r="DFK2" s="1815"/>
      <c r="DFL2" s="1815"/>
      <c r="DFM2" s="1815"/>
      <c r="DFN2" s="1815"/>
      <c r="DFO2" s="1815"/>
      <c r="DFP2" s="1815"/>
      <c r="DFQ2" s="1815"/>
      <c r="DFR2" s="1815"/>
      <c r="DFS2" s="1815"/>
      <c r="DFT2" s="1815"/>
      <c r="DFU2" s="1815"/>
      <c r="DFV2" s="1815"/>
      <c r="DFW2" s="1815"/>
      <c r="DFX2" s="1815"/>
      <c r="DFY2" s="1815"/>
      <c r="DFZ2" s="1815"/>
      <c r="DGA2" s="1815"/>
      <c r="DGB2" s="1815"/>
      <c r="DGC2" s="1815"/>
      <c r="DGD2" s="1815"/>
      <c r="DGE2" s="1815"/>
      <c r="DGF2" s="1815"/>
      <c r="DGG2" s="1815"/>
      <c r="DGH2" s="1815"/>
      <c r="DGI2" s="1815"/>
      <c r="DGJ2" s="1815"/>
      <c r="DGK2" s="1815"/>
      <c r="DGL2" s="1815"/>
      <c r="DGM2" s="1815"/>
      <c r="DGN2" s="1815"/>
      <c r="DGO2" s="1815"/>
      <c r="DGP2" s="1815"/>
      <c r="DGQ2" s="1815"/>
      <c r="DGR2" s="1815"/>
      <c r="DGS2" s="1815"/>
      <c r="DGT2" s="1815"/>
      <c r="DGU2" s="1815"/>
      <c r="DGV2" s="1815"/>
      <c r="DGW2" s="1815"/>
      <c r="DGX2" s="1815"/>
      <c r="DGY2" s="1815"/>
      <c r="DGZ2" s="1815"/>
      <c r="DHA2" s="1815"/>
      <c r="DHB2" s="1815"/>
      <c r="DHC2" s="1815"/>
      <c r="DHD2" s="1815"/>
      <c r="DHE2" s="1815"/>
      <c r="DHF2" s="1815"/>
      <c r="DHG2" s="1815"/>
      <c r="DHH2" s="1815"/>
      <c r="DHI2" s="1815"/>
      <c r="DHJ2" s="1815"/>
      <c r="DHK2" s="1815"/>
      <c r="DHL2" s="1815"/>
      <c r="DHM2" s="1815"/>
      <c r="DHN2" s="1815"/>
      <c r="DHO2" s="1815"/>
      <c r="DHP2" s="1815"/>
      <c r="DHQ2" s="1815"/>
      <c r="DHR2" s="1815"/>
      <c r="DHS2" s="1815"/>
      <c r="DHT2" s="1815"/>
      <c r="DHU2" s="1815"/>
      <c r="DHV2" s="1815"/>
      <c r="DHW2" s="1815"/>
      <c r="DHX2" s="1815"/>
      <c r="DHY2" s="1815"/>
      <c r="DHZ2" s="1815"/>
      <c r="DIA2" s="1815"/>
      <c r="DIB2" s="1815"/>
      <c r="DIC2" s="1815"/>
      <c r="DID2" s="1815"/>
      <c r="DIE2" s="1815"/>
      <c r="DIF2" s="1815"/>
      <c r="DIG2" s="1815"/>
      <c r="DIH2" s="1815"/>
      <c r="DII2" s="1815"/>
      <c r="DIJ2" s="1815"/>
      <c r="DIK2" s="1815"/>
      <c r="DIL2" s="1815"/>
      <c r="DIM2" s="1815"/>
      <c r="DIN2" s="1815"/>
      <c r="DIO2" s="1815"/>
      <c r="DIP2" s="1815"/>
      <c r="DIQ2" s="1815"/>
      <c r="DIR2" s="1815"/>
      <c r="DIS2" s="1815"/>
      <c r="DIT2" s="1815"/>
      <c r="DIU2" s="1815"/>
      <c r="DIV2" s="1815"/>
      <c r="DIW2" s="1815"/>
      <c r="DIX2" s="1815"/>
      <c r="DIY2" s="1815"/>
      <c r="DIZ2" s="1815"/>
      <c r="DJA2" s="1815"/>
      <c r="DJB2" s="1815"/>
      <c r="DJC2" s="1815"/>
      <c r="DJD2" s="1815"/>
      <c r="DJE2" s="1815"/>
      <c r="DJF2" s="1815"/>
      <c r="DJG2" s="1815"/>
      <c r="DJH2" s="1815"/>
      <c r="DJI2" s="1815"/>
      <c r="DJJ2" s="1815"/>
      <c r="DJK2" s="1815"/>
      <c r="DJL2" s="1815"/>
      <c r="DJM2" s="1815"/>
      <c r="DJN2" s="1815"/>
      <c r="DJO2" s="1815"/>
      <c r="DJP2" s="1815"/>
      <c r="DJQ2" s="1815"/>
      <c r="DJR2" s="1815"/>
      <c r="DJS2" s="1815"/>
      <c r="DJT2" s="1815"/>
      <c r="DJU2" s="1815"/>
      <c r="DJV2" s="1815"/>
      <c r="DJW2" s="1815"/>
      <c r="DJX2" s="1815"/>
      <c r="DJY2" s="1815"/>
      <c r="DJZ2" s="1815"/>
      <c r="DKA2" s="1815"/>
      <c r="DKB2" s="1815"/>
      <c r="DKC2" s="1815"/>
      <c r="DKD2" s="1815"/>
      <c r="DKE2" s="1815"/>
      <c r="DKF2" s="1815"/>
      <c r="DKG2" s="1815"/>
      <c r="DKH2" s="1815"/>
      <c r="DKI2" s="1815"/>
      <c r="DKJ2" s="1815"/>
      <c r="DKK2" s="1815"/>
      <c r="DKL2" s="1815"/>
      <c r="DKM2" s="1815"/>
      <c r="DKN2" s="1815"/>
      <c r="DKO2" s="1815"/>
      <c r="DKP2" s="1815"/>
      <c r="DKQ2" s="1815"/>
      <c r="DKR2" s="1815"/>
      <c r="DKS2" s="1815"/>
      <c r="DKT2" s="1815"/>
      <c r="DKU2" s="1815"/>
      <c r="DKV2" s="1815"/>
      <c r="DKW2" s="1815"/>
      <c r="DKX2" s="1815"/>
      <c r="DKY2" s="1815"/>
      <c r="DKZ2" s="1815"/>
      <c r="DLA2" s="1815"/>
      <c r="DLB2" s="1815"/>
      <c r="DLC2" s="1815"/>
      <c r="DLD2" s="1815"/>
      <c r="DLE2" s="1815"/>
      <c r="DLF2" s="1815"/>
      <c r="DLG2" s="1815"/>
      <c r="DLH2" s="1815"/>
      <c r="DLI2" s="1815"/>
      <c r="DLJ2" s="1815"/>
      <c r="DLK2" s="1815"/>
      <c r="DLL2" s="1815"/>
      <c r="DLM2" s="1815"/>
      <c r="DLN2" s="1815"/>
      <c r="DLO2" s="1815"/>
      <c r="DLP2" s="1815"/>
      <c r="DLQ2" s="1815"/>
      <c r="DLR2" s="1815"/>
      <c r="DLS2" s="1815"/>
      <c r="DLT2" s="1815"/>
      <c r="DLU2" s="1815"/>
      <c r="DLV2" s="1815"/>
      <c r="DLW2" s="1815"/>
      <c r="DLX2" s="1815"/>
      <c r="DLY2" s="1815"/>
      <c r="DLZ2" s="1815"/>
      <c r="DMA2" s="1815"/>
      <c r="DMB2" s="1815"/>
      <c r="DMC2" s="1815"/>
      <c r="DMD2" s="1815"/>
      <c r="DME2" s="1815"/>
      <c r="DMF2" s="1815"/>
      <c r="DMG2" s="1815"/>
      <c r="DMH2" s="1815"/>
      <c r="DMI2" s="1815"/>
      <c r="DMJ2" s="1815"/>
      <c r="DMK2" s="1815"/>
      <c r="DML2" s="1815"/>
      <c r="DMM2" s="1815"/>
      <c r="DMN2" s="1815"/>
      <c r="DMO2" s="1815"/>
      <c r="DMP2" s="1815"/>
      <c r="DMQ2" s="1815"/>
      <c r="DMR2" s="1815"/>
      <c r="DMS2" s="1815"/>
      <c r="DMT2" s="1815"/>
      <c r="DMU2" s="1815"/>
      <c r="DMV2" s="1815"/>
      <c r="DMW2" s="1815"/>
      <c r="DMX2" s="1815"/>
      <c r="DMY2" s="1815"/>
      <c r="DMZ2" s="1815"/>
      <c r="DNA2" s="1815"/>
      <c r="DNB2" s="1815"/>
      <c r="DNC2" s="1815"/>
      <c r="DND2" s="1815"/>
      <c r="DNE2" s="1815"/>
      <c r="DNF2" s="1815"/>
      <c r="DNG2" s="1815"/>
      <c r="DNH2" s="1815"/>
      <c r="DNI2" s="1815"/>
      <c r="DNJ2" s="1815"/>
      <c r="DNK2" s="1815"/>
      <c r="DNL2" s="1815"/>
      <c r="DNM2" s="1815"/>
      <c r="DNN2" s="1815"/>
      <c r="DNO2" s="1815"/>
      <c r="DNP2" s="1815"/>
      <c r="DNQ2" s="1815"/>
      <c r="DNR2" s="1815"/>
      <c r="DNS2" s="1815"/>
      <c r="DNT2" s="1815"/>
      <c r="DNU2" s="1815"/>
      <c r="DNV2" s="1815"/>
      <c r="DNW2" s="1815"/>
      <c r="DNX2" s="1815"/>
      <c r="DNY2" s="1815"/>
      <c r="DNZ2" s="1815"/>
      <c r="DOA2" s="1815"/>
      <c r="DOB2" s="1815"/>
      <c r="DOC2" s="1815"/>
      <c r="DOD2" s="1815"/>
      <c r="DOE2" s="1815"/>
      <c r="DOF2" s="1815"/>
      <c r="DOG2" s="1815"/>
      <c r="DOH2" s="1815"/>
      <c r="DOI2" s="1815"/>
      <c r="DOJ2" s="1815"/>
      <c r="DOK2" s="1815"/>
      <c r="DOL2" s="1815"/>
      <c r="DOM2" s="1815"/>
      <c r="DON2" s="1815"/>
      <c r="DOO2" s="1815"/>
      <c r="DOP2" s="1815"/>
      <c r="DOQ2" s="1815"/>
      <c r="DOR2" s="1815"/>
      <c r="DOS2" s="1815"/>
      <c r="DOT2" s="1815"/>
      <c r="DOU2" s="1815"/>
      <c r="DOV2" s="1815"/>
      <c r="DOW2" s="1815"/>
      <c r="DOX2" s="1815"/>
      <c r="DOY2" s="1815"/>
      <c r="DOZ2" s="1815"/>
      <c r="DPA2" s="1815"/>
      <c r="DPB2" s="1815"/>
      <c r="DPC2" s="1815"/>
      <c r="DPD2" s="1815"/>
      <c r="DPE2" s="1815"/>
      <c r="DPF2" s="1815"/>
      <c r="DPG2" s="1815"/>
      <c r="DPH2" s="1815"/>
      <c r="DPI2" s="1815"/>
      <c r="DPJ2" s="1815"/>
      <c r="DPK2" s="1815"/>
      <c r="DPL2" s="1815"/>
      <c r="DPM2" s="1815"/>
      <c r="DPN2" s="1815"/>
      <c r="DPO2" s="1815"/>
      <c r="DPP2" s="1815"/>
      <c r="DPQ2" s="1815"/>
      <c r="DPR2" s="1815"/>
      <c r="DPS2" s="1815"/>
      <c r="DPT2" s="1815"/>
      <c r="DPU2" s="1815"/>
      <c r="DPV2" s="1815"/>
      <c r="DPW2" s="1815"/>
      <c r="DPX2" s="1815"/>
      <c r="DPY2" s="1815"/>
      <c r="DPZ2" s="1815"/>
      <c r="DQA2" s="1815"/>
      <c r="DQB2" s="1815"/>
      <c r="DQC2" s="1815"/>
      <c r="DQD2" s="1815"/>
      <c r="DQE2" s="1815"/>
      <c r="DQF2" s="1815"/>
      <c r="DQG2" s="1815"/>
      <c r="DQH2" s="1815"/>
      <c r="DQI2" s="1815"/>
      <c r="DQJ2" s="1815"/>
      <c r="DQK2" s="1815"/>
      <c r="DQL2" s="1815"/>
      <c r="DQM2" s="1815"/>
      <c r="DQN2" s="1815"/>
      <c r="DQO2" s="1815"/>
      <c r="DQP2" s="1815"/>
      <c r="DQQ2" s="1815"/>
      <c r="DQR2" s="1815"/>
      <c r="DQS2" s="1815"/>
      <c r="DQT2" s="1815"/>
      <c r="DQU2" s="1815"/>
      <c r="DQV2" s="1815"/>
      <c r="DQW2" s="1815"/>
      <c r="DQX2" s="1815"/>
      <c r="DQY2" s="1815"/>
      <c r="DQZ2" s="1815"/>
      <c r="DRA2" s="1815"/>
      <c r="DRB2" s="1815"/>
      <c r="DRC2" s="1815"/>
      <c r="DRD2" s="1815"/>
      <c r="DRE2" s="1815"/>
      <c r="DRF2" s="1815"/>
      <c r="DRG2" s="1815"/>
      <c r="DRH2" s="1815"/>
      <c r="DRI2" s="1815"/>
      <c r="DRJ2" s="1815"/>
      <c r="DRK2" s="1815"/>
      <c r="DRL2" s="1815"/>
      <c r="DRM2" s="1815"/>
      <c r="DRN2" s="1815"/>
      <c r="DRO2" s="1815"/>
      <c r="DRP2" s="1815"/>
      <c r="DRQ2" s="1815"/>
      <c r="DRR2" s="1815"/>
      <c r="DRS2" s="1815"/>
      <c r="DRT2" s="1815"/>
      <c r="DRU2" s="1815"/>
      <c r="DRV2" s="1815"/>
      <c r="DRW2" s="1815"/>
      <c r="DRX2" s="1815"/>
      <c r="DRY2" s="1815"/>
      <c r="DRZ2" s="1815"/>
      <c r="DSA2" s="1815"/>
      <c r="DSB2" s="1815"/>
      <c r="DSC2" s="1815"/>
      <c r="DSD2" s="1815"/>
      <c r="DSE2" s="1815"/>
      <c r="DSF2" s="1815"/>
      <c r="DSG2" s="1815"/>
      <c r="DSH2" s="1815"/>
      <c r="DSI2" s="1815"/>
      <c r="DSJ2" s="1815"/>
      <c r="DSK2" s="1815"/>
      <c r="DSL2" s="1815"/>
      <c r="DSM2" s="1815"/>
      <c r="DSN2" s="1815"/>
      <c r="DSO2" s="1815"/>
      <c r="DSP2" s="1815"/>
      <c r="DSQ2" s="1815"/>
      <c r="DSR2" s="1815"/>
      <c r="DSS2" s="1815"/>
      <c r="DST2" s="1815"/>
      <c r="DSU2" s="1815"/>
      <c r="DSV2" s="1815"/>
      <c r="DSW2" s="1815"/>
      <c r="DSX2" s="1815"/>
      <c r="DSY2" s="1815"/>
      <c r="DSZ2" s="1815"/>
      <c r="DTA2" s="1815"/>
      <c r="DTB2" s="1815"/>
      <c r="DTC2" s="1815"/>
      <c r="DTD2" s="1815"/>
      <c r="DTE2" s="1815"/>
      <c r="DTF2" s="1815"/>
      <c r="DTG2" s="1815"/>
      <c r="DTH2" s="1815"/>
      <c r="DTI2" s="1815"/>
      <c r="DTJ2" s="1815"/>
      <c r="DTK2" s="1815"/>
      <c r="DTL2" s="1815"/>
      <c r="DTM2" s="1815"/>
      <c r="DTN2" s="1815"/>
      <c r="DTO2" s="1815"/>
      <c r="DTP2" s="1815"/>
      <c r="DTQ2" s="1815"/>
      <c r="DTR2" s="1815"/>
      <c r="DTS2" s="1815"/>
      <c r="DTT2" s="1815"/>
      <c r="DTU2" s="1815"/>
      <c r="DTV2" s="1815"/>
      <c r="DTW2" s="1815"/>
      <c r="DTX2" s="1815"/>
      <c r="DTY2" s="1815"/>
      <c r="DTZ2" s="1815"/>
      <c r="DUA2" s="1815"/>
      <c r="DUB2" s="1815"/>
      <c r="DUC2" s="1815"/>
      <c r="DUD2" s="1815"/>
      <c r="DUE2" s="1815"/>
      <c r="DUF2" s="1815"/>
      <c r="DUG2" s="1815"/>
      <c r="DUH2" s="1815"/>
      <c r="DUI2" s="1815"/>
      <c r="DUJ2" s="1815"/>
      <c r="DUK2" s="1815"/>
      <c r="DUL2" s="1815"/>
      <c r="DUM2" s="1815"/>
      <c r="DUN2" s="1815"/>
      <c r="DUO2" s="1815"/>
      <c r="DUP2" s="1815"/>
      <c r="DUQ2" s="1815"/>
      <c r="DUR2" s="1815"/>
      <c r="DUS2" s="1815"/>
      <c r="DUT2" s="1815"/>
      <c r="DUU2" s="1815"/>
      <c r="DUV2" s="1815"/>
      <c r="DUW2" s="1815"/>
      <c r="DUX2" s="1815"/>
      <c r="DUY2" s="1815"/>
      <c r="DUZ2" s="1815"/>
      <c r="DVA2" s="1815"/>
      <c r="DVB2" s="1815"/>
      <c r="DVC2" s="1815"/>
      <c r="DVD2" s="1815"/>
      <c r="DVE2" s="1815"/>
      <c r="DVF2" s="1815"/>
      <c r="DVG2" s="1815"/>
      <c r="DVH2" s="1815"/>
      <c r="DVI2" s="1815"/>
      <c r="DVJ2" s="1815"/>
      <c r="DVK2" s="1815"/>
      <c r="DVL2" s="1815"/>
      <c r="DVM2" s="1815"/>
      <c r="DVN2" s="1815"/>
      <c r="DVO2" s="1815"/>
      <c r="DVP2" s="1815"/>
      <c r="DVQ2" s="1815"/>
      <c r="DVR2" s="1815"/>
      <c r="DVS2" s="1815"/>
      <c r="DVT2" s="1815"/>
      <c r="DVU2" s="1815"/>
      <c r="DVV2" s="1815"/>
      <c r="DVW2" s="1815"/>
      <c r="DVX2" s="1815"/>
      <c r="DVY2" s="1815"/>
      <c r="DVZ2" s="1815"/>
      <c r="DWA2" s="1815"/>
      <c r="DWB2" s="1815"/>
      <c r="DWC2" s="1815"/>
      <c r="DWD2" s="1815"/>
      <c r="DWE2" s="1815"/>
      <c r="DWF2" s="1815"/>
      <c r="DWG2" s="1815"/>
      <c r="DWH2" s="1815"/>
      <c r="DWI2" s="1815"/>
      <c r="DWJ2" s="1815"/>
      <c r="DWK2" s="1815"/>
      <c r="DWL2" s="1815"/>
      <c r="DWM2" s="1815"/>
      <c r="DWN2" s="1815"/>
      <c r="DWO2" s="1815"/>
      <c r="DWP2" s="1815"/>
      <c r="DWQ2" s="1815"/>
      <c r="DWR2" s="1815"/>
      <c r="DWS2" s="1815"/>
      <c r="DWT2" s="1815"/>
      <c r="DWU2" s="1815"/>
      <c r="DWV2" s="1815"/>
      <c r="DWW2" s="1815"/>
      <c r="DWX2" s="1815"/>
      <c r="DWY2" s="1815"/>
      <c r="DWZ2" s="1815"/>
      <c r="DXA2" s="1815"/>
      <c r="DXB2" s="1815"/>
      <c r="DXC2" s="1815"/>
      <c r="DXD2" s="1815"/>
      <c r="DXE2" s="1815"/>
      <c r="DXF2" s="1815"/>
      <c r="DXG2" s="1815"/>
      <c r="DXH2" s="1815"/>
      <c r="DXI2" s="1815"/>
      <c r="DXJ2" s="1815"/>
      <c r="DXK2" s="1815"/>
      <c r="DXL2" s="1815"/>
      <c r="DXM2" s="1815"/>
      <c r="DXN2" s="1815"/>
      <c r="DXO2" s="1815"/>
      <c r="DXP2" s="1815"/>
      <c r="DXQ2" s="1815"/>
      <c r="DXR2" s="1815"/>
      <c r="DXS2" s="1815"/>
      <c r="DXT2" s="1815"/>
      <c r="DXU2" s="1815"/>
      <c r="DXV2" s="1815"/>
      <c r="DXW2" s="1815"/>
      <c r="DXX2" s="1815"/>
      <c r="DXY2" s="1815"/>
      <c r="DXZ2" s="1815"/>
      <c r="DYA2" s="1815"/>
      <c r="DYB2" s="1815"/>
      <c r="DYC2" s="1815"/>
      <c r="DYD2" s="1815"/>
      <c r="DYE2" s="1815"/>
      <c r="DYF2" s="1815"/>
      <c r="DYG2" s="1815"/>
      <c r="DYH2" s="1815"/>
      <c r="DYI2" s="1815"/>
      <c r="DYJ2" s="1815"/>
      <c r="DYK2" s="1815"/>
      <c r="DYL2" s="1815"/>
      <c r="DYM2" s="1815"/>
      <c r="DYN2" s="1815"/>
      <c r="DYO2" s="1815"/>
      <c r="DYP2" s="1815"/>
      <c r="DYQ2" s="1815"/>
      <c r="DYR2" s="1815"/>
      <c r="DYS2" s="1815"/>
      <c r="DYT2" s="1815"/>
      <c r="DYU2" s="1815"/>
      <c r="DYV2" s="1815"/>
      <c r="DYW2" s="1815"/>
      <c r="DYX2" s="1815"/>
      <c r="DYY2" s="1815"/>
      <c r="DYZ2" s="1815"/>
      <c r="DZA2" s="1815"/>
      <c r="DZB2" s="1815"/>
      <c r="DZC2" s="1815"/>
      <c r="DZD2" s="1815"/>
      <c r="DZE2" s="1815"/>
      <c r="DZF2" s="1815"/>
      <c r="DZG2" s="1815"/>
      <c r="DZH2" s="1815"/>
      <c r="DZI2" s="1815"/>
      <c r="DZJ2" s="1815"/>
      <c r="DZK2" s="1815"/>
      <c r="DZL2" s="1815"/>
      <c r="DZM2" s="1815"/>
      <c r="DZN2" s="1815"/>
      <c r="DZO2" s="1815"/>
      <c r="DZP2" s="1815"/>
      <c r="DZQ2" s="1815"/>
      <c r="DZR2" s="1815"/>
      <c r="DZS2" s="1815"/>
      <c r="DZT2" s="1815"/>
      <c r="DZU2" s="1815"/>
      <c r="DZV2" s="1815"/>
      <c r="DZW2" s="1815"/>
      <c r="DZX2" s="1815"/>
      <c r="DZY2" s="1815"/>
      <c r="DZZ2" s="1815"/>
      <c r="EAA2" s="1815"/>
      <c r="EAB2" s="1815"/>
      <c r="EAC2" s="1815"/>
      <c r="EAD2" s="1815"/>
      <c r="EAE2" s="1815"/>
      <c r="EAF2" s="1815"/>
      <c r="EAG2" s="1815"/>
      <c r="EAH2" s="1815"/>
      <c r="EAI2" s="1815"/>
      <c r="EAJ2" s="1815"/>
      <c r="EAK2" s="1815"/>
      <c r="EAL2" s="1815"/>
      <c r="EAM2" s="1815"/>
      <c r="EAN2" s="1815"/>
      <c r="EAO2" s="1815"/>
      <c r="EAP2" s="1815"/>
      <c r="EAQ2" s="1815"/>
      <c r="EAR2" s="1815"/>
      <c r="EAS2" s="1815"/>
      <c r="EAT2" s="1815"/>
      <c r="EAU2" s="1815"/>
      <c r="EAV2" s="1815"/>
      <c r="EAW2" s="1815"/>
      <c r="EAX2" s="1815"/>
      <c r="EAY2" s="1815"/>
      <c r="EAZ2" s="1815"/>
      <c r="EBA2" s="1815"/>
      <c r="EBB2" s="1815"/>
      <c r="EBC2" s="1815"/>
      <c r="EBD2" s="1815"/>
      <c r="EBE2" s="1815"/>
      <c r="EBF2" s="1815"/>
      <c r="EBG2" s="1815"/>
      <c r="EBH2" s="1815"/>
      <c r="EBI2" s="1815"/>
      <c r="EBJ2" s="1815"/>
      <c r="EBK2" s="1815"/>
      <c r="EBL2" s="1815"/>
      <c r="EBM2" s="1815"/>
      <c r="EBN2" s="1815"/>
      <c r="EBO2" s="1815"/>
      <c r="EBP2" s="1815"/>
      <c r="EBQ2" s="1815"/>
      <c r="EBR2" s="1815"/>
      <c r="EBS2" s="1815"/>
      <c r="EBT2" s="1815"/>
      <c r="EBU2" s="1815"/>
      <c r="EBV2" s="1815"/>
      <c r="EBW2" s="1815"/>
      <c r="EBX2" s="1815"/>
      <c r="EBY2" s="1815"/>
      <c r="EBZ2" s="1815"/>
      <c r="ECA2" s="1815"/>
      <c r="ECB2" s="1815"/>
      <c r="ECC2" s="1815"/>
      <c r="ECD2" s="1815"/>
      <c r="ECE2" s="1815"/>
      <c r="ECF2" s="1815"/>
      <c r="ECG2" s="1815"/>
      <c r="ECH2" s="1815"/>
      <c r="ECI2" s="1815"/>
      <c r="ECJ2" s="1815"/>
      <c r="ECK2" s="1815"/>
      <c r="ECL2" s="1815"/>
      <c r="ECM2" s="1815"/>
      <c r="ECN2" s="1815"/>
      <c r="ECO2" s="1815"/>
      <c r="ECP2" s="1815"/>
      <c r="ECQ2" s="1815"/>
      <c r="ECR2" s="1815"/>
      <c r="ECS2" s="1815"/>
      <c r="ECT2" s="1815"/>
      <c r="ECU2" s="1815"/>
      <c r="ECV2" s="1815"/>
      <c r="ECW2" s="1815"/>
      <c r="ECX2" s="1815"/>
      <c r="ECY2" s="1815"/>
      <c r="ECZ2" s="1815"/>
      <c r="EDA2" s="1815"/>
      <c r="EDB2" s="1815"/>
      <c r="EDC2" s="1815"/>
      <c r="EDD2" s="1815"/>
      <c r="EDE2" s="1815"/>
      <c r="EDF2" s="1815"/>
      <c r="EDG2" s="1815"/>
      <c r="EDH2" s="1815"/>
      <c r="EDI2" s="1815"/>
      <c r="EDJ2" s="1815"/>
      <c r="EDK2" s="1815"/>
      <c r="EDL2" s="1815"/>
      <c r="EDM2" s="1815"/>
      <c r="EDN2" s="1815"/>
      <c r="EDO2" s="1815"/>
      <c r="EDP2" s="1815"/>
      <c r="EDQ2" s="1815"/>
      <c r="EDR2" s="1815"/>
      <c r="EDS2" s="1815"/>
      <c r="EDT2" s="1815"/>
      <c r="EDU2" s="1815"/>
      <c r="EDV2" s="1815"/>
      <c r="EDW2" s="1815"/>
      <c r="EDX2" s="1815"/>
      <c r="EDY2" s="1815"/>
      <c r="EDZ2" s="1815"/>
      <c r="EEA2" s="1815"/>
      <c r="EEB2" s="1815"/>
      <c r="EEC2" s="1815"/>
      <c r="EED2" s="1815"/>
      <c r="EEE2" s="1815"/>
      <c r="EEF2" s="1815"/>
      <c r="EEG2" s="1815"/>
      <c r="EEH2" s="1815"/>
      <c r="EEI2" s="1815"/>
      <c r="EEJ2" s="1815"/>
      <c r="EEK2" s="1815"/>
      <c r="EEL2" s="1815"/>
      <c r="EEM2" s="1815"/>
      <c r="EEN2" s="1815"/>
      <c r="EEO2" s="1815"/>
      <c r="EEP2" s="1815"/>
      <c r="EEQ2" s="1815"/>
      <c r="EER2" s="1815"/>
      <c r="EES2" s="1815"/>
      <c r="EET2" s="1815"/>
      <c r="EEU2" s="1815"/>
      <c r="EEV2" s="1815"/>
      <c r="EEW2" s="1815"/>
      <c r="EEX2" s="1815"/>
      <c r="EEY2" s="1815"/>
      <c r="EEZ2" s="1815"/>
      <c r="EFA2" s="1815"/>
      <c r="EFB2" s="1815"/>
      <c r="EFC2" s="1815"/>
      <c r="EFD2" s="1815"/>
      <c r="EFE2" s="1815"/>
      <c r="EFF2" s="1815"/>
      <c r="EFG2" s="1815"/>
      <c r="EFH2" s="1815"/>
      <c r="EFI2" s="1815"/>
      <c r="EFJ2" s="1815"/>
      <c r="EFK2" s="1815"/>
      <c r="EFL2" s="1815"/>
      <c r="EFM2" s="1815"/>
      <c r="EFN2" s="1815"/>
      <c r="EFO2" s="1815"/>
      <c r="EFP2" s="1815"/>
      <c r="EFQ2" s="1815"/>
      <c r="EFR2" s="1815"/>
      <c r="EFS2" s="1815"/>
      <c r="EFT2" s="1815"/>
      <c r="EFU2" s="1815"/>
      <c r="EFV2" s="1815"/>
      <c r="EFW2" s="1815"/>
      <c r="EFX2" s="1815"/>
      <c r="EFY2" s="1815"/>
      <c r="EFZ2" s="1815"/>
      <c r="EGA2" s="1815"/>
      <c r="EGB2" s="1815"/>
      <c r="EGC2" s="1815"/>
      <c r="EGD2" s="1815"/>
      <c r="EGE2" s="1815"/>
      <c r="EGF2" s="1815"/>
      <c r="EGG2" s="1815"/>
      <c r="EGH2" s="1815"/>
      <c r="EGI2" s="1815"/>
      <c r="EGJ2" s="1815"/>
      <c r="EGK2" s="1815"/>
      <c r="EGL2" s="1815"/>
      <c r="EGM2" s="1815"/>
      <c r="EGN2" s="1815"/>
      <c r="EGO2" s="1815"/>
      <c r="EGP2" s="1815"/>
      <c r="EGQ2" s="1815"/>
      <c r="EGR2" s="1815"/>
      <c r="EGS2" s="1815"/>
      <c r="EGT2" s="1815"/>
      <c r="EGU2" s="1815"/>
      <c r="EGV2" s="1815"/>
      <c r="EGW2" s="1815"/>
      <c r="EGX2" s="1815"/>
      <c r="EGY2" s="1815"/>
      <c r="EGZ2" s="1815"/>
      <c r="EHA2" s="1815"/>
      <c r="EHB2" s="1815"/>
      <c r="EHC2" s="1815"/>
      <c r="EHD2" s="1815"/>
      <c r="EHE2" s="1815"/>
      <c r="EHF2" s="1815"/>
      <c r="EHG2" s="1815"/>
      <c r="EHH2" s="1815"/>
      <c r="EHI2" s="1815"/>
      <c r="EHJ2" s="1815"/>
      <c r="EHK2" s="1815"/>
      <c r="EHL2" s="1815"/>
      <c r="EHM2" s="1815"/>
      <c r="EHN2" s="1815"/>
      <c r="EHO2" s="1815"/>
      <c r="EHP2" s="1815"/>
      <c r="EHQ2" s="1815"/>
      <c r="EHR2" s="1815"/>
      <c r="EHS2" s="1815"/>
      <c r="EHT2" s="1815"/>
      <c r="EHU2" s="1815"/>
      <c r="EHV2" s="1815"/>
      <c r="EHW2" s="1815"/>
      <c r="EHX2" s="1815"/>
      <c r="EHY2" s="1815"/>
      <c r="EHZ2" s="1815"/>
      <c r="EIA2" s="1815"/>
      <c r="EIB2" s="1815"/>
      <c r="EIC2" s="1815"/>
      <c r="EID2" s="1815"/>
      <c r="EIE2" s="1815"/>
      <c r="EIF2" s="1815"/>
      <c r="EIG2" s="1815"/>
      <c r="EIH2" s="1815"/>
      <c r="EII2" s="1815"/>
      <c r="EIJ2" s="1815"/>
      <c r="EIK2" s="1815"/>
      <c r="EIL2" s="1815"/>
      <c r="EIM2" s="1815"/>
      <c r="EIN2" s="1815"/>
      <c r="EIO2" s="1815"/>
      <c r="EIP2" s="1815"/>
      <c r="EIQ2" s="1815"/>
      <c r="EIR2" s="1815"/>
      <c r="EIS2" s="1815"/>
      <c r="EIT2" s="1815"/>
      <c r="EIU2" s="1815"/>
      <c r="EIV2" s="1815"/>
      <c r="EIW2" s="1815"/>
      <c r="EIX2" s="1815"/>
      <c r="EIY2" s="1815"/>
      <c r="EIZ2" s="1815"/>
      <c r="EJA2" s="1815"/>
      <c r="EJB2" s="1815"/>
      <c r="EJC2" s="1815"/>
      <c r="EJD2" s="1815"/>
      <c r="EJE2" s="1815"/>
      <c r="EJF2" s="1815"/>
      <c r="EJG2" s="1815"/>
      <c r="EJH2" s="1815"/>
      <c r="EJI2" s="1815"/>
      <c r="EJJ2" s="1815"/>
      <c r="EJK2" s="1815"/>
      <c r="EJL2" s="1815"/>
      <c r="EJM2" s="1815"/>
      <c r="EJN2" s="1815"/>
      <c r="EJO2" s="1815"/>
      <c r="EJP2" s="1815"/>
      <c r="EJQ2" s="1815"/>
      <c r="EJR2" s="1815"/>
      <c r="EJS2" s="1815"/>
      <c r="EJT2" s="1815"/>
      <c r="EJU2" s="1815"/>
      <c r="EJV2" s="1815"/>
      <c r="EJW2" s="1815"/>
      <c r="EJX2" s="1815"/>
      <c r="EJY2" s="1815"/>
      <c r="EJZ2" s="1815"/>
      <c r="EKA2" s="1815"/>
      <c r="EKB2" s="1815"/>
      <c r="EKC2" s="1815"/>
      <c r="EKD2" s="1815"/>
      <c r="EKE2" s="1815"/>
      <c r="EKF2" s="1815"/>
      <c r="EKG2" s="1815"/>
      <c r="EKH2" s="1815"/>
      <c r="EKI2" s="1815"/>
      <c r="EKJ2" s="1815"/>
      <c r="EKK2" s="1815"/>
      <c r="EKL2" s="1815"/>
      <c r="EKM2" s="1815"/>
      <c r="EKN2" s="1815"/>
      <c r="EKO2" s="1815"/>
      <c r="EKP2" s="1815"/>
      <c r="EKQ2" s="1815"/>
      <c r="EKR2" s="1815"/>
      <c r="EKS2" s="1815"/>
      <c r="EKT2" s="1815"/>
      <c r="EKU2" s="1815"/>
      <c r="EKV2" s="1815"/>
      <c r="EKW2" s="1815"/>
      <c r="EKX2" s="1815"/>
      <c r="EKY2" s="1815"/>
      <c r="EKZ2" s="1815"/>
      <c r="ELA2" s="1815"/>
      <c r="ELB2" s="1815"/>
      <c r="ELC2" s="1815"/>
      <c r="ELD2" s="1815"/>
      <c r="ELE2" s="1815"/>
      <c r="ELF2" s="1815"/>
      <c r="ELG2" s="1815"/>
      <c r="ELH2" s="1815"/>
      <c r="ELI2" s="1815"/>
      <c r="ELJ2" s="1815"/>
      <c r="ELK2" s="1815"/>
      <c r="ELL2" s="1815"/>
      <c r="ELM2" s="1815"/>
      <c r="ELN2" s="1815"/>
      <c r="ELO2" s="1815"/>
      <c r="ELP2" s="1815"/>
      <c r="ELQ2" s="1815"/>
      <c r="ELR2" s="1815"/>
      <c r="ELS2" s="1815"/>
      <c r="ELT2" s="1815"/>
      <c r="ELU2" s="1815"/>
      <c r="ELV2" s="1815"/>
      <c r="ELW2" s="1815"/>
      <c r="ELX2" s="1815"/>
      <c r="ELY2" s="1815"/>
      <c r="ELZ2" s="1815"/>
      <c r="EMA2" s="1815"/>
      <c r="EMB2" s="1815"/>
      <c r="EMC2" s="1815"/>
      <c r="EMD2" s="1815"/>
      <c r="EME2" s="1815"/>
      <c r="EMF2" s="1815"/>
      <c r="EMG2" s="1815"/>
      <c r="EMH2" s="1815"/>
      <c r="EMI2" s="1815"/>
      <c r="EMJ2" s="1815"/>
      <c r="EMK2" s="1815"/>
      <c r="EML2" s="1815"/>
      <c r="EMM2" s="1815"/>
      <c r="EMN2" s="1815"/>
      <c r="EMO2" s="1815"/>
      <c r="EMP2" s="1815"/>
      <c r="EMQ2" s="1815"/>
      <c r="EMR2" s="1815"/>
      <c r="EMS2" s="1815"/>
      <c r="EMT2" s="1815"/>
      <c r="EMU2" s="1815"/>
      <c r="EMV2" s="1815"/>
      <c r="EMW2" s="1815"/>
      <c r="EMX2" s="1815"/>
      <c r="EMY2" s="1815"/>
      <c r="EMZ2" s="1815"/>
      <c r="ENA2" s="1815"/>
      <c r="ENB2" s="1815"/>
      <c r="ENC2" s="1815"/>
      <c r="END2" s="1815"/>
      <c r="ENE2" s="1815"/>
      <c r="ENF2" s="1815"/>
      <c r="ENG2" s="1815"/>
      <c r="ENH2" s="1815"/>
      <c r="ENI2" s="1815"/>
      <c r="ENJ2" s="1815"/>
      <c r="ENK2" s="1815"/>
      <c r="ENL2" s="1815"/>
      <c r="ENM2" s="1815"/>
      <c r="ENN2" s="1815"/>
      <c r="ENO2" s="1815"/>
      <c r="ENP2" s="1815"/>
      <c r="ENQ2" s="1815"/>
      <c r="ENR2" s="1815"/>
      <c r="ENS2" s="1815"/>
      <c r="ENT2" s="1815"/>
      <c r="ENU2" s="1815"/>
      <c r="ENV2" s="1815"/>
      <c r="ENW2" s="1815"/>
      <c r="ENX2" s="1815"/>
      <c r="ENY2" s="1815"/>
      <c r="ENZ2" s="1815"/>
      <c r="EOA2" s="1815"/>
      <c r="EOB2" s="1815"/>
      <c r="EOC2" s="1815"/>
      <c r="EOD2" s="1815"/>
      <c r="EOE2" s="1815"/>
      <c r="EOF2" s="1815"/>
      <c r="EOG2" s="1815"/>
      <c r="EOH2" s="1815"/>
      <c r="EOI2" s="1815"/>
      <c r="EOJ2" s="1815"/>
      <c r="EOK2" s="1815"/>
      <c r="EOL2" s="1815"/>
      <c r="EOM2" s="1815"/>
      <c r="EON2" s="1815"/>
      <c r="EOO2" s="1815"/>
      <c r="EOP2" s="1815"/>
      <c r="EOQ2" s="1815"/>
      <c r="EOR2" s="1815"/>
      <c r="EOS2" s="1815"/>
      <c r="EOT2" s="1815"/>
      <c r="EOU2" s="1815"/>
      <c r="EOV2" s="1815"/>
      <c r="EOW2" s="1815"/>
      <c r="EOX2" s="1815"/>
      <c r="EOY2" s="1815"/>
      <c r="EOZ2" s="1815"/>
      <c r="EPA2" s="1815"/>
      <c r="EPB2" s="1815"/>
      <c r="EPC2" s="1815"/>
      <c r="EPD2" s="1815"/>
      <c r="EPE2" s="1815"/>
      <c r="EPF2" s="1815"/>
      <c r="EPG2" s="1815"/>
      <c r="EPH2" s="1815"/>
      <c r="EPI2" s="1815"/>
      <c r="EPJ2" s="1815"/>
      <c r="EPK2" s="1815"/>
      <c r="EPL2" s="1815"/>
      <c r="EPM2" s="1815"/>
      <c r="EPN2" s="1815"/>
      <c r="EPO2" s="1815"/>
      <c r="EPP2" s="1815"/>
      <c r="EPQ2" s="1815"/>
      <c r="EPR2" s="1815"/>
      <c r="EPS2" s="1815"/>
      <c r="EPT2" s="1815"/>
      <c r="EPU2" s="1815"/>
      <c r="EPV2" s="1815"/>
      <c r="EPW2" s="1815"/>
      <c r="EPX2" s="1815"/>
      <c r="EPY2" s="1815"/>
      <c r="EPZ2" s="1815"/>
      <c r="EQA2" s="1815"/>
      <c r="EQB2" s="1815"/>
      <c r="EQC2" s="1815"/>
      <c r="EQD2" s="1815"/>
      <c r="EQE2" s="1815"/>
      <c r="EQF2" s="1815"/>
      <c r="EQG2" s="1815"/>
      <c r="EQH2" s="1815"/>
      <c r="EQI2" s="1815"/>
      <c r="EQJ2" s="1815"/>
      <c r="EQK2" s="1815"/>
      <c r="EQL2" s="1815"/>
      <c r="EQM2" s="1815"/>
      <c r="EQN2" s="1815"/>
      <c r="EQO2" s="1815"/>
      <c r="EQP2" s="1815"/>
      <c r="EQQ2" s="1815"/>
      <c r="EQR2" s="1815"/>
      <c r="EQS2" s="1815"/>
      <c r="EQT2" s="1815"/>
      <c r="EQU2" s="1815"/>
      <c r="EQV2" s="1815"/>
      <c r="EQW2" s="1815"/>
      <c r="EQX2" s="1815"/>
      <c r="EQY2" s="1815"/>
      <c r="EQZ2" s="1815"/>
      <c r="ERA2" s="1815"/>
      <c r="ERB2" s="1815"/>
      <c r="ERC2" s="1815"/>
      <c r="ERD2" s="1815"/>
      <c r="ERE2" s="1815"/>
      <c r="ERF2" s="1815"/>
      <c r="ERG2" s="1815"/>
      <c r="ERH2" s="1815"/>
      <c r="ERI2" s="1815"/>
      <c r="ERJ2" s="1815"/>
      <c r="ERK2" s="1815"/>
      <c r="ERL2" s="1815"/>
      <c r="ERM2" s="1815"/>
      <c r="ERN2" s="1815"/>
      <c r="ERO2" s="1815"/>
      <c r="ERP2" s="1815"/>
      <c r="ERQ2" s="1815"/>
      <c r="ERR2" s="1815"/>
      <c r="ERS2" s="1815"/>
      <c r="ERT2" s="1815"/>
      <c r="ERU2" s="1815"/>
      <c r="ERV2" s="1815"/>
      <c r="ERW2" s="1815"/>
      <c r="ERX2" s="1815"/>
      <c r="ERY2" s="1815"/>
      <c r="ERZ2" s="1815"/>
      <c r="ESA2" s="1815"/>
      <c r="ESB2" s="1815"/>
      <c r="ESC2" s="1815"/>
      <c r="ESD2" s="1815"/>
      <c r="ESE2" s="1815"/>
      <c r="ESF2" s="1815"/>
      <c r="ESG2" s="1815"/>
      <c r="ESH2" s="1815"/>
      <c r="ESI2" s="1815"/>
      <c r="ESJ2" s="1815"/>
      <c r="ESK2" s="1815"/>
      <c r="ESL2" s="1815"/>
      <c r="ESM2" s="1815"/>
      <c r="ESN2" s="1815"/>
      <c r="ESO2" s="1815"/>
      <c r="ESP2" s="1815"/>
      <c r="ESQ2" s="1815"/>
      <c r="ESR2" s="1815"/>
      <c r="ESS2" s="1815"/>
      <c r="EST2" s="1815"/>
      <c r="ESU2" s="1815"/>
      <c r="ESV2" s="1815"/>
      <c r="ESW2" s="1815"/>
      <c r="ESX2" s="1815"/>
      <c r="ESY2" s="1815"/>
      <c r="ESZ2" s="1815"/>
      <c r="ETA2" s="1815"/>
      <c r="ETB2" s="1815"/>
      <c r="ETC2" s="1815"/>
      <c r="ETD2" s="1815"/>
      <c r="ETE2" s="1815"/>
      <c r="ETF2" s="1815"/>
      <c r="ETG2" s="1815"/>
      <c r="ETH2" s="1815"/>
      <c r="ETI2" s="1815"/>
      <c r="ETJ2" s="1815"/>
      <c r="ETK2" s="1815"/>
      <c r="ETL2" s="1815"/>
      <c r="ETM2" s="1815"/>
      <c r="ETN2" s="1815"/>
      <c r="ETO2" s="1815"/>
      <c r="ETP2" s="1815"/>
      <c r="ETQ2" s="1815"/>
      <c r="ETR2" s="1815"/>
      <c r="ETS2" s="1815"/>
      <c r="ETT2" s="1815"/>
      <c r="ETU2" s="1815"/>
      <c r="ETV2" s="1815"/>
      <c r="ETW2" s="1815"/>
      <c r="ETX2" s="1815"/>
      <c r="ETY2" s="1815"/>
      <c r="ETZ2" s="1815"/>
      <c r="EUA2" s="1815"/>
      <c r="EUB2" s="1815"/>
      <c r="EUC2" s="1815"/>
      <c r="EUD2" s="1815"/>
      <c r="EUE2" s="1815"/>
      <c r="EUF2" s="1815"/>
      <c r="EUG2" s="1815"/>
      <c r="EUH2" s="1815"/>
      <c r="EUI2" s="1815"/>
      <c r="EUJ2" s="1815"/>
      <c r="EUK2" s="1815"/>
      <c r="EUL2" s="1815"/>
      <c r="EUM2" s="1815"/>
      <c r="EUN2" s="1815"/>
      <c r="EUO2" s="1815"/>
      <c r="EUP2" s="1815"/>
      <c r="EUQ2" s="1815"/>
      <c r="EUR2" s="1815"/>
      <c r="EUS2" s="1815"/>
      <c r="EUT2" s="1815"/>
      <c r="EUU2" s="1815"/>
      <c r="EUV2" s="1815"/>
      <c r="EUW2" s="1815"/>
      <c r="EUX2" s="1815"/>
      <c r="EUY2" s="1815"/>
      <c r="EUZ2" s="1815"/>
      <c r="EVA2" s="1815"/>
      <c r="EVB2" s="1815"/>
      <c r="EVC2" s="1815"/>
      <c r="EVD2" s="1815"/>
      <c r="EVE2" s="1815"/>
      <c r="EVF2" s="1815"/>
      <c r="EVG2" s="1815"/>
      <c r="EVH2" s="1815"/>
      <c r="EVI2" s="1815"/>
      <c r="EVJ2" s="1815"/>
      <c r="EVK2" s="1815"/>
      <c r="EVL2" s="1815"/>
      <c r="EVM2" s="1815"/>
      <c r="EVN2" s="1815"/>
      <c r="EVO2" s="1815"/>
      <c r="EVP2" s="1815"/>
      <c r="EVQ2" s="1815"/>
      <c r="EVR2" s="1815"/>
      <c r="EVS2" s="1815"/>
      <c r="EVT2" s="1815"/>
      <c r="EVU2" s="1815"/>
      <c r="EVV2" s="1815"/>
      <c r="EVW2" s="1815"/>
      <c r="EVX2" s="1815"/>
      <c r="EVY2" s="1815"/>
      <c r="EVZ2" s="1815"/>
      <c r="EWA2" s="1815"/>
      <c r="EWB2" s="1815"/>
      <c r="EWC2" s="1815"/>
      <c r="EWD2" s="1815"/>
      <c r="EWE2" s="1815"/>
      <c r="EWF2" s="1815"/>
      <c r="EWG2" s="1815"/>
      <c r="EWH2" s="1815"/>
      <c r="EWI2" s="1815"/>
      <c r="EWJ2" s="1815"/>
      <c r="EWK2" s="1815"/>
      <c r="EWL2" s="1815"/>
      <c r="EWM2" s="1815"/>
      <c r="EWN2" s="1815"/>
      <c r="EWO2" s="1815"/>
      <c r="EWP2" s="1815"/>
      <c r="EWQ2" s="1815"/>
      <c r="EWR2" s="1815"/>
      <c r="EWS2" s="1815"/>
      <c r="EWT2" s="1815"/>
      <c r="EWU2" s="1815"/>
      <c r="EWV2" s="1815"/>
      <c r="EWW2" s="1815"/>
      <c r="EWX2" s="1815"/>
      <c r="EWY2" s="1815"/>
      <c r="EWZ2" s="1815"/>
      <c r="EXA2" s="1815"/>
      <c r="EXB2" s="1815"/>
      <c r="EXC2" s="1815"/>
      <c r="EXD2" s="1815"/>
      <c r="EXE2" s="1815"/>
      <c r="EXF2" s="1815"/>
      <c r="EXG2" s="1815"/>
      <c r="EXH2" s="1815"/>
      <c r="EXI2" s="1815"/>
      <c r="EXJ2" s="1815"/>
      <c r="EXK2" s="1815"/>
      <c r="EXL2" s="1815"/>
      <c r="EXM2" s="1815"/>
      <c r="EXN2" s="1815"/>
      <c r="EXO2" s="1815"/>
      <c r="EXP2" s="1815"/>
      <c r="EXQ2" s="1815"/>
      <c r="EXR2" s="1815"/>
      <c r="EXS2" s="1815"/>
      <c r="EXT2" s="1815"/>
      <c r="EXU2" s="1815"/>
      <c r="EXV2" s="1815"/>
      <c r="EXW2" s="1815"/>
      <c r="EXX2" s="1815"/>
      <c r="EXY2" s="1815"/>
      <c r="EXZ2" s="1815"/>
      <c r="EYA2" s="1815"/>
      <c r="EYB2" s="1815"/>
      <c r="EYC2" s="1815"/>
      <c r="EYD2" s="1815"/>
      <c r="EYE2" s="1815"/>
      <c r="EYF2" s="1815"/>
      <c r="EYG2" s="1815"/>
      <c r="EYH2" s="1815"/>
      <c r="EYI2" s="1815"/>
      <c r="EYJ2" s="1815"/>
      <c r="EYK2" s="1815"/>
      <c r="EYL2" s="1815"/>
      <c r="EYM2" s="1815"/>
      <c r="EYN2" s="1815"/>
      <c r="EYO2" s="1815"/>
      <c r="EYP2" s="1815"/>
      <c r="EYQ2" s="1815"/>
      <c r="EYR2" s="1815"/>
      <c r="EYS2" s="1815"/>
      <c r="EYT2" s="1815"/>
      <c r="EYU2" s="1815"/>
      <c r="EYV2" s="1815"/>
      <c r="EYW2" s="1815"/>
      <c r="EYX2" s="1815"/>
      <c r="EYY2" s="1815"/>
      <c r="EYZ2" s="1815"/>
      <c r="EZA2" s="1815"/>
      <c r="EZB2" s="1815"/>
      <c r="EZC2" s="1815"/>
      <c r="EZD2" s="1815"/>
      <c r="EZE2" s="1815"/>
      <c r="EZF2" s="1815"/>
      <c r="EZG2" s="1815"/>
      <c r="EZH2" s="1815"/>
      <c r="EZI2" s="1815"/>
      <c r="EZJ2" s="1815"/>
      <c r="EZK2" s="1815"/>
      <c r="EZL2" s="1815"/>
      <c r="EZM2" s="1815"/>
      <c r="EZN2" s="1815"/>
      <c r="EZO2" s="1815"/>
      <c r="EZP2" s="1815"/>
      <c r="EZQ2" s="1815"/>
      <c r="EZR2" s="1815"/>
      <c r="EZS2" s="1815"/>
      <c r="EZT2" s="1815"/>
      <c r="EZU2" s="1815"/>
      <c r="EZV2" s="1815"/>
      <c r="EZW2" s="1815"/>
      <c r="EZX2" s="1815"/>
      <c r="EZY2" s="1815"/>
      <c r="EZZ2" s="1815"/>
      <c r="FAA2" s="1815"/>
      <c r="FAB2" s="1815"/>
      <c r="FAC2" s="1815"/>
      <c r="FAD2" s="1815"/>
      <c r="FAE2" s="1815"/>
      <c r="FAF2" s="1815"/>
      <c r="FAG2" s="1815"/>
      <c r="FAH2" s="1815"/>
      <c r="FAI2" s="1815"/>
      <c r="FAJ2" s="1815"/>
      <c r="FAK2" s="1815"/>
      <c r="FAL2" s="1815"/>
      <c r="FAM2" s="1815"/>
      <c r="FAN2" s="1815"/>
      <c r="FAO2" s="1815"/>
      <c r="FAP2" s="1815"/>
      <c r="FAQ2" s="1815"/>
      <c r="FAR2" s="1815"/>
      <c r="FAS2" s="1815"/>
      <c r="FAT2" s="1815"/>
      <c r="FAU2" s="1815"/>
      <c r="FAV2" s="1815"/>
      <c r="FAW2" s="1815"/>
      <c r="FAX2" s="1815"/>
      <c r="FAY2" s="1815"/>
      <c r="FAZ2" s="1815"/>
      <c r="FBA2" s="1815"/>
      <c r="FBB2" s="1815"/>
      <c r="FBC2" s="1815"/>
      <c r="FBD2" s="1815"/>
      <c r="FBE2" s="1815"/>
      <c r="FBF2" s="1815"/>
      <c r="FBG2" s="1815"/>
      <c r="FBH2" s="1815"/>
      <c r="FBI2" s="1815"/>
      <c r="FBJ2" s="1815"/>
      <c r="FBK2" s="1815"/>
      <c r="FBL2" s="1815"/>
      <c r="FBM2" s="1815"/>
      <c r="FBN2" s="1815"/>
      <c r="FBO2" s="1815"/>
      <c r="FBP2" s="1815"/>
      <c r="FBQ2" s="1815"/>
      <c r="FBR2" s="1815"/>
      <c r="FBS2" s="1815"/>
      <c r="FBT2" s="1815"/>
      <c r="FBU2" s="1815"/>
      <c r="FBV2" s="1815"/>
      <c r="FBW2" s="1815"/>
      <c r="FBX2" s="1815"/>
      <c r="FBY2" s="1815"/>
      <c r="FBZ2" s="1815"/>
      <c r="FCA2" s="1815"/>
      <c r="FCB2" s="1815"/>
      <c r="FCC2" s="1815"/>
      <c r="FCD2" s="1815"/>
      <c r="FCE2" s="1815"/>
      <c r="FCF2" s="1815"/>
      <c r="FCG2" s="1815"/>
      <c r="FCH2" s="1815"/>
      <c r="FCI2" s="1815"/>
      <c r="FCJ2" s="1815"/>
      <c r="FCK2" s="1815"/>
      <c r="FCL2" s="1815"/>
      <c r="FCM2" s="1815"/>
      <c r="FCN2" s="1815"/>
      <c r="FCO2" s="1815"/>
      <c r="FCP2" s="1815"/>
      <c r="FCQ2" s="1815"/>
      <c r="FCR2" s="1815"/>
      <c r="FCS2" s="1815"/>
      <c r="FCT2" s="1815"/>
      <c r="FCU2" s="1815"/>
      <c r="FCV2" s="1815"/>
      <c r="FCW2" s="1815"/>
      <c r="FCX2" s="1815"/>
      <c r="FCY2" s="1815"/>
      <c r="FCZ2" s="1815"/>
      <c r="FDA2" s="1815"/>
      <c r="FDB2" s="1815"/>
      <c r="FDC2" s="1815"/>
      <c r="FDD2" s="1815"/>
      <c r="FDE2" s="1815"/>
      <c r="FDF2" s="1815"/>
      <c r="FDG2" s="1815"/>
      <c r="FDH2" s="1815"/>
      <c r="FDI2" s="1815"/>
      <c r="FDJ2" s="1815"/>
      <c r="FDK2" s="1815"/>
      <c r="FDL2" s="1815"/>
      <c r="FDM2" s="1815"/>
      <c r="FDN2" s="1815"/>
      <c r="FDO2" s="1815"/>
      <c r="FDP2" s="1815"/>
      <c r="FDQ2" s="1815"/>
      <c r="FDR2" s="1815"/>
      <c r="FDS2" s="1815"/>
      <c r="FDT2" s="1815"/>
      <c r="FDU2" s="1815"/>
      <c r="FDV2" s="1815"/>
      <c r="FDW2" s="1815"/>
      <c r="FDX2" s="1815"/>
      <c r="FDY2" s="1815"/>
      <c r="FDZ2" s="1815"/>
      <c r="FEA2" s="1815"/>
      <c r="FEB2" s="1815"/>
      <c r="FEC2" s="1815"/>
      <c r="FED2" s="1815"/>
      <c r="FEE2" s="1815"/>
      <c r="FEF2" s="1815"/>
      <c r="FEG2" s="1815"/>
      <c r="FEH2" s="1815"/>
      <c r="FEI2" s="1815"/>
      <c r="FEJ2" s="1815"/>
      <c r="FEK2" s="1815"/>
      <c r="FEL2" s="1815"/>
      <c r="FEM2" s="1815"/>
      <c r="FEN2" s="1815"/>
      <c r="FEO2" s="1815"/>
      <c r="FEP2" s="1815"/>
      <c r="FEQ2" s="1815"/>
      <c r="FER2" s="1815"/>
      <c r="FES2" s="1815"/>
      <c r="FET2" s="1815"/>
      <c r="FEU2" s="1815"/>
      <c r="FEV2" s="1815"/>
      <c r="FEW2" s="1815"/>
      <c r="FEX2" s="1815"/>
      <c r="FEY2" s="1815"/>
      <c r="FEZ2" s="1815"/>
      <c r="FFA2" s="1815"/>
      <c r="FFB2" s="1815"/>
      <c r="FFC2" s="1815"/>
      <c r="FFD2" s="1815"/>
      <c r="FFE2" s="1815"/>
      <c r="FFF2" s="1815"/>
      <c r="FFG2" s="1815"/>
      <c r="FFH2" s="1815"/>
      <c r="FFI2" s="1815"/>
      <c r="FFJ2" s="1815"/>
      <c r="FFK2" s="1815"/>
      <c r="FFL2" s="1815"/>
      <c r="FFM2" s="1815"/>
      <c r="FFN2" s="1815"/>
      <c r="FFO2" s="1815"/>
      <c r="FFP2" s="1815"/>
      <c r="FFQ2" s="1815"/>
      <c r="FFR2" s="1815"/>
      <c r="FFS2" s="1815"/>
      <c r="FFT2" s="1815"/>
      <c r="FFU2" s="1815"/>
      <c r="FFV2" s="1815"/>
      <c r="FFW2" s="1815"/>
      <c r="FFX2" s="1815"/>
      <c r="FFY2" s="1815"/>
      <c r="FFZ2" s="1815"/>
      <c r="FGA2" s="1815"/>
      <c r="FGB2" s="1815"/>
      <c r="FGC2" s="1815"/>
      <c r="FGD2" s="1815"/>
      <c r="FGE2" s="1815"/>
      <c r="FGF2" s="1815"/>
      <c r="FGG2" s="1815"/>
      <c r="FGH2" s="1815"/>
      <c r="FGI2" s="1815"/>
      <c r="FGJ2" s="1815"/>
      <c r="FGK2" s="1815"/>
      <c r="FGL2" s="1815"/>
      <c r="FGM2" s="1815"/>
      <c r="FGN2" s="1815"/>
      <c r="FGO2" s="1815"/>
      <c r="FGP2" s="1815"/>
      <c r="FGQ2" s="1815"/>
      <c r="FGR2" s="1815"/>
      <c r="FGS2" s="1815"/>
      <c r="FGT2" s="1815"/>
      <c r="FGU2" s="1815"/>
      <c r="FGV2" s="1815"/>
      <c r="FGW2" s="1815"/>
      <c r="FGX2" s="1815"/>
      <c r="FGY2" s="1815"/>
      <c r="FGZ2" s="1815"/>
      <c r="FHA2" s="1815"/>
      <c r="FHB2" s="1815"/>
      <c r="FHC2" s="1815"/>
      <c r="FHD2" s="1815"/>
      <c r="FHE2" s="1815"/>
      <c r="FHF2" s="1815"/>
      <c r="FHG2" s="1815"/>
      <c r="FHH2" s="1815"/>
      <c r="FHI2" s="1815"/>
      <c r="FHJ2" s="1815"/>
      <c r="FHK2" s="1815"/>
      <c r="FHL2" s="1815"/>
      <c r="FHM2" s="1815"/>
      <c r="FHN2" s="1815"/>
      <c r="FHO2" s="1815"/>
      <c r="FHP2" s="1815"/>
      <c r="FHQ2" s="1815"/>
      <c r="FHR2" s="1815"/>
      <c r="FHS2" s="1815"/>
      <c r="FHT2" s="1815"/>
      <c r="FHU2" s="1815"/>
      <c r="FHV2" s="1815"/>
      <c r="FHW2" s="1815"/>
      <c r="FHX2" s="1815"/>
      <c r="FHY2" s="1815"/>
      <c r="FHZ2" s="1815"/>
      <c r="FIA2" s="1815"/>
      <c r="FIB2" s="1815"/>
      <c r="FIC2" s="1815"/>
      <c r="FID2" s="1815"/>
      <c r="FIE2" s="1815"/>
      <c r="FIF2" s="1815"/>
      <c r="FIG2" s="1815"/>
      <c r="FIH2" s="1815"/>
      <c r="FII2" s="1815"/>
      <c r="FIJ2" s="1815"/>
      <c r="FIK2" s="1815"/>
      <c r="FIL2" s="1815"/>
      <c r="FIM2" s="1815"/>
      <c r="FIN2" s="1815"/>
      <c r="FIO2" s="1815"/>
      <c r="FIP2" s="1815"/>
      <c r="FIQ2" s="1815"/>
      <c r="FIR2" s="1815"/>
      <c r="FIS2" s="1815"/>
      <c r="FIT2" s="1815"/>
      <c r="FIU2" s="1815"/>
      <c r="FIV2" s="1815"/>
      <c r="FIW2" s="1815"/>
      <c r="FIX2" s="1815"/>
      <c r="FIY2" s="1815"/>
      <c r="FIZ2" s="1815"/>
      <c r="FJA2" s="1815"/>
      <c r="FJB2" s="1815"/>
      <c r="FJC2" s="1815"/>
      <c r="FJD2" s="1815"/>
      <c r="FJE2" s="1815"/>
      <c r="FJF2" s="1815"/>
      <c r="FJG2" s="1815"/>
      <c r="FJH2" s="1815"/>
      <c r="FJI2" s="1815"/>
      <c r="FJJ2" s="1815"/>
      <c r="FJK2" s="1815"/>
      <c r="FJL2" s="1815"/>
      <c r="FJM2" s="1815"/>
      <c r="FJN2" s="1815"/>
      <c r="FJO2" s="1815"/>
      <c r="FJP2" s="1815"/>
      <c r="FJQ2" s="1815"/>
      <c r="FJR2" s="1815"/>
      <c r="FJS2" s="1815"/>
      <c r="FJT2" s="1815"/>
      <c r="FJU2" s="1815"/>
      <c r="FJV2" s="1815"/>
      <c r="FJW2" s="1815"/>
      <c r="FJX2" s="1815"/>
      <c r="FJY2" s="1815"/>
      <c r="FJZ2" s="1815"/>
      <c r="FKA2" s="1815"/>
      <c r="FKB2" s="1815"/>
      <c r="FKC2" s="1815"/>
      <c r="FKD2" s="1815"/>
      <c r="FKE2" s="1815"/>
      <c r="FKF2" s="1815"/>
      <c r="FKG2" s="1815"/>
      <c r="FKH2" s="1815"/>
      <c r="FKI2" s="1815"/>
      <c r="FKJ2" s="1815"/>
      <c r="FKK2" s="1815"/>
      <c r="FKL2" s="1815"/>
      <c r="FKM2" s="1815"/>
      <c r="FKN2" s="1815"/>
      <c r="FKO2" s="1815"/>
      <c r="FKP2" s="1815"/>
      <c r="FKQ2" s="1815"/>
      <c r="FKR2" s="1815"/>
      <c r="FKS2" s="1815"/>
      <c r="FKT2" s="1815"/>
      <c r="FKU2" s="1815"/>
      <c r="FKV2" s="1815"/>
      <c r="FKW2" s="1815"/>
      <c r="FKX2" s="1815"/>
      <c r="FKY2" s="1815"/>
      <c r="FKZ2" s="1815"/>
      <c r="FLA2" s="1815"/>
      <c r="FLB2" s="1815"/>
      <c r="FLC2" s="1815"/>
      <c r="FLD2" s="1815"/>
      <c r="FLE2" s="1815"/>
      <c r="FLF2" s="1815"/>
      <c r="FLG2" s="1815"/>
      <c r="FLH2" s="1815"/>
      <c r="FLI2" s="1815"/>
      <c r="FLJ2" s="1815"/>
      <c r="FLK2" s="1815"/>
      <c r="FLL2" s="1815"/>
      <c r="FLM2" s="1815"/>
      <c r="FLN2" s="1815"/>
      <c r="FLO2" s="1815"/>
      <c r="FLP2" s="1815"/>
      <c r="FLQ2" s="1815"/>
      <c r="FLR2" s="1815"/>
      <c r="FLS2" s="1815"/>
      <c r="FLT2" s="1815"/>
      <c r="FLU2" s="1815"/>
      <c r="FLV2" s="1815"/>
      <c r="FLW2" s="1815"/>
      <c r="FLX2" s="1815"/>
      <c r="FLY2" s="1815"/>
      <c r="FLZ2" s="1815"/>
      <c r="FMA2" s="1815"/>
      <c r="FMB2" s="1815"/>
      <c r="FMC2" s="1815"/>
      <c r="FMD2" s="1815"/>
      <c r="FME2" s="1815"/>
      <c r="FMF2" s="1815"/>
      <c r="FMG2" s="1815"/>
      <c r="FMH2" s="1815"/>
      <c r="FMI2" s="1815"/>
      <c r="FMJ2" s="1815"/>
      <c r="FMK2" s="1815"/>
      <c r="FML2" s="1815"/>
      <c r="FMM2" s="1815"/>
      <c r="FMN2" s="1815"/>
      <c r="FMO2" s="1815"/>
      <c r="FMP2" s="1815"/>
      <c r="FMQ2" s="1815"/>
      <c r="FMR2" s="1815"/>
      <c r="FMS2" s="1815"/>
      <c r="FMT2" s="1815"/>
      <c r="FMU2" s="1815"/>
      <c r="FMV2" s="1815"/>
      <c r="FMW2" s="1815"/>
      <c r="FMX2" s="1815"/>
      <c r="FMY2" s="1815"/>
      <c r="FMZ2" s="1815"/>
      <c r="FNA2" s="1815"/>
      <c r="FNB2" s="1815"/>
      <c r="FNC2" s="1815"/>
      <c r="FND2" s="1815"/>
      <c r="FNE2" s="1815"/>
      <c r="FNF2" s="1815"/>
      <c r="FNG2" s="1815"/>
      <c r="FNH2" s="1815"/>
      <c r="FNI2" s="1815"/>
      <c r="FNJ2" s="1815"/>
      <c r="FNK2" s="1815"/>
      <c r="FNL2" s="1815"/>
      <c r="FNM2" s="1815"/>
      <c r="FNN2" s="1815"/>
      <c r="FNO2" s="1815"/>
      <c r="FNP2" s="1815"/>
      <c r="FNQ2" s="1815"/>
      <c r="FNR2" s="1815"/>
      <c r="FNS2" s="1815"/>
      <c r="FNT2" s="1815"/>
      <c r="FNU2" s="1815"/>
      <c r="FNV2" s="1815"/>
      <c r="FNW2" s="1815"/>
      <c r="FNX2" s="1815"/>
      <c r="FNY2" s="1815"/>
      <c r="FNZ2" s="1815"/>
      <c r="FOA2" s="1815"/>
      <c r="FOB2" s="1815"/>
      <c r="FOC2" s="1815"/>
      <c r="FOD2" s="1815"/>
      <c r="FOE2" s="1815"/>
      <c r="FOF2" s="1815"/>
      <c r="FOG2" s="1815"/>
      <c r="FOH2" s="1815"/>
      <c r="FOI2" s="1815"/>
      <c r="FOJ2" s="1815"/>
      <c r="FOK2" s="1815"/>
      <c r="FOL2" s="1815"/>
      <c r="FOM2" s="1815"/>
      <c r="FON2" s="1815"/>
      <c r="FOO2" s="1815"/>
      <c r="FOP2" s="1815"/>
      <c r="FOQ2" s="1815"/>
      <c r="FOR2" s="1815"/>
      <c r="FOS2" s="1815"/>
      <c r="FOT2" s="1815"/>
      <c r="FOU2" s="1815"/>
      <c r="FOV2" s="1815"/>
      <c r="FOW2" s="1815"/>
      <c r="FOX2" s="1815"/>
      <c r="FOY2" s="1815"/>
      <c r="FOZ2" s="1815"/>
      <c r="FPA2" s="1815"/>
      <c r="FPB2" s="1815"/>
      <c r="FPC2" s="1815"/>
      <c r="FPD2" s="1815"/>
      <c r="FPE2" s="1815"/>
      <c r="FPF2" s="1815"/>
      <c r="FPG2" s="1815"/>
      <c r="FPH2" s="1815"/>
      <c r="FPI2" s="1815"/>
      <c r="FPJ2" s="1815"/>
      <c r="FPK2" s="1815"/>
      <c r="FPL2" s="1815"/>
      <c r="FPM2" s="1815"/>
      <c r="FPN2" s="1815"/>
      <c r="FPO2" s="1815"/>
      <c r="FPP2" s="1815"/>
      <c r="FPQ2" s="1815"/>
      <c r="FPR2" s="1815"/>
      <c r="FPS2" s="1815"/>
      <c r="FPT2" s="1815"/>
      <c r="FPU2" s="1815"/>
      <c r="FPV2" s="1815"/>
      <c r="FPW2" s="1815"/>
      <c r="FPX2" s="1815"/>
      <c r="FPY2" s="1815"/>
      <c r="FPZ2" s="1815"/>
      <c r="FQA2" s="1815"/>
      <c r="FQB2" s="1815"/>
      <c r="FQC2" s="1815"/>
      <c r="FQD2" s="1815"/>
      <c r="FQE2" s="1815"/>
      <c r="FQF2" s="1815"/>
      <c r="FQG2" s="1815"/>
      <c r="FQH2" s="1815"/>
      <c r="FQI2" s="1815"/>
      <c r="FQJ2" s="1815"/>
      <c r="FQK2" s="1815"/>
      <c r="FQL2" s="1815"/>
      <c r="FQM2" s="1815"/>
      <c r="FQN2" s="1815"/>
      <c r="FQO2" s="1815"/>
      <c r="FQP2" s="1815"/>
      <c r="FQQ2" s="1815"/>
      <c r="FQR2" s="1815"/>
      <c r="FQS2" s="1815"/>
      <c r="FQT2" s="1815"/>
      <c r="FQU2" s="1815"/>
      <c r="FQV2" s="1815"/>
      <c r="FQW2" s="1815"/>
      <c r="FQX2" s="1815"/>
      <c r="FQY2" s="1815"/>
      <c r="FQZ2" s="1815"/>
      <c r="FRA2" s="1815"/>
      <c r="FRB2" s="1815"/>
      <c r="FRC2" s="1815"/>
      <c r="FRD2" s="1815"/>
      <c r="FRE2" s="1815"/>
      <c r="FRF2" s="1815"/>
      <c r="FRG2" s="1815"/>
      <c r="FRH2" s="1815"/>
      <c r="FRI2" s="1815"/>
      <c r="FRJ2" s="1815"/>
      <c r="FRK2" s="1815"/>
      <c r="FRL2" s="1815"/>
      <c r="FRM2" s="1815"/>
      <c r="FRN2" s="1815"/>
      <c r="FRO2" s="1815"/>
      <c r="FRP2" s="1815"/>
      <c r="FRQ2" s="1815"/>
      <c r="FRR2" s="1815"/>
      <c r="FRS2" s="1815"/>
      <c r="FRT2" s="1815"/>
      <c r="FRU2" s="1815"/>
      <c r="FRV2" s="1815"/>
      <c r="FRW2" s="1815"/>
      <c r="FRX2" s="1815"/>
      <c r="FRY2" s="1815"/>
      <c r="FRZ2" s="1815"/>
      <c r="FSA2" s="1815"/>
      <c r="FSB2" s="1815"/>
      <c r="FSC2" s="1815"/>
      <c r="FSD2" s="1815"/>
      <c r="FSE2" s="1815"/>
      <c r="FSF2" s="1815"/>
      <c r="FSG2" s="1815"/>
      <c r="FSH2" s="1815"/>
      <c r="FSI2" s="1815"/>
      <c r="FSJ2" s="1815"/>
      <c r="FSK2" s="1815"/>
      <c r="FSL2" s="1815"/>
      <c r="FSM2" s="1815"/>
      <c r="FSN2" s="1815"/>
      <c r="FSO2" s="1815"/>
      <c r="FSP2" s="1815"/>
      <c r="FSQ2" s="1815"/>
      <c r="FSR2" s="1815"/>
      <c r="FSS2" s="1815"/>
      <c r="FST2" s="1815"/>
      <c r="FSU2" s="1815"/>
      <c r="FSV2" s="1815"/>
      <c r="FSW2" s="1815"/>
      <c r="FSX2" s="1815"/>
      <c r="FSY2" s="1815"/>
      <c r="FSZ2" s="1815"/>
      <c r="FTA2" s="1815"/>
      <c r="FTB2" s="1815"/>
      <c r="FTC2" s="1815"/>
      <c r="FTD2" s="1815"/>
      <c r="FTE2" s="1815"/>
      <c r="FTF2" s="1815"/>
      <c r="FTG2" s="1815"/>
      <c r="FTH2" s="1815"/>
      <c r="FTI2" s="1815"/>
      <c r="FTJ2" s="1815"/>
      <c r="FTK2" s="1815"/>
      <c r="FTL2" s="1815"/>
      <c r="FTM2" s="1815"/>
      <c r="FTN2" s="1815"/>
      <c r="FTO2" s="1815"/>
      <c r="FTP2" s="1815"/>
      <c r="FTQ2" s="1815"/>
      <c r="FTR2" s="1815"/>
      <c r="FTS2" s="1815"/>
      <c r="FTT2" s="1815"/>
      <c r="FTU2" s="1815"/>
      <c r="FTV2" s="1815"/>
      <c r="FTW2" s="1815"/>
      <c r="FTX2" s="1815"/>
      <c r="FTY2" s="1815"/>
      <c r="FTZ2" s="1815"/>
      <c r="FUA2" s="1815"/>
      <c r="FUB2" s="1815"/>
      <c r="FUC2" s="1815"/>
      <c r="FUD2" s="1815"/>
      <c r="FUE2" s="1815"/>
      <c r="FUF2" s="1815"/>
      <c r="FUG2" s="1815"/>
      <c r="FUH2" s="1815"/>
      <c r="FUI2" s="1815"/>
      <c r="FUJ2" s="1815"/>
      <c r="FUK2" s="1815"/>
      <c r="FUL2" s="1815"/>
      <c r="FUM2" s="1815"/>
      <c r="FUN2" s="1815"/>
      <c r="FUO2" s="1815"/>
      <c r="FUP2" s="1815"/>
      <c r="FUQ2" s="1815"/>
      <c r="FUR2" s="1815"/>
      <c r="FUS2" s="1815"/>
      <c r="FUT2" s="1815"/>
      <c r="FUU2" s="1815"/>
      <c r="FUV2" s="1815"/>
      <c r="FUW2" s="1815"/>
      <c r="FUX2" s="1815"/>
      <c r="FUY2" s="1815"/>
      <c r="FUZ2" s="1815"/>
      <c r="FVA2" s="1815"/>
      <c r="FVB2" s="1815"/>
      <c r="FVC2" s="1815"/>
      <c r="FVD2" s="1815"/>
      <c r="FVE2" s="1815"/>
      <c r="FVF2" s="1815"/>
      <c r="FVG2" s="1815"/>
      <c r="FVH2" s="1815"/>
      <c r="FVI2" s="1815"/>
      <c r="FVJ2" s="1815"/>
      <c r="FVK2" s="1815"/>
      <c r="FVL2" s="1815"/>
      <c r="FVM2" s="1815"/>
      <c r="FVN2" s="1815"/>
      <c r="FVO2" s="1815"/>
      <c r="FVP2" s="1815"/>
      <c r="FVQ2" s="1815"/>
      <c r="FVR2" s="1815"/>
      <c r="FVS2" s="1815"/>
      <c r="FVT2" s="1815"/>
      <c r="FVU2" s="1815"/>
      <c r="FVV2" s="1815"/>
      <c r="FVW2" s="1815"/>
      <c r="FVX2" s="1815"/>
      <c r="FVY2" s="1815"/>
      <c r="FVZ2" s="1815"/>
      <c r="FWA2" s="1815"/>
      <c r="FWB2" s="1815"/>
      <c r="FWC2" s="1815"/>
      <c r="FWD2" s="1815"/>
      <c r="FWE2" s="1815"/>
      <c r="FWF2" s="1815"/>
      <c r="FWG2" s="1815"/>
      <c r="FWH2" s="1815"/>
      <c r="FWI2" s="1815"/>
      <c r="FWJ2" s="1815"/>
      <c r="FWK2" s="1815"/>
      <c r="FWL2" s="1815"/>
      <c r="FWM2" s="1815"/>
      <c r="FWN2" s="1815"/>
      <c r="FWO2" s="1815"/>
      <c r="FWP2" s="1815"/>
      <c r="FWQ2" s="1815"/>
      <c r="FWR2" s="1815"/>
      <c r="FWS2" s="1815"/>
      <c r="FWT2" s="1815"/>
      <c r="FWU2" s="1815"/>
      <c r="FWV2" s="1815"/>
      <c r="FWW2" s="1815"/>
      <c r="FWX2" s="1815"/>
      <c r="FWY2" s="1815"/>
      <c r="FWZ2" s="1815"/>
      <c r="FXA2" s="1815"/>
      <c r="FXB2" s="1815"/>
      <c r="FXC2" s="1815"/>
      <c r="FXD2" s="1815"/>
      <c r="FXE2" s="1815"/>
      <c r="FXF2" s="1815"/>
      <c r="FXG2" s="1815"/>
      <c r="FXH2" s="1815"/>
      <c r="FXI2" s="1815"/>
      <c r="FXJ2" s="1815"/>
      <c r="FXK2" s="1815"/>
      <c r="FXL2" s="1815"/>
      <c r="FXM2" s="1815"/>
      <c r="FXN2" s="1815"/>
      <c r="FXO2" s="1815"/>
      <c r="FXP2" s="1815"/>
      <c r="FXQ2" s="1815"/>
      <c r="FXR2" s="1815"/>
      <c r="FXS2" s="1815"/>
      <c r="FXT2" s="1815"/>
      <c r="FXU2" s="1815"/>
      <c r="FXV2" s="1815"/>
      <c r="FXW2" s="1815"/>
      <c r="FXX2" s="1815"/>
      <c r="FXY2" s="1815"/>
      <c r="FXZ2" s="1815"/>
      <c r="FYA2" s="1815"/>
      <c r="FYB2" s="1815"/>
      <c r="FYC2" s="1815"/>
      <c r="FYD2" s="1815"/>
      <c r="FYE2" s="1815"/>
      <c r="FYF2" s="1815"/>
      <c r="FYG2" s="1815"/>
      <c r="FYH2" s="1815"/>
      <c r="FYI2" s="1815"/>
      <c r="FYJ2" s="1815"/>
      <c r="FYK2" s="1815"/>
      <c r="FYL2" s="1815"/>
      <c r="FYM2" s="1815"/>
      <c r="FYN2" s="1815"/>
      <c r="FYO2" s="1815"/>
      <c r="FYP2" s="1815"/>
      <c r="FYQ2" s="1815"/>
      <c r="FYR2" s="1815"/>
      <c r="FYS2" s="1815"/>
      <c r="FYT2" s="1815"/>
      <c r="FYU2" s="1815"/>
      <c r="FYV2" s="1815"/>
      <c r="FYW2" s="1815"/>
      <c r="FYX2" s="1815"/>
      <c r="FYY2" s="1815"/>
      <c r="FYZ2" s="1815"/>
      <c r="FZA2" s="1815"/>
      <c r="FZB2" s="1815"/>
      <c r="FZC2" s="1815"/>
      <c r="FZD2" s="1815"/>
      <c r="FZE2" s="1815"/>
      <c r="FZF2" s="1815"/>
      <c r="FZG2" s="1815"/>
      <c r="FZH2" s="1815"/>
      <c r="FZI2" s="1815"/>
      <c r="FZJ2" s="1815"/>
      <c r="FZK2" s="1815"/>
      <c r="FZL2" s="1815"/>
      <c r="FZM2" s="1815"/>
      <c r="FZN2" s="1815"/>
      <c r="FZO2" s="1815"/>
      <c r="FZP2" s="1815"/>
      <c r="FZQ2" s="1815"/>
      <c r="FZR2" s="1815"/>
      <c r="FZS2" s="1815"/>
      <c r="FZT2" s="1815"/>
      <c r="FZU2" s="1815"/>
      <c r="FZV2" s="1815"/>
      <c r="FZW2" s="1815"/>
      <c r="FZX2" s="1815"/>
      <c r="FZY2" s="1815"/>
      <c r="FZZ2" s="1815"/>
      <c r="GAA2" s="1815"/>
      <c r="GAB2" s="1815"/>
      <c r="GAC2" s="1815"/>
      <c r="GAD2" s="1815"/>
      <c r="GAE2" s="1815"/>
      <c r="GAF2" s="1815"/>
      <c r="GAG2" s="1815"/>
      <c r="GAH2" s="1815"/>
      <c r="GAI2" s="1815"/>
      <c r="GAJ2" s="1815"/>
      <c r="GAK2" s="1815"/>
      <c r="GAL2" s="1815"/>
      <c r="GAM2" s="1815"/>
      <c r="GAN2" s="1815"/>
      <c r="GAO2" s="1815"/>
      <c r="GAP2" s="1815"/>
      <c r="GAQ2" s="1815"/>
      <c r="GAR2" s="1815"/>
      <c r="GAS2" s="1815"/>
      <c r="GAT2" s="1815"/>
      <c r="GAU2" s="1815"/>
      <c r="GAV2" s="1815"/>
      <c r="GAW2" s="1815"/>
      <c r="GAX2" s="1815"/>
      <c r="GAY2" s="1815"/>
      <c r="GAZ2" s="1815"/>
      <c r="GBA2" s="1815"/>
      <c r="GBB2" s="1815"/>
      <c r="GBC2" s="1815"/>
      <c r="GBD2" s="1815"/>
      <c r="GBE2" s="1815"/>
      <c r="GBF2" s="1815"/>
      <c r="GBG2" s="1815"/>
      <c r="GBH2" s="1815"/>
      <c r="GBI2" s="1815"/>
      <c r="GBJ2" s="1815"/>
      <c r="GBK2" s="1815"/>
      <c r="GBL2" s="1815"/>
      <c r="GBM2" s="1815"/>
      <c r="GBN2" s="1815"/>
      <c r="GBO2" s="1815"/>
      <c r="GBP2" s="1815"/>
      <c r="GBQ2" s="1815"/>
      <c r="GBR2" s="1815"/>
      <c r="GBS2" s="1815"/>
      <c r="GBT2" s="1815"/>
      <c r="GBU2" s="1815"/>
      <c r="GBV2" s="1815"/>
      <c r="GBW2" s="1815"/>
      <c r="GBX2" s="1815"/>
      <c r="GBY2" s="1815"/>
      <c r="GBZ2" s="1815"/>
      <c r="GCA2" s="1815"/>
      <c r="GCB2" s="1815"/>
      <c r="GCC2" s="1815"/>
      <c r="GCD2" s="1815"/>
      <c r="GCE2" s="1815"/>
      <c r="GCF2" s="1815"/>
      <c r="GCG2" s="1815"/>
      <c r="GCH2" s="1815"/>
      <c r="GCI2" s="1815"/>
      <c r="GCJ2" s="1815"/>
      <c r="GCK2" s="1815"/>
      <c r="GCL2" s="1815"/>
      <c r="GCM2" s="1815"/>
      <c r="GCN2" s="1815"/>
      <c r="GCO2" s="1815"/>
      <c r="GCP2" s="1815"/>
      <c r="GCQ2" s="1815"/>
      <c r="GCR2" s="1815"/>
      <c r="GCS2" s="1815"/>
      <c r="GCT2" s="1815"/>
      <c r="GCU2" s="1815"/>
      <c r="GCV2" s="1815"/>
      <c r="GCW2" s="1815"/>
      <c r="GCX2" s="1815"/>
      <c r="GCY2" s="1815"/>
      <c r="GCZ2" s="1815"/>
      <c r="GDA2" s="1815"/>
      <c r="GDB2" s="1815"/>
      <c r="GDC2" s="1815"/>
      <c r="GDD2" s="1815"/>
      <c r="GDE2" s="1815"/>
      <c r="GDF2" s="1815"/>
      <c r="GDG2" s="1815"/>
      <c r="GDH2" s="1815"/>
      <c r="GDI2" s="1815"/>
      <c r="GDJ2" s="1815"/>
      <c r="GDK2" s="1815"/>
      <c r="GDL2" s="1815"/>
      <c r="GDM2" s="1815"/>
      <c r="GDN2" s="1815"/>
      <c r="GDO2" s="1815"/>
      <c r="GDP2" s="1815"/>
      <c r="GDQ2" s="1815"/>
      <c r="GDR2" s="1815"/>
      <c r="GDS2" s="1815"/>
      <c r="GDT2" s="1815"/>
      <c r="GDU2" s="1815"/>
      <c r="GDV2" s="1815"/>
      <c r="GDW2" s="1815"/>
      <c r="GDX2" s="1815"/>
      <c r="GDY2" s="1815"/>
      <c r="GDZ2" s="1815"/>
      <c r="GEA2" s="1815"/>
      <c r="GEB2" s="1815"/>
      <c r="GEC2" s="1815"/>
      <c r="GED2" s="1815"/>
      <c r="GEE2" s="1815"/>
      <c r="GEF2" s="1815"/>
      <c r="GEG2" s="1815"/>
      <c r="GEH2" s="1815"/>
      <c r="GEI2" s="1815"/>
      <c r="GEJ2" s="1815"/>
      <c r="GEK2" s="1815"/>
      <c r="GEL2" s="1815"/>
      <c r="GEM2" s="1815"/>
      <c r="GEN2" s="1815"/>
      <c r="GEO2" s="1815"/>
      <c r="GEP2" s="1815"/>
      <c r="GEQ2" s="1815"/>
      <c r="GER2" s="1815"/>
      <c r="GES2" s="1815"/>
      <c r="GET2" s="1815"/>
      <c r="GEU2" s="1815"/>
      <c r="GEV2" s="1815"/>
      <c r="GEW2" s="1815"/>
      <c r="GEX2" s="1815"/>
      <c r="GEY2" s="1815"/>
      <c r="GEZ2" s="1815"/>
      <c r="GFA2" s="1815"/>
      <c r="GFB2" s="1815"/>
      <c r="GFC2" s="1815"/>
      <c r="GFD2" s="1815"/>
      <c r="GFE2" s="1815"/>
      <c r="GFF2" s="1815"/>
      <c r="GFG2" s="1815"/>
      <c r="GFH2" s="1815"/>
      <c r="GFI2" s="1815"/>
      <c r="GFJ2" s="1815"/>
      <c r="GFK2" s="1815"/>
      <c r="GFL2" s="1815"/>
      <c r="GFM2" s="1815"/>
      <c r="GFN2" s="1815"/>
      <c r="GFO2" s="1815"/>
      <c r="GFP2" s="1815"/>
      <c r="GFQ2" s="1815"/>
      <c r="GFR2" s="1815"/>
      <c r="GFS2" s="1815"/>
      <c r="GFT2" s="1815"/>
      <c r="GFU2" s="1815"/>
      <c r="GFV2" s="1815"/>
      <c r="GFW2" s="1815"/>
      <c r="GFX2" s="1815"/>
      <c r="GFY2" s="1815"/>
      <c r="GFZ2" s="1815"/>
      <c r="GGA2" s="1815"/>
      <c r="GGB2" s="1815"/>
      <c r="GGC2" s="1815"/>
      <c r="GGD2" s="1815"/>
      <c r="GGE2" s="1815"/>
      <c r="GGF2" s="1815"/>
      <c r="GGG2" s="1815"/>
      <c r="GGH2" s="1815"/>
      <c r="GGI2" s="1815"/>
      <c r="GGJ2" s="1815"/>
      <c r="GGK2" s="1815"/>
      <c r="GGL2" s="1815"/>
      <c r="GGM2" s="1815"/>
      <c r="GGN2" s="1815"/>
      <c r="GGO2" s="1815"/>
      <c r="GGP2" s="1815"/>
      <c r="GGQ2" s="1815"/>
      <c r="GGR2" s="1815"/>
      <c r="GGS2" s="1815"/>
      <c r="GGT2" s="1815"/>
      <c r="GGU2" s="1815"/>
      <c r="GGV2" s="1815"/>
      <c r="GGW2" s="1815"/>
      <c r="GGX2" s="1815"/>
      <c r="GGY2" s="1815"/>
      <c r="GGZ2" s="1815"/>
      <c r="GHA2" s="1815"/>
      <c r="GHB2" s="1815"/>
      <c r="GHC2" s="1815"/>
      <c r="GHD2" s="1815"/>
      <c r="GHE2" s="1815"/>
      <c r="GHF2" s="1815"/>
      <c r="GHG2" s="1815"/>
      <c r="GHH2" s="1815"/>
      <c r="GHI2" s="1815"/>
      <c r="GHJ2" s="1815"/>
      <c r="GHK2" s="1815"/>
      <c r="GHL2" s="1815"/>
      <c r="GHM2" s="1815"/>
      <c r="GHN2" s="1815"/>
      <c r="GHO2" s="1815"/>
      <c r="GHP2" s="1815"/>
      <c r="GHQ2" s="1815"/>
      <c r="GHR2" s="1815"/>
      <c r="GHS2" s="1815"/>
      <c r="GHT2" s="1815"/>
      <c r="GHU2" s="1815"/>
      <c r="GHV2" s="1815"/>
      <c r="GHW2" s="1815"/>
      <c r="GHX2" s="1815"/>
      <c r="GHY2" s="1815"/>
      <c r="GHZ2" s="1815"/>
      <c r="GIA2" s="1815"/>
      <c r="GIB2" s="1815"/>
      <c r="GIC2" s="1815"/>
      <c r="GID2" s="1815"/>
      <c r="GIE2" s="1815"/>
      <c r="GIF2" s="1815"/>
      <c r="GIG2" s="1815"/>
      <c r="GIH2" s="1815"/>
      <c r="GII2" s="1815"/>
      <c r="GIJ2" s="1815"/>
      <c r="GIK2" s="1815"/>
      <c r="GIL2" s="1815"/>
      <c r="GIM2" s="1815"/>
      <c r="GIN2" s="1815"/>
      <c r="GIO2" s="1815"/>
      <c r="GIP2" s="1815"/>
      <c r="GIQ2" s="1815"/>
      <c r="GIR2" s="1815"/>
      <c r="GIS2" s="1815"/>
      <c r="GIT2" s="1815"/>
      <c r="GIU2" s="1815"/>
      <c r="GIV2" s="1815"/>
      <c r="GIW2" s="1815"/>
      <c r="GIX2" s="1815"/>
      <c r="GIY2" s="1815"/>
      <c r="GIZ2" s="1815"/>
      <c r="GJA2" s="1815"/>
      <c r="GJB2" s="1815"/>
      <c r="GJC2" s="1815"/>
      <c r="GJD2" s="1815"/>
      <c r="GJE2" s="1815"/>
      <c r="GJF2" s="1815"/>
      <c r="GJG2" s="1815"/>
      <c r="GJH2" s="1815"/>
      <c r="GJI2" s="1815"/>
      <c r="GJJ2" s="1815"/>
      <c r="GJK2" s="1815"/>
      <c r="GJL2" s="1815"/>
      <c r="GJM2" s="1815"/>
      <c r="GJN2" s="1815"/>
      <c r="GJO2" s="1815"/>
      <c r="GJP2" s="1815"/>
      <c r="GJQ2" s="1815"/>
      <c r="GJR2" s="1815"/>
      <c r="GJS2" s="1815"/>
      <c r="GJT2" s="1815"/>
      <c r="GJU2" s="1815"/>
      <c r="GJV2" s="1815"/>
      <c r="GJW2" s="1815"/>
      <c r="GJX2" s="1815"/>
      <c r="GJY2" s="1815"/>
      <c r="GJZ2" s="1815"/>
      <c r="GKA2" s="1815"/>
      <c r="GKB2" s="1815"/>
      <c r="GKC2" s="1815"/>
      <c r="GKD2" s="1815"/>
      <c r="GKE2" s="1815"/>
      <c r="GKF2" s="1815"/>
      <c r="GKG2" s="1815"/>
      <c r="GKH2" s="1815"/>
      <c r="GKI2" s="1815"/>
      <c r="GKJ2" s="1815"/>
      <c r="GKK2" s="1815"/>
      <c r="GKL2" s="1815"/>
      <c r="GKM2" s="1815"/>
      <c r="GKN2" s="1815"/>
      <c r="GKO2" s="1815"/>
      <c r="GKP2" s="1815"/>
      <c r="GKQ2" s="1815"/>
      <c r="GKR2" s="1815"/>
      <c r="GKS2" s="1815"/>
      <c r="GKT2" s="1815"/>
      <c r="GKU2" s="1815"/>
      <c r="GKV2" s="1815"/>
      <c r="GKW2" s="1815"/>
      <c r="GKX2" s="1815"/>
      <c r="GKY2" s="1815"/>
      <c r="GKZ2" s="1815"/>
      <c r="GLA2" s="1815"/>
      <c r="GLB2" s="1815"/>
      <c r="GLC2" s="1815"/>
      <c r="GLD2" s="1815"/>
      <c r="GLE2" s="1815"/>
      <c r="GLF2" s="1815"/>
      <c r="GLG2" s="1815"/>
      <c r="GLH2" s="1815"/>
      <c r="GLI2" s="1815"/>
      <c r="GLJ2" s="1815"/>
      <c r="GLK2" s="1815"/>
      <c r="GLL2" s="1815"/>
      <c r="GLM2" s="1815"/>
      <c r="GLN2" s="1815"/>
      <c r="GLO2" s="1815"/>
      <c r="GLP2" s="1815"/>
      <c r="GLQ2" s="1815"/>
      <c r="GLR2" s="1815"/>
      <c r="GLS2" s="1815"/>
      <c r="GLT2" s="1815"/>
      <c r="GLU2" s="1815"/>
      <c r="GLV2" s="1815"/>
      <c r="GLW2" s="1815"/>
      <c r="GLX2" s="1815"/>
      <c r="GLY2" s="1815"/>
      <c r="GLZ2" s="1815"/>
      <c r="GMA2" s="1815"/>
      <c r="GMB2" s="1815"/>
      <c r="GMC2" s="1815"/>
      <c r="GMD2" s="1815"/>
      <c r="GME2" s="1815"/>
      <c r="GMF2" s="1815"/>
      <c r="GMG2" s="1815"/>
      <c r="GMH2" s="1815"/>
      <c r="GMI2" s="1815"/>
      <c r="GMJ2" s="1815"/>
      <c r="GMK2" s="1815"/>
      <c r="GML2" s="1815"/>
      <c r="GMM2" s="1815"/>
      <c r="GMN2" s="1815"/>
      <c r="GMO2" s="1815"/>
      <c r="GMP2" s="1815"/>
      <c r="GMQ2" s="1815"/>
      <c r="GMR2" s="1815"/>
      <c r="GMS2" s="1815"/>
      <c r="GMT2" s="1815"/>
      <c r="GMU2" s="1815"/>
      <c r="GMV2" s="1815"/>
      <c r="GMW2" s="1815"/>
      <c r="GMX2" s="1815"/>
      <c r="GMY2" s="1815"/>
      <c r="GMZ2" s="1815"/>
      <c r="GNA2" s="1815"/>
      <c r="GNB2" s="1815"/>
      <c r="GNC2" s="1815"/>
      <c r="GND2" s="1815"/>
      <c r="GNE2" s="1815"/>
      <c r="GNF2" s="1815"/>
      <c r="GNG2" s="1815"/>
      <c r="GNH2" s="1815"/>
      <c r="GNI2" s="1815"/>
      <c r="GNJ2" s="1815"/>
      <c r="GNK2" s="1815"/>
      <c r="GNL2" s="1815"/>
      <c r="GNM2" s="1815"/>
      <c r="GNN2" s="1815"/>
      <c r="GNO2" s="1815"/>
      <c r="GNP2" s="1815"/>
      <c r="GNQ2" s="1815"/>
      <c r="GNR2" s="1815"/>
      <c r="GNS2" s="1815"/>
      <c r="GNT2" s="1815"/>
      <c r="GNU2" s="1815"/>
      <c r="GNV2" s="1815"/>
      <c r="GNW2" s="1815"/>
      <c r="GNX2" s="1815"/>
      <c r="GNY2" s="1815"/>
      <c r="GNZ2" s="1815"/>
      <c r="GOA2" s="1815"/>
      <c r="GOB2" s="1815"/>
      <c r="GOC2" s="1815"/>
      <c r="GOD2" s="1815"/>
      <c r="GOE2" s="1815"/>
      <c r="GOF2" s="1815"/>
      <c r="GOG2" s="1815"/>
      <c r="GOH2" s="1815"/>
      <c r="GOI2" s="1815"/>
      <c r="GOJ2" s="1815"/>
      <c r="GOK2" s="1815"/>
      <c r="GOL2" s="1815"/>
      <c r="GOM2" s="1815"/>
      <c r="GON2" s="1815"/>
      <c r="GOO2" s="1815"/>
      <c r="GOP2" s="1815"/>
      <c r="GOQ2" s="1815"/>
      <c r="GOR2" s="1815"/>
      <c r="GOS2" s="1815"/>
      <c r="GOT2" s="1815"/>
      <c r="GOU2" s="1815"/>
      <c r="GOV2" s="1815"/>
      <c r="GOW2" s="1815"/>
      <c r="GOX2" s="1815"/>
      <c r="GOY2" s="1815"/>
      <c r="GOZ2" s="1815"/>
      <c r="GPA2" s="1815"/>
      <c r="GPB2" s="1815"/>
      <c r="GPC2" s="1815"/>
      <c r="GPD2" s="1815"/>
      <c r="GPE2" s="1815"/>
      <c r="GPF2" s="1815"/>
      <c r="GPG2" s="1815"/>
      <c r="GPH2" s="1815"/>
      <c r="GPI2" s="1815"/>
      <c r="GPJ2" s="1815"/>
      <c r="GPK2" s="1815"/>
      <c r="GPL2" s="1815"/>
      <c r="GPM2" s="1815"/>
      <c r="GPN2" s="1815"/>
      <c r="GPO2" s="1815"/>
      <c r="GPP2" s="1815"/>
      <c r="GPQ2" s="1815"/>
      <c r="GPR2" s="1815"/>
      <c r="GPS2" s="1815"/>
      <c r="GPT2" s="1815"/>
      <c r="GPU2" s="1815"/>
      <c r="GPV2" s="1815"/>
      <c r="GPW2" s="1815"/>
      <c r="GPX2" s="1815"/>
      <c r="GPY2" s="1815"/>
      <c r="GPZ2" s="1815"/>
      <c r="GQA2" s="1815"/>
      <c r="GQB2" s="1815"/>
      <c r="GQC2" s="1815"/>
      <c r="GQD2" s="1815"/>
      <c r="GQE2" s="1815"/>
      <c r="GQF2" s="1815"/>
      <c r="GQG2" s="1815"/>
      <c r="GQH2" s="1815"/>
      <c r="GQI2" s="1815"/>
      <c r="GQJ2" s="1815"/>
      <c r="GQK2" s="1815"/>
      <c r="GQL2" s="1815"/>
      <c r="GQM2" s="1815"/>
      <c r="GQN2" s="1815"/>
      <c r="GQO2" s="1815"/>
      <c r="GQP2" s="1815"/>
      <c r="GQQ2" s="1815"/>
      <c r="GQR2" s="1815"/>
      <c r="GQS2" s="1815"/>
      <c r="GQT2" s="1815"/>
      <c r="GQU2" s="1815"/>
      <c r="GQV2" s="1815"/>
      <c r="GQW2" s="1815"/>
      <c r="GQX2" s="1815"/>
      <c r="GQY2" s="1815"/>
      <c r="GQZ2" s="1815"/>
      <c r="GRA2" s="1815"/>
      <c r="GRB2" s="1815"/>
      <c r="GRC2" s="1815"/>
      <c r="GRD2" s="1815"/>
      <c r="GRE2" s="1815"/>
      <c r="GRF2" s="1815"/>
      <c r="GRG2" s="1815"/>
      <c r="GRH2" s="1815"/>
      <c r="GRI2" s="1815"/>
      <c r="GRJ2" s="1815"/>
      <c r="GRK2" s="1815"/>
      <c r="GRL2" s="1815"/>
      <c r="GRM2" s="1815"/>
      <c r="GRN2" s="1815"/>
      <c r="GRO2" s="1815"/>
      <c r="GRP2" s="1815"/>
      <c r="GRQ2" s="1815"/>
      <c r="GRR2" s="1815"/>
      <c r="GRS2" s="1815"/>
      <c r="GRT2" s="1815"/>
      <c r="GRU2" s="1815"/>
      <c r="GRV2" s="1815"/>
      <c r="GRW2" s="1815"/>
      <c r="GRX2" s="1815"/>
      <c r="GRY2" s="1815"/>
      <c r="GRZ2" s="1815"/>
      <c r="GSA2" s="1815"/>
      <c r="GSB2" s="1815"/>
      <c r="GSC2" s="1815"/>
      <c r="GSD2" s="1815"/>
      <c r="GSE2" s="1815"/>
      <c r="GSF2" s="1815"/>
      <c r="GSG2" s="1815"/>
      <c r="GSH2" s="1815"/>
      <c r="GSI2" s="1815"/>
      <c r="GSJ2" s="1815"/>
      <c r="GSK2" s="1815"/>
      <c r="GSL2" s="1815"/>
      <c r="GSM2" s="1815"/>
      <c r="GSN2" s="1815"/>
      <c r="GSO2" s="1815"/>
      <c r="GSP2" s="1815"/>
      <c r="GSQ2" s="1815"/>
      <c r="GSR2" s="1815"/>
      <c r="GSS2" s="1815"/>
      <c r="GST2" s="1815"/>
      <c r="GSU2" s="1815"/>
      <c r="GSV2" s="1815"/>
      <c r="GSW2" s="1815"/>
      <c r="GSX2" s="1815"/>
      <c r="GSY2" s="1815"/>
      <c r="GSZ2" s="1815"/>
      <c r="GTA2" s="1815"/>
      <c r="GTB2" s="1815"/>
      <c r="GTC2" s="1815"/>
      <c r="GTD2" s="1815"/>
      <c r="GTE2" s="1815"/>
      <c r="GTF2" s="1815"/>
      <c r="GTG2" s="1815"/>
      <c r="GTH2" s="1815"/>
      <c r="GTI2" s="1815"/>
      <c r="GTJ2" s="1815"/>
      <c r="GTK2" s="1815"/>
      <c r="GTL2" s="1815"/>
      <c r="GTM2" s="1815"/>
      <c r="GTN2" s="1815"/>
      <c r="GTO2" s="1815"/>
      <c r="GTP2" s="1815"/>
      <c r="GTQ2" s="1815"/>
      <c r="GTR2" s="1815"/>
      <c r="GTS2" s="1815"/>
      <c r="GTT2" s="1815"/>
      <c r="GTU2" s="1815"/>
      <c r="GTV2" s="1815"/>
      <c r="GTW2" s="1815"/>
      <c r="GTX2" s="1815"/>
      <c r="GTY2" s="1815"/>
      <c r="GTZ2" s="1815"/>
      <c r="GUA2" s="1815"/>
      <c r="GUB2" s="1815"/>
      <c r="GUC2" s="1815"/>
      <c r="GUD2" s="1815"/>
      <c r="GUE2" s="1815"/>
      <c r="GUF2" s="1815"/>
      <c r="GUG2" s="1815"/>
      <c r="GUH2" s="1815"/>
      <c r="GUI2" s="1815"/>
      <c r="GUJ2" s="1815"/>
      <c r="GUK2" s="1815"/>
      <c r="GUL2" s="1815"/>
      <c r="GUM2" s="1815"/>
      <c r="GUN2" s="1815"/>
      <c r="GUO2" s="1815"/>
      <c r="GUP2" s="1815"/>
      <c r="GUQ2" s="1815"/>
      <c r="GUR2" s="1815"/>
      <c r="GUS2" s="1815"/>
      <c r="GUT2" s="1815"/>
      <c r="GUU2" s="1815"/>
      <c r="GUV2" s="1815"/>
      <c r="GUW2" s="1815"/>
      <c r="GUX2" s="1815"/>
      <c r="GUY2" s="1815"/>
      <c r="GUZ2" s="1815"/>
      <c r="GVA2" s="1815"/>
      <c r="GVB2" s="1815"/>
      <c r="GVC2" s="1815"/>
      <c r="GVD2" s="1815"/>
      <c r="GVE2" s="1815"/>
      <c r="GVF2" s="1815"/>
      <c r="GVG2" s="1815"/>
      <c r="GVH2" s="1815"/>
      <c r="GVI2" s="1815"/>
      <c r="GVJ2" s="1815"/>
      <c r="GVK2" s="1815"/>
      <c r="GVL2" s="1815"/>
      <c r="GVM2" s="1815"/>
      <c r="GVN2" s="1815"/>
      <c r="GVO2" s="1815"/>
      <c r="GVP2" s="1815"/>
      <c r="GVQ2" s="1815"/>
      <c r="GVR2" s="1815"/>
      <c r="GVS2" s="1815"/>
      <c r="GVT2" s="1815"/>
      <c r="GVU2" s="1815"/>
      <c r="GVV2" s="1815"/>
      <c r="GVW2" s="1815"/>
      <c r="GVX2" s="1815"/>
      <c r="GVY2" s="1815"/>
      <c r="GVZ2" s="1815"/>
      <c r="GWA2" s="1815"/>
      <c r="GWB2" s="1815"/>
      <c r="GWC2" s="1815"/>
      <c r="GWD2" s="1815"/>
      <c r="GWE2" s="1815"/>
      <c r="GWF2" s="1815"/>
      <c r="GWG2" s="1815"/>
      <c r="GWH2" s="1815"/>
      <c r="GWI2" s="1815"/>
      <c r="GWJ2" s="1815"/>
      <c r="GWK2" s="1815"/>
      <c r="GWL2" s="1815"/>
      <c r="GWM2" s="1815"/>
      <c r="GWN2" s="1815"/>
      <c r="GWO2" s="1815"/>
      <c r="GWP2" s="1815"/>
      <c r="GWQ2" s="1815"/>
      <c r="GWR2" s="1815"/>
      <c r="GWS2" s="1815"/>
      <c r="GWT2" s="1815"/>
      <c r="GWU2" s="1815"/>
      <c r="GWV2" s="1815"/>
      <c r="GWW2" s="1815"/>
      <c r="GWX2" s="1815"/>
      <c r="GWY2" s="1815"/>
      <c r="GWZ2" s="1815"/>
      <c r="GXA2" s="1815"/>
      <c r="GXB2" s="1815"/>
      <c r="GXC2" s="1815"/>
      <c r="GXD2" s="1815"/>
      <c r="GXE2" s="1815"/>
      <c r="GXF2" s="1815"/>
      <c r="GXG2" s="1815"/>
      <c r="GXH2" s="1815"/>
      <c r="GXI2" s="1815"/>
      <c r="GXJ2" s="1815"/>
      <c r="GXK2" s="1815"/>
      <c r="GXL2" s="1815"/>
      <c r="GXM2" s="1815"/>
      <c r="GXN2" s="1815"/>
      <c r="GXO2" s="1815"/>
      <c r="GXP2" s="1815"/>
      <c r="GXQ2" s="1815"/>
      <c r="GXR2" s="1815"/>
      <c r="GXS2" s="1815"/>
      <c r="GXT2" s="1815"/>
      <c r="GXU2" s="1815"/>
      <c r="GXV2" s="1815"/>
      <c r="GXW2" s="1815"/>
      <c r="GXX2" s="1815"/>
      <c r="GXY2" s="1815"/>
      <c r="GXZ2" s="1815"/>
      <c r="GYA2" s="1815"/>
      <c r="GYB2" s="1815"/>
      <c r="GYC2" s="1815"/>
      <c r="GYD2" s="1815"/>
      <c r="GYE2" s="1815"/>
      <c r="GYF2" s="1815"/>
      <c r="GYG2" s="1815"/>
      <c r="GYH2" s="1815"/>
      <c r="GYI2" s="1815"/>
      <c r="GYJ2" s="1815"/>
      <c r="GYK2" s="1815"/>
      <c r="GYL2" s="1815"/>
      <c r="GYM2" s="1815"/>
      <c r="GYN2" s="1815"/>
      <c r="GYO2" s="1815"/>
      <c r="GYP2" s="1815"/>
      <c r="GYQ2" s="1815"/>
      <c r="GYR2" s="1815"/>
      <c r="GYS2" s="1815"/>
      <c r="GYT2" s="1815"/>
      <c r="GYU2" s="1815"/>
      <c r="GYV2" s="1815"/>
      <c r="GYW2" s="1815"/>
      <c r="GYX2" s="1815"/>
      <c r="GYY2" s="1815"/>
      <c r="GYZ2" s="1815"/>
      <c r="GZA2" s="1815"/>
      <c r="GZB2" s="1815"/>
      <c r="GZC2" s="1815"/>
      <c r="GZD2" s="1815"/>
      <c r="GZE2" s="1815"/>
      <c r="GZF2" s="1815"/>
      <c r="GZG2" s="1815"/>
      <c r="GZH2" s="1815"/>
      <c r="GZI2" s="1815"/>
      <c r="GZJ2" s="1815"/>
      <c r="GZK2" s="1815"/>
      <c r="GZL2" s="1815"/>
      <c r="GZM2" s="1815"/>
      <c r="GZN2" s="1815"/>
      <c r="GZO2" s="1815"/>
      <c r="GZP2" s="1815"/>
      <c r="GZQ2" s="1815"/>
      <c r="GZR2" s="1815"/>
      <c r="GZS2" s="1815"/>
      <c r="GZT2" s="1815"/>
      <c r="GZU2" s="1815"/>
      <c r="GZV2" s="1815"/>
      <c r="GZW2" s="1815"/>
      <c r="GZX2" s="1815"/>
      <c r="GZY2" s="1815"/>
      <c r="GZZ2" s="1815"/>
      <c r="HAA2" s="1815"/>
      <c r="HAB2" s="1815"/>
      <c r="HAC2" s="1815"/>
      <c r="HAD2" s="1815"/>
      <c r="HAE2" s="1815"/>
      <c r="HAF2" s="1815"/>
      <c r="HAG2" s="1815"/>
      <c r="HAH2" s="1815"/>
      <c r="HAI2" s="1815"/>
      <c r="HAJ2" s="1815"/>
      <c r="HAK2" s="1815"/>
      <c r="HAL2" s="1815"/>
      <c r="HAM2" s="1815"/>
      <c r="HAN2" s="1815"/>
      <c r="HAO2" s="1815"/>
      <c r="HAP2" s="1815"/>
      <c r="HAQ2" s="1815"/>
      <c r="HAR2" s="1815"/>
      <c r="HAS2" s="1815"/>
      <c r="HAT2" s="1815"/>
      <c r="HAU2" s="1815"/>
      <c r="HAV2" s="1815"/>
      <c r="HAW2" s="1815"/>
      <c r="HAX2" s="1815"/>
      <c r="HAY2" s="1815"/>
      <c r="HAZ2" s="1815"/>
      <c r="HBA2" s="1815"/>
      <c r="HBB2" s="1815"/>
      <c r="HBC2" s="1815"/>
      <c r="HBD2" s="1815"/>
      <c r="HBE2" s="1815"/>
      <c r="HBF2" s="1815"/>
      <c r="HBG2" s="1815"/>
      <c r="HBH2" s="1815"/>
      <c r="HBI2" s="1815"/>
      <c r="HBJ2" s="1815"/>
      <c r="HBK2" s="1815"/>
      <c r="HBL2" s="1815"/>
      <c r="HBM2" s="1815"/>
      <c r="HBN2" s="1815"/>
      <c r="HBO2" s="1815"/>
      <c r="HBP2" s="1815"/>
      <c r="HBQ2" s="1815"/>
      <c r="HBR2" s="1815"/>
      <c r="HBS2" s="1815"/>
      <c r="HBT2" s="1815"/>
      <c r="HBU2" s="1815"/>
      <c r="HBV2" s="1815"/>
      <c r="HBW2" s="1815"/>
      <c r="HBX2" s="1815"/>
      <c r="HBY2" s="1815"/>
      <c r="HBZ2" s="1815"/>
      <c r="HCA2" s="1815"/>
      <c r="HCB2" s="1815"/>
      <c r="HCC2" s="1815"/>
      <c r="HCD2" s="1815"/>
      <c r="HCE2" s="1815"/>
      <c r="HCF2" s="1815"/>
      <c r="HCG2" s="1815"/>
      <c r="HCH2" s="1815"/>
      <c r="HCI2" s="1815"/>
      <c r="HCJ2" s="1815"/>
      <c r="HCK2" s="1815"/>
      <c r="HCL2" s="1815"/>
      <c r="HCM2" s="1815"/>
      <c r="HCN2" s="1815"/>
      <c r="HCO2" s="1815"/>
      <c r="HCP2" s="1815"/>
      <c r="HCQ2" s="1815"/>
      <c r="HCR2" s="1815"/>
      <c r="HCS2" s="1815"/>
      <c r="HCT2" s="1815"/>
      <c r="HCU2" s="1815"/>
      <c r="HCV2" s="1815"/>
      <c r="HCW2" s="1815"/>
      <c r="HCX2" s="1815"/>
      <c r="HCY2" s="1815"/>
      <c r="HCZ2" s="1815"/>
      <c r="HDA2" s="1815"/>
      <c r="HDB2" s="1815"/>
      <c r="HDC2" s="1815"/>
      <c r="HDD2" s="1815"/>
      <c r="HDE2" s="1815"/>
      <c r="HDF2" s="1815"/>
      <c r="HDG2" s="1815"/>
      <c r="HDH2" s="1815"/>
      <c r="HDI2" s="1815"/>
      <c r="HDJ2" s="1815"/>
      <c r="HDK2" s="1815"/>
      <c r="HDL2" s="1815"/>
      <c r="HDM2" s="1815"/>
      <c r="HDN2" s="1815"/>
      <c r="HDO2" s="1815"/>
      <c r="HDP2" s="1815"/>
      <c r="HDQ2" s="1815"/>
      <c r="HDR2" s="1815"/>
      <c r="HDS2" s="1815"/>
      <c r="HDT2" s="1815"/>
      <c r="HDU2" s="1815"/>
      <c r="HDV2" s="1815"/>
      <c r="HDW2" s="1815"/>
      <c r="HDX2" s="1815"/>
      <c r="HDY2" s="1815"/>
      <c r="HDZ2" s="1815"/>
      <c r="HEA2" s="1815"/>
      <c r="HEB2" s="1815"/>
      <c r="HEC2" s="1815"/>
      <c r="HED2" s="1815"/>
      <c r="HEE2" s="1815"/>
      <c r="HEF2" s="1815"/>
      <c r="HEG2" s="1815"/>
      <c r="HEH2" s="1815"/>
      <c r="HEI2" s="1815"/>
      <c r="HEJ2" s="1815"/>
      <c r="HEK2" s="1815"/>
      <c r="HEL2" s="1815"/>
      <c r="HEM2" s="1815"/>
      <c r="HEN2" s="1815"/>
      <c r="HEO2" s="1815"/>
      <c r="HEP2" s="1815"/>
      <c r="HEQ2" s="1815"/>
      <c r="HER2" s="1815"/>
      <c r="HES2" s="1815"/>
      <c r="HET2" s="1815"/>
      <c r="HEU2" s="1815"/>
      <c r="HEV2" s="1815"/>
      <c r="HEW2" s="1815"/>
      <c r="HEX2" s="1815"/>
      <c r="HEY2" s="1815"/>
      <c r="HEZ2" s="1815"/>
      <c r="HFA2" s="1815"/>
      <c r="HFB2" s="1815"/>
      <c r="HFC2" s="1815"/>
      <c r="HFD2" s="1815"/>
      <c r="HFE2" s="1815"/>
      <c r="HFF2" s="1815"/>
      <c r="HFG2" s="1815"/>
      <c r="HFH2" s="1815"/>
      <c r="HFI2" s="1815"/>
      <c r="HFJ2" s="1815"/>
      <c r="HFK2" s="1815"/>
      <c r="HFL2" s="1815"/>
      <c r="HFM2" s="1815"/>
      <c r="HFN2" s="1815"/>
      <c r="HFO2" s="1815"/>
      <c r="HFP2" s="1815"/>
      <c r="HFQ2" s="1815"/>
      <c r="HFR2" s="1815"/>
      <c r="HFS2" s="1815"/>
      <c r="HFT2" s="1815"/>
      <c r="HFU2" s="1815"/>
      <c r="HFV2" s="1815"/>
      <c r="HFW2" s="1815"/>
      <c r="HFX2" s="1815"/>
      <c r="HFY2" s="1815"/>
      <c r="HFZ2" s="1815"/>
      <c r="HGA2" s="1815"/>
      <c r="HGB2" s="1815"/>
      <c r="HGC2" s="1815"/>
      <c r="HGD2" s="1815"/>
      <c r="HGE2" s="1815"/>
      <c r="HGF2" s="1815"/>
      <c r="HGG2" s="1815"/>
      <c r="HGH2" s="1815"/>
      <c r="HGI2" s="1815"/>
      <c r="HGJ2" s="1815"/>
      <c r="HGK2" s="1815"/>
      <c r="HGL2" s="1815"/>
      <c r="HGM2" s="1815"/>
      <c r="HGN2" s="1815"/>
      <c r="HGO2" s="1815"/>
      <c r="HGP2" s="1815"/>
      <c r="HGQ2" s="1815"/>
      <c r="HGR2" s="1815"/>
      <c r="HGS2" s="1815"/>
      <c r="HGT2" s="1815"/>
      <c r="HGU2" s="1815"/>
      <c r="HGV2" s="1815"/>
      <c r="HGW2" s="1815"/>
      <c r="HGX2" s="1815"/>
      <c r="HGY2" s="1815"/>
      <c r="HGZ2" s="1815"/>
      <c r="HHA2" s="1815"/>
      <c r="HHB2" s="1815"/>
      <c r="HHC2" s="1815"/>
      <c r="HHD2" s="1815"/>
      <c r="HHE2" s="1815"/>
      <c r="HHF2" s="1815"/>
      <c r="HHG2" s="1815"/>
      <c r="HHH2" s="1815"/>
      <c r="HHI2" s="1815"/>
      <c r="HHJ2" s="1815"/>
      <c r="HHK2" s="1815"/>
      <c r="HHL2" s="1815"/>
      <c r="HHM2" s="1815"/>
      <c r="HHN2" s="1815"/>
      <c r="HHO2" s="1815"/>
      <c r="HHP2" s="1815"/>
      <c r="HHQ2" s="1815"/>
      <c r="HHR2" s="1815"/>
      <c r="HHS2" s="1815"/>
      <c r="HHT2" s="1815"/>
      <c r="HHU2" s="1815"/>
      <c r="HHV2" s="1815"/>
      <c r="HHW2" s="1815"/>
      <c r="HHX2" s="1815"/>
      <c r="HHY2" s="1815"/>
      <c r="HHZ2" s="1815"/>
      <c r="HIA2" s="1815"/>
      <c r="HIB2" s="1815"/>
      <c r="HIC2" s="1815"/>
      <c r="HID2" s="1815"/>
      <c r="HIE2" s="1815"/>
      <c r="HIF2" s="1815"/>
      <c r="HIG2" s="1815"/>
      <c r="HIH2" s="1815"/>
      <c r="HII2" s="1815"/>
      <c r="HIJ2" s="1815"/>
      <c r="HIK2" s="1815"/>
      <c r="HIL2" s="1815"/>
      <c r="HIM2" s="1815"/>
      <c r="HIN2" s="1815"/>
      <c r="HIO2" s="1815"/>
      <c r="HIP2" s="1815"/>
      <c r="HIQ2" s="1815"/>
      <c r="HIR2" s="1815"/>
      <c r="HIS2" s="1815"/>
      <c r="HIT2" s="1815"/>
      <c r="HIU2" s="1815"/>
      <c r="HIV2" s="1815"/>
      <c r="HIW2" s="1815"/>
      <c r="HIX2" s="1815"/>
      <c r="HIY2" s="1815"/>
      <c r="HIZ2" s="1815"/>
      <c r="HJA2" s="1815"/>
      <c r="HJB2" s="1815"/>
      <c r="HJC2" s="1815"/>
      <c r="HJD2" s="1815"/>
      <c r="HJE2" s="1815"/>
      <c r="HJF2" s="1815"/>
      <c r="HJG2" s="1815"/>
      <c r="HJH2" s="1815"/>
      <c r="HJI2" s="1815"/>
      <c r="HJJ2" s="1815"/>
      <c r="HJK2" s="1815"/>
      <c r="HJL2" s="1815"/>
      <c r="HJM2" s="1815"/>
      <c r="HJN2" s="1815"/>
      <c r="HJO2" s="1815"/>
      <c r="HJP2" s="1815"/>
      <c r="HJQ2" s="1815"/>
      <c r="HJR2" s="1815"/>
      <c r="HJS2" s="1815"/>
      <c r="HJT2" s="1815"/>
      <c r="HJU2" s="1815"/>
      <c r="HJV2" s="1815"/>
      <c r="HJW2" s="1815"/>
      <c r="HJX2" s="1815"/>
      <c r="HJY2" s="1815"/>
      <c r="HJZ2" s="1815"/>
      <c r="HKA2" s="1815"/>
      <c r="HKB2" s="1815"/>
      <c r="HKC2" s="1815"/>
      <c r="HKD2" s="1815"/>
      <c r="HKE2" s="1815"/>
      <c r="HKF2" s="1815"/>
      <c r="HKG2" s="1815"/>
      <c r="HKH2" s="1815"/>
      <c r="HKI2" s="1815"/>
      <c r="HKJ2" s="1815"/>
      <c r="HKK2" s="1815"/>
      <c r="HKL2" s="1815"/>
      <c r="HKM2" s="1815"/>
      <c r="HKN2" s="1815"/>
      <c r="HKO2" s="1815"/>
      <c r="HKP2" s="1815"/>
      <c r="HKQ2" s="1815"/>
      <c r="HKR2" s="1815"/>
      <c r="HKS2" s="1815"/>
      <c r="HKT2" s="1815"/>
      <c r="HKU2" s="1815"/>
      <c r="HKV2" s="1815"/>
      <c r="HKW2" s="1815"/>
      <c r="HKX2" s="1815"/>
      <c r="HKY2" s="1815"/>
      <c r="HKZ2" s="1815"/>
      <c r="HLA2" s="1815"/>
      <c r="HLB2" s="1815"/>
      <c r="HLC2" s="1815"/>
      <c r="HLD2" s="1815"/>
      <c r="HLE2" s="1815"/>
      <c r="HLF2" s="1815"/>
      <c r="HLG2" s="1815"/>
      <c r="HLH2" s="1815"/>
      <c r="HLI2" s="1815"/>
      <c r="HLJ2" s="1815"/>
      <c r="HLK2" s="1815"/>
      <c r="HLL2" s="1815"/>
      <c r="HLM2" s="1815"/>
      <c r="HLN2" s="1815"/>
      <c r="HLO2" s="1815"/>
      <c r="HLP2" s="1815"/>
      <c r="HLQ2" s="1815"/>
      <c r="HLR2" s="1815"/>
      <c r="HLS2" s="1815"/>
      <c r="HLT2" s="1815"/>
      <c r="HLU2" s="1815"/>
      <c r="HLV2" s="1815"/>
      <c r="HLW2" s="1815"/>
      <c r="HLX2" s="1815"/>
      <c r="HLY2" s="1815"/>
      <c r="HLZ2" s="1815"/>
      <c r="HMA2" s="1815"/>
      <c r="HMB2" s="1815"/>
      <c r="HMC2" s="1815"/>
      <c r="HMD2" s="1815"/>
      <c r="HME2" s="1815"/>
      <c r="HMF2" s="1815"/>
      <c r="HMG2" s="1815"/>
      <c r="HMH2" s="1815"/>
      <c r="HMI2" s="1815"/>
      <c r="HMJ2" s="1815"/>
      <c r="HMK2" s="1815"/>
      <c r="HML2" s="1815"/>
      <c r="HMM2" s="1815"/>
      <c r="HMN2" s="1815"/>
      <c r="HMO2" s="1815"/>
      <c r="HMP2" s="1815"/>
      <c r="HMQ2" s="1815"/>
      <c r="HMR2" s="1815"/>
      <c r="HMS2" s="1815"/>
      <c r="HMT2" s="1815"/>
      <c r="HMU2" s="1815"/>
      <c r="HMV2" s="1815"/>
      <c r="HMW2" s="1815"/>
      <c r="HMX2" s="1815"/>
      <c r="HMY2" s="1815"/>
      <c r="HMZ2" s="1815"/>
      <c r="HNA2" s="1815"/>
      <c r="HNB2" s="1815"/>
      <c r="HNC2" s="1815"/>
      <c r="HND2" s="1815"/>
      <c r="HNE2" s="1815"/>
      <c r="HNF2" s="1815"/>
      <c r="HNG2" s="1815"/>
      <c r="HNH2" s="1815"/>
      <c r="HNI2" s="1815"/>
      <c r="HNJ2" s="1815"/>
      <c r="HNK2" s="1815"/>
      <c r="HNL2" s="1815"/>
      <c r="HNM2" s="1815"/>
      <c r="HNN2" s="1815"/>
      <c r="HNO2" s="1815"/>
      <c r="HNP2" s="1815"/>
      <c r="HNQ2" s="1815"/>
      <c r="HNR2" s="1815"/>
      <c r="HNS2" s="1815"/>
      <c r="HNT2" s="1815"/>
      <c r="HNU2" s="1815"/>
      <c r="HNV2" s="1815"/>
      <c r="HNW2" s="1815"/>
      <c r="HNX2" s="1815"/>
      <c r="HNY2" s="1815"/>
      <c r="HNZ2" s="1815"/>
      <c r="HOA2" s="1815"/>
      <c r="HOB2" s="1815"/>
      <c r="HOC2" s="1815"/>
      <c r="HOD2" s="1815"/>
      <c r="HOE2" s="1815"/>
      <c r="HOF2" s="1815"/>
      <c r="HOG2" s="1815"/>
      <c r="HOH2" s="1815"/>
      <c r="HOI2" s="1815"/>
      <c r="HOJ2" s="1815"/>
      <c r="HOK2" s="1815"/>
      <c r="HOL2" s="1815"/>
      <c r="HOM2" s="1815"/>
      <c r="HON2" s="1815"/>
      <c r="HOO2" s="1815"/>
      <c r="HOP2" s="1815"/>
      <c r="HOQ2" s="1815"/>
      <c r="HOR2" s="1815"/>
      <c r="HOS2" s="1815"/>
      <c r="HOT2" s="1815"/>
      <c r="HOU2" s="1815"/>
      <c r="HOV2" s="1815"/>
      <c r="HOW2" s="1815"/>
      <c r="HOX2" s="1815"/>
      <c r="HOY2" s="1815"/>
      <c r="HOZ2" s="1815"/>
      <c r="HPA2" s="1815"/>
      <c r="HPB2" s="1815"/>
      <c r="HPC2" s="1815"/>
      <c r="HPD2" s="1815"/>
      <c r="HPE2" s="1815"/>
      <c r="HPF2" s="1815"/>
      <c r="HPG2" s="1815"/>
      <c r="HPH2" s="1815"/>
      <c r="HPI2" s="1815"/>
      <c r="HPJ2" s="1815"/>
      <c r="HPK2" s="1815"/>
      <c r="HPL2" s="1815"/>
      <c r="HPM2" s="1815"/>
      <c r="HPN2" s="1815"/>
      <c r="HPO2" s="1815"/>
      <c r="HPP2" s="1815"/>
      <c r="HPQ2" s="1815"/>
      <c r="HPR2" s="1815"/>
      <c r="HPS2" s="1815"/>
      <c r="HPT2" s="1815"/>
      <c r="HPU2" s="1815"/>
      <c r="HPV2" s="1815"/>
      <c r="HPW2" s="1815"/>
      <c r="HPX2" s="1815"/>
      <c r="HPY2" s="1815"/>
      <c r="HPZ2" s="1815"/>
      <c r="HQA2" s="1815"/>
      <c r="HQB2" s="1815"/>
      <c r="HQC2" s="1815"/>
      <c r="HQD2" s="1815"/>
      <c r="HQE2" s="1815"/>
      <c r="HQF2" s="1815"/>
      <c r="HQG2" s="1815"/>
      <c r="HQH2" s="1815"/>
      <c r="HQI2" s="1815"/>
      <c r="HQJ2" s="1815"/>
      <c r="HQK2" s="1815"/>
      <c r="HQL2" s="1815"/>
      <c r="HQM2" s="1815"/>
      <c r="HQN2" s="1815"/>
      <c r="HQO2" s="1815"/>
      <c r="HQP2" s="1815"/>
      <c r="HQQ2" s="1815"/>
      <c r="HQR2" s="1815"/>
      <c r="HQS2" s="1815"/>
      <c r="HQT2" s="1815"/>
      <c r="HQU2" s="1815"/>
      <c r="HQV2" s="1815"/>
      <c r="HQW2" s="1815"/>
      <c r="HQX2" s="1815"/>
      <c r="HQY2" s="1815"/>
      <c r="HQZ2" s="1815"/>
      <c r="HRA2" s="1815"/>
      <c r="HRB2" s="1815"/>
      <c r="HRC2" s="1815"/>
      <c r="HRD2" s="1815"/>
      <c r="HRE2" s="1815"/>
      <c r="HRF2" s="1815"/>
      <c r="HRG2" s="1815"/>
      <c r="HRH2" s="1815"/>
      <c r="HRI2" s="1815"/>
      <c r="HRJ2" s="1815"/>
      <c r="HRK2" s="1815"/>
      <c r="HRL2" s="1815"/>
      <c r="HRM2" s="1815"/>
      <c r="HRN2" s="1815"/>
      <c r="HRO2" s="1815"/>
      <c r="HRP2" s="1815"/>
      <c r="HRQ2" s="1815"/>
      <c r="HRR2" s="1815"/>
      <c r="HRS2" s="1815"/>
      <c r="HRT2" s="1815"/>
      <c r="HRU2" s="1815"/>
      <c r="HRV2" s="1815"/>
      <c r="HRW2" s="1815"/>
      <c r="HRX2" s="1815"/>
      <c r="HRY2" s="1815"/>
      <c r="HRZ2" s="1815"/>
      <c r="HSA2" s="1815"/>
      <c r="HSB2" s="1815"/>
      <c r="HSC2" s="1815"/>
      <c r="HSD2" s="1815"/>
      <c r="HSE2" s="1815"/>
      <c r="HSF2" s="1815"/>
      <c r="HSG2" s="1815"/>
      <c r="HSH2" s="1815"/>
      <c r="HSI2" s="1815"/>
      <c r="HSJ2" s="1815"/>
      <c r="HSK2" s="1815"/>
      <c r="HSL2" s="1815"/>
      <c r="HSM2" s="1815"/>
      <c r="HSN2" s="1815"/>
      <c r="HSO2" s="1815"/>
      <c r="HSP2" s="1815"/>
      <c r="HSQ2" s="1815"/>
      <c r="HSR2" s="1815"/>
      <c r="HSS2" s="1815"/>
      <c r="HST2" s="1815"/>
      <c r="HSU2" s="1815"/>
      <c r="HSV2" s="1815"/>
      <c r="HSW2" s="1815"/>
      <c r="HSX2" s="1815"/>
      <c r="HSY2" s="1815"/>
      <c r="HSZ2" s="1815"/>
      <c r="HTA2" s="1815"/>
      <c r="HTB2" s="1815"/>
      <c r="HTC2" s="1815"/>
      <c r="HTD2" s="1815"/>
      <c r="HTE2" s="1815"/>
      <c r="HTF2" s="1815"/>
      <c r="HTG2" s="1815"/>
      <c r="HTH2" s="1815"/>
      <c r="HTI2" s="1815"/>
      <c r="HTJ2" s="1815"/>
      <c r="HTK2" s="1815"/>
      <c r="HTL2" s="1815"/>
      <c r="HTM2" s="1815"/>
      <c r="HTN2" s="1815"/>
      <c r="HTO2" s="1815"/>
      <c r="HTP2" s="1815"/>
      <c r="HTQ2" s="1815"/>
      <c r="HTR2" s="1815"/>
      <c r="HTS2" s="1815"/>
      <c r="HTT2" s="1815"/>
      <c r="HTU2" s="1815"/>
      <c r="HTV2" s="1815"/>
      <c r="HTW2" s="1815"/>
      <c r="HTX2" s="1815"/>
      <c r="HTY2" s="1815"/>
      <c r="HTZ2" s="1815"/>
      <c r="HUA2" s="1815"/>
      <c r="HUB2" s="1815"/>
      <c r="HUC2" s="1815"/>
      <c r="HUD2" s="1815"/>
      <c r="HUE2" s="1815"/>
      <c r="HUF2" s="1815"/>
      <c r="HUG2" s="1815"/>
      <c r="HUH2" s="1815"/>
      <c r="HUI2" s="1815"/>
      <c r="HUJ2" s="1815"/>
      <c r="HUK2" s="1815"/>
      <c r="HUL2" s="1815"/>
      <c r="HUM2" s="1815"/>
      <c r="HUN2" s="1815"/>
      <c r="HUO2" s="1815"/>
      <c r="HUP2" s="1815"/>
      <c r="HUQ2" s="1815"/>
      <c r="HUR2" s="1815"/>
      <c r="HUS2" s="1815"/>
      <c r="HUT2" s="1815"/>
      <c r="HUU2" s="1815"/>
      <c r="HUV2" s="1815"/>
      <c r="HUW2" s="1815"/>
      <c r="HUX2" s="1815"/>
      <c r="HUY2" s="1815"/>
      <c r="HUZ2" s="1815"/>
      <c r="HVA2" s="1815"/>
      <c r="HVB2" s="1815"/>
      <c r="HVC2" s="1815"/>
      <c r="HVD2" s="1815"/>
      <c r="HVE2" s="1815"/>
      <c r="HVF2" s="1815"/>
      <c r="HVG2" s="1815"/>
      <c r="HVH2" s="1815"/>
      <c r="HVI2" s="1815"/>
      <c r="HVJ2" s="1815"/>
      <c r="HVK2" s="1815"/>
      <c r="HVL2" s="1815"/>
      <c r="HVM2" s="1815"/>
      <c r="HVN2" s="1815"/>
      <c r="HVO2" s="1815"/>
      <c r="HVP2" s="1815"/>
      <c r="HVQ2" s="1815"/>
      <c r="HVR2" s="1815"/>
      <c r="HVS2" s="1815"/>
      <c r="HVT2" s="1815"/>
      <c r="HVU2" s="1815"/>
      <c r="HVV2" s="1815"/>
      <c r="HVW2" s="1815"/>
      <c r="HVX2" s="1815"/>
      <c r="HVY2" s="1815"/>
      <c r="HVZ2" s="1815"/>
      <c r="HWA2" s="1815"/>
      <c r="HWB2" s="1815"/>
      <c r="HWC2" s="1815"/>
      <c r="HWD2" s="1815"/>
      <c r="HWE2" s="1815"/>
      <c r="HWF2" s="1815"/>
      <c r="HWG2" s="1815"/>
      <c r="HWH2" s="1815"/>
      <c r="HWI2" s="1815"/>
      <c r="HWJ2" s="1815"/>
      <c r="HWK2" s="1815"/>
      <c r="HWL2" s="1815"/>
      <c r="HWM2" s="1815"/>
      <c r="HWN2" s="1815"/>
      <c r="HWO2" s="1815"/>
      <c r="HWP2" s="1815"/>
      <c r="HWQ2" s="1815"/>
      <c r="HWR2" s="1815"/>
      <c r="HWS2" s="1815"/>
      <c r="HWT2" s="1815"/>
      <c r="HWU2" s="1815"/>
      <c r="HWV2" s="1815"/>
      <c r="HWW2" s="1815"/>
      <c r="HWX2" s="1815"/>
      <c r="HWY2" s="1815"/>
      <c r="HWZ2" s="1815"/>
      <c r="HXA2" s="1815"/>
      <c r="HXB2" s="1815"/>
      <c r="HXC2" s="1815"/>
      <c r="HXD2" s="1815"/>
      <c r="HXE2" s="1815"/>
      <c r="HXF2" s="1815"/>
      <c r="HXG2" s="1815"/>
      <c r="HXH2" s="1815"/>
      <c r="HXI2" s="1815"/>
      <c r="HXJ2" s="1815"/>
      <c r="HXK2" s="1815"/>
      <c r="HXL2" s="1815"/>
      <c r="HXM2" s="1815"/>
      <c r="HXN2" s="1815"/>
      <c r="HXO2" s="1815"/>
      <c r="HXP2" s="1815"/>
      <c r="HXQ2" s="1815"/>
      <c r="HXR2" s="1815"/>
      <c r="HXS2" s="1815"/>
      <c r="HXT2" s="1815"/>
      <c r="HXU2" s="1815"/>
      <c r="HXV2" s="1815"/>
      <c r="HXW2" s="1815"/>
      <c r="HXX2" s="1815"/>
      <c r="HXY2" s="1815"/>
      <c r="HXZ2" s="1815"/>
      <c r="HYA2" s="1815"/>
      <c r="HYB2" s="1815"/>
      <c r="HYC2" s="1815"/>
      <c r="HYD2" s="1815"/>
      <c r="HYE2" s="1815"/>
      <c r="HYF2" s="1815"/>
      <c r="HYG2" s="1815"/>
      <c r="HYH2" s="1815"/>
      <c r="HYI2" s="1815"/>
      <c r="HYJ2" s="1815"/>
      <c r="HYK2" s="1815"/>
      <c r="HYL2" s="1815"/>
      <c r="HYM2" s="1815"/>
      <c r="HYN2" s="1815"/>
      <c r="HYO2" s="1815"/>
      <c r="HYP2" s="1815"/>
      <c r="HYQ2" s="1815"/>
      <c r="HYR2" s="1815"/>
      <c r="HYS2" s="1815"/>
      <c r="HYT2" s="1815"/>
      <c r="HYU2" s="1815"/>
      <c r="HYV2" s="1815"/>
      <c r="HYW2" s="1815"/>
      <c r="HYX2" s="1815"/>
      <c r="HYY2" s="1815"/>
      <c r="HYZ2" s="1815"/>
      <c r="HZA2" s="1815"/>
      <c r="HZB2" s="1815"/>
      <c r="HZC2" s="1815"/>
      <c r="HZD2" s="1815"/>
      <c r="HZE2" s="1815"/>
      <c r="HZF2" s="1815"/>
      <c r="HZG2" s="1815"/>
      <c r="HZH2" s="1815"/>
      <c r="HZI2" s="1815"/>
      <c r="HZJ2" s="1815"/>
      <c r="HZK2" s="1815"/>
      <c r="HZL2" s="1815"/>
      <c r="HZM2" s="1815"/>
      <c r="HZN2" s="1815"/>
      <c r="HZO2" s="1815"/>
      <c r="HZP2" s="1815"/>
      <c r="HZQ2" s="1815"/>
      <c r="HZR2" s="1815"/>
      <c r="HZS2" s="1815"/>
      <c r="HZT2" s="1815"/>
      <c r="HZU2" s="1815"/>
      <c r="HZV2" s="1815"/>
      <c r="HZW2" s="1815"/>
      <c r="HZX2" s="1815"/>
      <c r="HZY2" s="1815"/>
      <c r="HZZ2" s="1815"/>
      <c r="IAA2" s="1815"/>
      <c r="IAB2" s="1815"/>
      <c r="IAC2" s="1815"/>
      <c r="IAD2" s="1815"/>
      <c r="IAE2" s="1815"/>
      <c r="IAF2" s="1815"/>
      <c r="IAG2" s="1815"/>
      <c r="IAH2" s="1815"/>
      <c r="IAI2" s="1815"/>
      <c r="IAJ2" s="1815"/>
      <c r="IAK2" s="1815"/>
      <c r="IAL2" s="1815"/>
      <c r="IAM2" s="1815"/>
      <c r="IAN2" s="1815"/>
      <c r="IAO2" s="1815"/>
      <c r="IAP2" s="1815"/>
      <c r="IAQ2" s="1815"/>
      <c r="IAR2" s="1815"/>
      <c r="IAS2" s="1815"/>
      <c r="IAT2" s="1815"/>
      <c r="IAU2" s="1815"/>
      <c r="IAV2" s="1815"/>
      <c r="IAW2" s="1815"/>
      <c r="IAX2" s="1815"/>
      <c r="IAY2" s="1815"/>
      <c r="IAZ2" s="1815"/>
      <c r="IBA2" s="1815"/>
      <c r="IBB2" s="1815"/>
      <c r="IBC2" s="1815"/>
      <c r="IBD2" s="1815"/>
      <c r="IBE2" s="1815"/>
      <c r="IBF2" s="1815"/>
      <c r="IBG2" s="1815"/>
      <c r="IBH2" s="1815"/>
      <c r="IBI2" s="1815"/>
      <c r="IBJ2" s="1815"/>
      <c r="IBK2" s="1815"/>
      <c r="IBL2" s="1815"/>
      <c r="IBM2" s="1815"/>
      <c r="IBN2" s="1815"/>
      <c r="IBO2" s="1815"/>
      <c r="IBP2" s="1815"/>
      <c r="IBQ2" s="1815"/>
      <c r="IBR2" s="1815"/>
      <c r="IBS2" s="1815"/>
      <c r="IBT2" s="1815"/>
      <c r="IBU2" s="1815"/>
      <c r="IBV2" s="1815"/>
      <c r="IBW2" s="1815"/>
      <c r="IBX2" s="1815"/>
      <c r="IBY2" s="1815"/>
      <c r="IBZ2" s="1815"/>
      <c r="ICA2" s="1815"/>
      <c r="ICB2" s="1815"/>
      <c r="ICC2" s="1815"/>
      <c r="ICD2" s="1815"/>
      <c r="ICE2" s="1815"/>
      <c r="ICF2" s="1815"/>
      <c r="ICG2" s="1815"/>
      <c r="ICH2" s="1815"/>
      <c r="ICI2" s="1815"/>
      <c r="ICJ2" s="1815"/>
      <c r="ICK2" s="1815"/>
      <c r="ICL2" s="1815"/>
      <c r="ICM2" s="1815"/>
      <c r="ICN2" s="1815"/>
      <c r="ICO2" s="1815"/>
      <c r="ICP2" s="1815"/>
      <c r="ICQ2" s="1815"/>
      <c r="ICR2" s="1815"/>
      <c r="ICS2" s="1815"/>
      <c r="ICT2" s="1815"/>
      <c r="ICU2" s="1815"/>
      <c r="ICV2" s="1815"/>
      <c r="ICW2" s="1815"/>
      <c r="ICX2" s="1815"/>
      <c r="ICY2" s="1815"/>
      <c r="ICZ2" s="1815"/>
      <c r="IDA2" s="1815"/>
      <c r="IDB2" s="1815"/>
      <c r="IDC2" s="1815"/>
      <c r="IDD2" s="1815"/>
      <c r="IDE2" s="1815"/>
      <c r="IDF2" s="1815"/>
      <c r="IDG2" s="1815"/>
      <c r="IDH2" s="1815"/>
      <c r="IDI2" s="1815"/>
      <c r="IDJ2" s="1815"/>
      <c r="IDK2" s="1815"/>
      <c r="IDL2" s="1815"/>
      <c r="IDM2" s="1815"/>
      <c r="IDN2" s="1815"/>
      <c r="IDO2" s="1815"/>
      <c r="IDP2" s="1815"/>
      <c r="IDQ2" s="1815"/>
      <c r="IDR2" s="1815"/>
      <c r="IDS2" s="1815"/>
      <c r="IDT2" s="1815"/>
      <c r="IDU2" s="1815"/>
      <c r="IDV2" s="1815"/>
      <c r="IDW2" s="1815"/>
      <c r="IDX2" s="1815"/>
      <c r="IDY2" s="1815"/>
      <c r="IDZ2" s="1815"/>
      <c r="IEA2" s="1815"/>
      <c r="IEB2" s="1815"/>
      <c r="IEC2" s="1815"/>
      <c r="IED2" s="1815"/>
      <c r="IEE2" s="1815"/>
      <c r="IEF2" s="1815"/>
      <c r="IEG2" s="1815"/>
      <c r="IEH2" s="1815"/>
      <c r="IEI2" s="1815"/>
      <c r="IEJ2" s="1815"/>
      <c r="IEK2" s="1815"/>
      <c r="IEL2" s="1815"/>
      <c r="IEM2" s="1815"/>
      <c r="IEN2" s="1815"/>
      <c r="IEO2" s="1815"/>
      <c r="IEP2" s="1815"/>
      <c r="IEQ2" s="1815"/>
      <c r="IER2" s="1815"/>
      <c r="IES2" s="1815"/>
      <c r="IET2" s="1815"/>
      <c r="IEU2" s="1815"/>
      <c r="IEV2" s="1815"/>
      <c r="IEW2" s="1815"/>
      <c r="IEX2" s="1815"/>
      <c r="IEY2" s="1815"/>
      <c r="IEZ2" s="1815"/>
      <c r="IFA2" s="1815"/>
      <c r="IFB2" s="1815"/>
      <c r="IFC2" s="1815"/>
      <c r="IFD2" s="1815"/>
      <c r="IFE2" s="1815"/>
      <c r="IFF2" s="1815"/>
      <c r="IFG2" s="1815"/>
      <c r="IFH2" s="1815"/>
      <c r="IFI2" s="1815"/>
      <c r="IFJ2" s="1815"/>
      <c r="IFK2" s="1815"/>
      <c r="IFL2" s="1815"/>
      <c r="IFM2" s="1815"/>
      <c r="IFN2" s="1815"/>
      <c r="IFO2" s="1815"/>
      <c r="IFP2" s="1815"/>
      <c r="IFQ2" s="1815"/>
      <c r="IFR2" s="1815"/>
      <c r="IFS2" s="1815"/>
      <c r="IFT2" s="1815"/>
      <c r="IFU2" s="1815"/>
      <c r="IFV2" s="1815"/>
      <c r="IFW2" s="1815"/>
      <c r="IFX2" s="1815"/>
      <c r="IFY2" s="1815"/>
      <c r="IFZ2" s="1815"/>
      <c r="IGA2" s="1815"/>
      <c r="IGB2" s="1815"/>
      <c r="IGC2" s="1815"/>
      <c r="IGD2" s="1815"/>
      <c r="IGE2" s="1815"/>
      <c r="IGF2" s="1815"/>
      <c r="IGG2" s="1815"/>
      <c r="IGH2" s="1815"/>
      <c r="IGI2" s="1815"/>
      <c r="IGJ2" s="1815"/>
      <c r="IGK2" s="1815"/>
      <c r="IGL2" s="1815"/>
      <c r="IGM2" s="1815"/>
      <c r="IGN2" s="1815"/>
      <c r="IGO2" s="1815"/>
      <c r="IGP2" s="1815"/>
      <c r="IGQ2" s="1815"/>
      <c r="IGR2" s="1815"/>
      <c r="IGS2" s="1815"/>
      <c r="IGT2" s="1815"/>
      <c r="IGU2" s="1815"/>
      <c r="IGV2" s="1815"/>
      <c r="IGW2" s="1815"/>
      <c r="IGX2" s="1815"/>
      <c r="IGY2" s="1815"/>
      <c r="IGZ2" s="1815"/>
      <c r="IHA2" s="1815"/>
      <c r="IHB2" s="1815"/>
      <c r="IHC2" s="1815"/>
      <c r="IHD2" s="1815"/>
      <c r="IHE2" s="1815"/>
      <c r="IHF2" s="1815"/>
      <c r="IHG2" s="1815"/>
      <c r="IHH2" s="1815"/>
      <c r="IHI2" s="1815"/>
      <c r="IHJ2" s="1815"/>
      <c r="IHK2" s="1815"/>
      <c r="IHL2" s="1815"/>
      <c r="IHM2" s="1815"/>
      <c r="IHN2" s="1815"/>
      <c r="IHO2" s="1815"/>
      <c r="IHP2" s="1815"/>
      <c r="IHQ2" s="1815"/>
      <c r="IHR2" s="1815"/>
      <c r="IHS2" s="1815"/>
      <c r="IHT2" s="1815"/>
      <c r="IHU2" s="1815"/>
      <c r="IHV2" s="1815"/>
      <c r="IHW2" s="1815"/>
      <c r="IHX2" s="1815"/>
      <c r="IHY2" s="1815"/>
      <c r="IHZ2" s="1815"/>
      <c r="IIA2" s="1815"/>
      <c r="IIB2" s="1815"/>
      <c r="IIC2" s="1815"/>
      <c r="IID2" s="1815"/>
      <c r="IIE2" s="1815"/>
      <c r="IIF2" s="1815"/>
      <c r="IIG2" s="1815"/>
      <c r="IIH2" s="1815"/>
      <c r="III2" s="1815"/>
      <c r="IIJ2" s="1815"/>
      <c r="IIK2" s="1815"/>
      <c r="IIL2" s="1815"/>
      <c r="IIM2" s="1815"/>
      <c r="IIN2" s="1815"/>
      <c r="IIO2" s="1815"/>
      <c r="IIP2" s="1815"/>
      <c r="IIQ2" s="1815"/>
      <c r="IIR2" s="1815"/>
      <c r="IIS2" s="1815"/>
      <c r="IIT2" s="1815"/>
      <c r="IIU2" s="1815"/>
      <c r="IIV2" s="1815"/>
      <c r="IIW2" s="1815"/>
      <c r="IIX2" s="1815"/>
      <c r="IIY2" s="1815"/>
      <c r="IIZ2" s="1815"/>
      <c r="IJA2" s="1815"/>
      <c r="IJB2" s="1815"/>
      <c r="IJC2" s="1815"/>
      <c r="IJD2" s="1815"/>
      <c r="IJE2" s="1815"/>
      <c r="IJF2" s="1815"/>
      <c r="IJG2" s="1815"/>
      <c r="IJH2" s="1815"/>
      <c r="IJI2" s="1815"/>
      <c r="IJJ2" s="1815"/>
      <c r="IJK2" s="1815"/>
      <c r="IJL2" s="1815"/>
      <c r="IJM2" s="1815"/>
      <c r="IJN2" s="1815"/>
      <c r="IJO2" s="1815"/>
      <c r="IJP2" s="1815"/>
      <c r="IJQ2" s="1815"/>
      <c r="IJR2" s="1815"/>
      <c r="IJS2" s="1815"/>
      <c r="IJT2" s="1815"/>
      <c r="IJU2" s="1815"/>
      <c r="IJV2" s="1815"/>
      <c r="IJW2" s="1815"/>
      <c r="IJX2" s="1815"/>
      <c r="IJY2" s="1815"/>
      <c r="IJZ2" s="1815"/>
      <c r="IKA2" s="1815"/>
      <c r="IKB2" s="1815"/>
      <c r="IKC2" s="1815"/>
      <c r="IKD2" s="1815"/>
      <c r="IKE2" s="1815"/>
      <c r="IKF2" s="1815"/>
      <c r="IKG2" s="1815"/>
      <c r="IKH2" s="1815"/>
      <c r="IKI2" s="1815"/>
      <c r="IKJ2" s="1815"/>
      <c r="IKK2" s="1815"/>
      <c r="IKL2" s="1815"/>
      <c r="IKM2" s="1815"/>
      <c r="IKN2" s="1815"/>
      <c r="IKO2" s="1815"/>
      <c r="IKP2" s="1815"/>
      <c r="IKQ2" s="1815"/>
      <c r="IKR2" s="1815"/>
      <c r="IKS2" s="1815"/>
      <c r="IKT2" s="1815"/>
      <c r="IKU2" s="1815"/>
      <c r="IKV2" s="1815"/>
      <c r="IKW2" s="1815"/>
      <c r="IKX2" s="1815"/>
      <c r="IKY2" s="1815"/>
      <c r="IKZ2" s="1815"/>
      <c r="ILA2" s="1815"/>
      <c r="ILB2" s="1815"/>
      <c r="ILC2" s="1815"/>
      <c r="ILD2" s="1815"/>
      <c r="ILE2" s="1815"/>
      <c r="ILF2" s="1815"/>
      <c r="ILG2" s="1815"/>
      <c r="ILH2" s="1815"/>
      <c r="ILI2" s="1815"/>
      <c r="ILJ2" s="1815"/>
      <c r="ILK2" s="1815"/>
      <c r="ILL2" s="1815"/>
      <c r="ILM2" s="1815"/>
      <c r="ILN2" s="1815"/>
      <c r="ILO2" s="1815"/>
      <c r="ILP2" s="1815"/>
      <c r="ILQ2" s="1815"/>
      <c r="ILR2" s="1815"/>
      <c r="ILS2" s="1815"/>
      <c r="ILT2" s="1815"/>
      <c r="ILU2" s="1815"/>
      <c r="ILV2" s="1815"/>
      <c r="ILW2" s="1815"/>
      <c r="ILX2" s="1815"/>
      <c r="ILY2" s="1815"/>
      <c r="ILZ2" s="1815"/>
      <c r="IMA2" s="1815"/>
      <c r="IMB2" s="1815"/>
      <c r="IMC2" s="1815"/>
      <c r="IMD2" s="1815"/>
      <c r="IME2" s="1815"/>
      <c r="IMF2" s="1815"/>
      <c r="IMG2" s="1815"/>
      <c r="IMH2" s="1815"/>
      <c r="IMI2" s="1815"/>
      <c r="IMJ2" s="1815"/>
      <c r="IMK2" s="1815"/>
      <c r="IML2" s="1815"/>
      <c r="IMM2" s="1815"/>
      <c r="IMN2" s="1815"/>
      <c r="IMO2" s="1815"/>
      <c r="IMP2" s="1815"/>
      <c r="IMQ2" s="1815"/>
      <c r="IMR2" s="1815"/>
      <c r="IMS2" s="1815"/>
      <c r="IMT2" s="1815"/>
      <c r="IMU2" s="1815"/>
      <c r="IMV2" s="1815"/>
      <c r="IMW2" s="1815"/>
      <c r="IMX2" s="1815"/>
      <c r="IMY2" s="1815"/>
      <c r="IMZ2" s="1815"/>
      <c r="INA2" s="1815"/>
      <c r="INB2" s="1815"/>
      <c r="INC2" s="1815"/>
      <c r="IND2" s="1815"/>
      <c r="INE2" s="1815"/>
      <c r="INF2" s="1815"/>
      <c r="ING2" s="1815"/>
      <c r="INH2" s="1815"/>
      <c r="INI2" s="1815"/>
      <c r="INJ2" s="1815"/>
      <c r="INK2" s="1815"/>
      <c r="INL2" s="1815"/>
      <c r="INM2" s="1815"/>
      <c r="INN2" s="1815"/>
      <c r="INO2" s="1815"/>
      <c r="INP2" s="1815"/>
      <c r="INQ2" s="1815"/>
      <c r="INR2" s="1815"/>
      <c r="INS2" s="1815"/>
      <c r="INT2" s="1815"/>
      <c r="INU2" s="1815"/>
      <c r="INV2" s="1815"/>
      <c r="INW2" s="1815"/>
      <c r="INX2" s="1815"/>
      <c r="INY2" s="1815"/>
      <c r="INZ2" s="1815"/>
      <c r="IOA2" s="1815"/>
      <c r="IOB2" s="1815"/>
      <c r="IOC2" s="1815"/>
      <c r="IOD2" s="1815"/>
      <c r="IOE2" s="1815"/>
      <c r="IOF2" s="1815"/>
      <c r="IOG2" s="1815"/>
      <c r="IOH2" s="1815"/>
      <c r="IOI2" s="1815"/>
      <c r="IOJ2" s="1815"/>
      <c r="IOK2" s="1815"/>
      <c r="IOL2" s="1815"/>
      <c r="IOM2" s="1815"/>
      <c r="ION2" s="1815"/>
      <c r="IOO2" s="1815"/>
      <c r="IOP2" s="1815"/>
      <c r="IOQ2" s="1815"/>
      <c r="IOR2" s="1815"/>
      <c r="IOS2" s="1815"/>
      <c r="IOT2" s="1815"/>
      <c r="IOU2" s="1815"/>
      <c r="IOV2" s="1815"/>
      <c r="IOW2" s="1815"/>
      <c r="IOX2" s="1815"/>
      <c r="IOY2" s="1815"/>
      <c r="IOZ2" s="1815"/>
      <c r="IPA2" s="1815"/>
      <c r="IPB2" s="1815"/>
      <c r="IPC2" s="1815"/>
      <c r="IPD2" s="1815"/>
      <c r="IPE2" s="1815"/>
      <c r="IPF2" s="1815"/>
      <c r="IPG2" s="1815"/>
      <c r="IPH2" s="1815"/>
      <c r="IPI2" s="1815"/>
      <c r="IPJ2" s="1815"/>
      <c r="IPK2" s="1815"/>
      <c r="IPL2" s="1815"/>
      <c r="IPM2" s="1815"/>
      <c r="IPN2" s="1815"/>
      <c r="IPO2" s="1815"/>
      <c r="IPP2" s="1815"/>
      <c r="IPQ2" s="1815"/>
      <c r="IPR2" s="1815"/>
      <c r="IPS2" s="1815"/>
      <c r="IPT2" s="1815"/>
      <c r="IPU2" s="1815"/>
      <c r="IPV2" s="1815"/>
      <c r="IPW2" s="1815"/>
      <c r="IPX2" s="1815"/>
      <c r="IPY2" s="1815"/>
      <c r="IPZ2" s="1815"/>
      <c r="IQA2" s="1815"/>
      <c r="IQB2" s="1815"/>
      <c r="IQC2" s="1815"/>
      <c r="IQD2" s="1815"/>
      <c r="IQE2" s="1815"/>
      <c r="IQF2" s="1815"/>
      <c r="IQG2" s="1815"/>
      <c r="IQH2" s="1815"/>
      <c r="IQI2" s="1815"/>
      <c r="IQJ2" s="1815"/>
      <c r="IQK2" s="1815"/>
      <c r="IQL2" s="1815"/>
      <c r="IQM2" s="1815"/>
      <c r="IQN2" s="1815"/>
      <c r="IQO2" s="1815"/>
      <c r="IQP2" s="1815"/>
      <c r="IQQ2" s="1815"/>
      <c r="IQR2" s="1815"/>
      <c r="IQS2" s="1815"/>
      <c r="IQT2" s="1815"/>
      <c r="IQU2" s="1815"/>
      <c r="IQV2" s="1815"/>
      <c r="IQW2" s="1815"/>
      <c r="IQX2" s="1815"/>
      <c r="IQY2" s="1815"/>
      <c r="IQZ2" s="1815"/>
      <c r="IRA2" s="1815"/>
      <c r="IRB2" s="1815"/>
      <c r="IRC2" s="1815"/>
      <c r="IRD2" s="1815"/>
      <c r="IRE2" s="1815"/>
      <c r="IRF2" s="1815"/>
      <c r="IRG2" s="1815"/>
      <c r="IRH2" s="1815"/>
      <c r="IRI2" s="1815"/>
      <c r="IRJ2" s="1815"/>
      <c r="IRK2" s="1815"/>
      <c r="IRL2" s="1815"/>
      <c r="IRM2" s="1815"/>
      <c r="IRN2" s="1815"/>
      <c r="IRO2" s="1815"/>
      <c r="IRP2" s="1815"/>
      <c r="IRQ2" s="1815"/>
      <c r="IRR2" s="1815"/>
      <c r="IRS2" s="1815"/>
      <c r="IRT2" s="1815"/>
      <c r="IRU2" s="1815"/>
      <c r="IRV2" s="1815"/>
      <c r="IRW2" s="1815"/>
      <c r="IRX2" s="1815"/>
      <c r="IRY2" s="1815"/>
      <c r="IRZ2" s="1815"/>
      <c r="ISA2" s="1815"/>
      <c r="ISB2" s="1815"/>
      <c r="ISC2" s="1815"/>
      <c r="ISD2" s="1815"/>
      <c r="ISE2" s="1815"/>
      <c r="ISF2" s="1815"/>
      <c r="ISG2" s="1815"/>
      <c r="ISH2" s="1815"/>
      <c r="ISI2" s="1815"/>
      <c r="ISJ2" s="1815"/>
      <c r="ISK2" s="1815"/>
      <c r="ISL2" s="1815"/>
      <c r="ISM2" s="1815"/>
      <c r="ISN2" s="1815"/>
      <c r="ISO2" s="1815"/>
      <c r="ISP2" s="1815"/>
      <c r="ISQ2" s="1815"/>
      <c r="ISR2" s="1815"/>
      <c r="ISS2" s="1815"/>
      <c r="IST2" s="1815"/>
      <c r="ISU2" s="1815"/>
      <c r="ISV2" s="1815"/>
      <c r="ISW2" s="1815"/>
      <c r="ISX2" s="1815"/>
      <c r="ISY2" s="1815"/>
      <c r="ISZ2" s="1815"/>
      <c r="ITA2" s="1815"/>
      <c r="ITB2" s="1815"/>
      <c r="ITC2" s="1815"/>
      <c r="ITD2" s="1815"/>
      <c r="ITE2" s="1815"/>
      <c r="ITF2" s="1815"/>
      <c r="ITG2" s="1815"/>
      <c r="ITH2" s="1815"/>
      <c r="ITI2" s="1815"/>
      <c r="ITJ2" s="1815"/>
      <c r="ITK2" s="1815"/>
      <c r="ITL2" s="1815"/>
      <c r="ITM2" s="1815"/>
      <c r="ITN2" s="1815"/>
      <c r="ITO2" s="1815"/>
      <c r="ITP2" s="1815"/>
      <c r="ITQ2" s="1815"/>
      <c r="ITR2" s="1815"/>
      <c r="ITS2" s="1815"/>
      <c r="ITT2" s="1815"/>
      <c r="ITU2" s="1815"/>
      <c r="ITV2" s="1815"/>
      <c r="ITW2" s="1815"/>
      <c r="ITX2" s="1815"/>
      <c r="ITY2" s="1815"/>
      <c r="ITZ2" s="1815"/>
      <c r="IUA2" s="1815"/>
      <c r="IUB2" s="1815"/>
      <c r="IUC2" s="1815"/>
      <c r="IUD2" s="1815"/>
      <c r="IUE2" s="1815"/>
      <c r="IUF2" s="1815"/>
      <c r="IUG2" s="1815"/>
      <c r="IUH2" s="1815"/>
      <c r="IUI2" s="1815"/>
      <c r="IUJ2" s="1815"/>
      <c r="IUK2" s="1815"/>
      <c r="IUL2" s="1815"/>
      <c r="IUM2" s="1815"/>
      <c r="IUN2" s="1815"/>
      <c r="IUO2" s="1815"/>
      <c r="IUP2" s="1815"/>
      <c r="IUQ2" s="1815"/>
      <c r="IUR2" s="1815"/>
      <c r="IUS2" s="1815"/>
      <c r="IUT2" s="1815"/>
      <c r="IUU2" s="1815"/>
      <c r="IUV2" s="1815"/>
      <c r="IUW2" s="1815"/>
      <c r="IUX2" s="1815"/>
      <c r="IUY2" s="1815"/>
      <c r="IUZ2" s="1815"/>
      <c r="IVA2" s="1815"/>
      <c r="IVB2" s="1815"/>
      <c r="IVC2" s="1815"/>
      <c r="IVD2" s="1815"/>
      <c r="IVE2" s="1815"/>
      <c r="IVF2" s="1815"/>
      <c r="IVG2" s="1815"/>
      <c r="IVH2" s="1815"/>
      <c r="IVI2" s="1815"/>
      <c r="IVJ2" s="1815"/>
      <c r="IVK2" s="1815"/>
      <c r="IVL2" s="1815"/>
      <c r="IVM2" s="1815"/>
      <c r="IVN2" s="1815"/>
      <c r="IVO2" s="1815"/>
      <c r="IVP2" s="1815"/>
      <c r="IVQ2" s="1815"/>
      <c r="IVR2" s="1815"/>
      <c r="IVS2" s="1815"/>
      <c r="IVT2" s="1815"/>
      <c r="IVU2" s="1815"/>
      <c r="IVV2" s="1815"/>
      <c r="IVW2" s="1815"/>
      <c r="IVX2" s="1815"/>
      <c r="IVY2" s="1815"/>
      <c r="IVZ2" s="1815"/>
      <c r="IWA2" s="1815"/>
      <c r="IWB2" s="1815"/>
      <c r="IWC2" s="1815"/>
      <c r="IWD2" s="1815"/>
      <c r="IWE2" s="1815"/>
      <c r="IWF2" s="1815"/>
      <c r="IWG2" s="1815"/>
      <c r="IWH2" s="1815"/>
      <c r="IWI2" s="1815"/>
      <c r="IWJ2" s="1815"/>
      <c r="IWK2" s="1815"/>
      <c r="IWL2" s="1815"/>
      <c r="IWM2" s="1815"/>
      <c r="IWN2" s="1815"/>
      <c r="IWO2" s="1815"/>
      <c r="IWP2" s="1815"/>
      <c r="IWQ2" s="1815"/>
      <c r="IWR2" s="1815"/>
      <c r="IWS2" s="1815"/>
      <c r="IWT2" s="1815"/>
      <c r="IWU2" s="1815"/>
      <c r="IWV2" s="1815"/>
      <c r="IWW2" s="1815"/>
      <c r="IWX2" s="1815"/>
      <c r="IWY2" s="1815"/>
      <c r="IWZ2" s="1815"/>
      <c r="IXA2" s="1815"/>
      <c r="IXB2" s="1815"/>
      <c r="IXC2" s="1815"/>
      <c r="IXD2" s="1815"/>
      <c r="IXE2" s="1815"/>
      <c r="IXF2" s="1815"/>
      <c r="IXG2" s="1815"/>
      <c r="IXH2" s="1815"/>
      <c r="IXI2" s="1815"/>
      <c r="IXJ2" s="1815"/>
      <c r="IXK2" s="1815"/>
      <c r="IXL2" s="1815"/>
      <c r="IXM2" s="1815"/>
      <c r="IXN2" s="1815"/>
      <c r="IXO2" s="1815"/>
      <c r="IXP2" s="1815"/>
      <c r="IXQ2" s="1815"/>
      <c r="IXR2" s="1815"/>
      <c r="IXS2" s="1815"/>
      <c r="IXT2" s="1815"/>
      <c r="IXU2" s="1815"/>
      <c r="IXV2" s="1815"/>
      <c r="IXW2" s="1815"/>
      <c r="IXX2" s="1815"/>
      <c r="IXY2" s="1815"/>
      <c r="IXZ2" s="1815"/>
      <c r="IYA2" s="1815"/>
      <c r="IYB2" s="1815"/>
      <c r="IYC2" s="1815"/>
      <c r="IYD2" s="1815"/>
      <c r="IYE2" s="1815"/>
      <c r="IYF2" s="1815"/>
      <c r="IYG2" s="1815"/>
      <c r="IYH2" s="1815"/>
      <c r="IYI2" s="1815"/>
      <c r="IYJ2" s="1815"/>
      <c r="IYK2" s="1815"/>
      <c r="IYL2" s="1815"/>
      <c r="IYM2" s="1815"/>
      <c r="IYN2" s="1815"/>
      <c r="IYO2" s="1815"/>
      <c r="IYP2" s="1815"/>
      <c r="IYQ2" s="1815"/>
      <c r="IYR2" s="1815"/>
      <c r="IYS2" s="1815"/>
      <c r="IYT2" s="1815"/>
      <c r="IYU2" s="1815"/>
      <c r="IYV2" s="1815"/>
      <c r="IYW2" s="1815"/>
      <c r="IYX2" s="1815"/>
      <c r="IYY2" s="1815"/>
      <c r="IYZ2" s="1815"/>
      <c r="IZA2" s="1815"/>
      <c r="IZB2" s="1815"/>
      <c r="IZC2" s="1815"/>
      <c r="IZD2" s="1815"/>
      <c r="IZE2" s="1815"/>
      <c r="IZF2" s="1815"/>
      <c r="IZG2" s="1815"/>
      <c r="IZH2" s="1815"/>
      <c r="IZI2" s="1815"/>
      <c r="IZJ2" s="1815"/>
      <c r="IZK2" s="1815"/>
      <c r="IZL2" s="1815"/>
      <c r="IZM2" s="1815"/>
      <c r="IZN2" s="1815"/>
      <c r="IZO2" s="1815"/>
      <c r="IZP2" s="1815"/>
      <c r="IZQ2" s="1815"/>
      <c r="IZR2" s="1815"/>
      <c r="IZS2" s="1815"/>
      <c r="IZT2" s="1815"/>
      <c r="IZU2" s="1815"/>
      <c r="IZV2" s="1815"/>
      <c r="IZW2" s="1815"/>
      <c r="IZX2" s="1815"/>
      <c r="IZY2" s="1815"/>
      <c r="IZZ2" s="1815"/>
      <c r="JAA2" s="1815"/>
      <c r="JAB2" s="1815"/>
      <c r="JAC2" s="1815"/>
      <c r="JAD2" s="1815"/>
      <c r="JAE2" s="1815"/>
      <c r="JAF2" s="1815"/>
      <c r="JAG2" s="1815"/>
      <c r="JAH2" s="1815"/>
      <c r="JAI2" s="1815"/>
      <c r="JAJ2" s="1815"/>
      <c r="JAK2" s="1815"/>
      <c r="JAL2" s="1815"/>
      <c r="JAM2" s="1815"/>
      <c r="JAN2" s="1815"/>
      <c r="JAO2" s="1815"/>
      <c r="JAP2" s="1815"/>
      <c r="JAQ2" s="1815"/>
      <c r="JAR2" s="1815"/>
      <c r="JAS2" s="1815"/>
      <c r="JAT2" s="1815"/>
      <c r="JAU2" s="1815"/>
      <c r="JAV2" s="1815"/>
      <c r="JAW2" s="1815"/>
      <c r="JAX2" s="1815"/>
      <c r="JAY2" s="1815"/>
      <c r="JAZ2" s="1815"/>
      <c r="JBA2" s="1815"/>
      <c r="JBB2" s="1815"/>
      <c r="JBC2" s="1815"/>
      <c r="JBD2" s="1815"/>
      <c r="JBE2" s="1815"/>
      <c r="JBF2" s="1815"/>
      <c r="JBG2" s="1815"/>
      <c r="JBH2" s="1815"/>
      <c r="JBI2" s="1815"/>
      <c r="JBJ2" s="1815"/>
      <c r="JBK2" s="1815"/>
      <c r="JBL2" s="1815"/>
      <c r="JBM2" s="1815"/>
      <c r="JBN2" s="1815"/>
      <c r="JBO2" s="1815"/>
      <c r="JBP2" s="1815"/>
      <c r="JBQ2" s="1815"/>
      <c r="JBR2" s="1815"/>
      <c r="JBS2" s="1815"/>
      <c r="JBT2" s="1815"/>
      <c r="JBU2" s="1815"/>
      <c r="JBV2" s="1815"/>
      <c r="JBW2" s="1815"/>
      <c r="JBX2" s="1815"/>
      <c r="JBY2" s="1815"/>
      <c r="JBZ2" s="1815"/>
      <c r="JCA2" s="1815"/>
      <c r="JCB2" s="1815"/>
      <c r="JCC2" s="1815"/>
      <c r="JCD2" s="1815"/>
      <c r="JCE2" s="1815"/>
      <c r="JCF2" s="1815"/>
      <c r="JCG2" s="1815"/>
      <c r="JCH2" s="1815"/>
      <c r="JCI2" s="1815"/>
      <c r="JCJ2" s="1815"/>
      <c r="JCK2" s="1815"/>
      <c r="JCL2" s="1815"/>
      <c r="JCM2" s="1815"/>
      <c r="JCN2" s="1815"/>
      <c r="JCO2" s="1815"/>
      <c r="JCP2" s="1815"/>
      <c r="JCQ2" s="1815"/>
      <c r="JCR2" s="1815"/>
      <c r="JCS2" s="1815"/>
      <c r="JCT2" s="1815"/>
      <c r="JCU2" s="1815"/>
      <c r="JCV2" s="1815"/>
      <c r="JCW2" s="1815"/>
      <c r="JCX2" s="1815"/>
      <c r="JCY2" s="1815"/>
      <c r="JCZ2" s="1815"/>
      <c r="JDA2" s="1815"/>
      <c r="JDB2" s="1815"/>
      <c r="JDC2" s="1815"/>
      <c r="JDD2" s="1815"/>
      <c r="JDE2" s="1815"/>
      <c r="JDF2" s="1815"/>
      <c r="JDG2" s="1815"/>
      <c r="JDH2" s="1815"/>
      <c r="JDI2" s="1815"/>
      <c r="JDJ2" s="1815"/>
      <c r="JDK2" s="1815"/>
      <c r="JDL2" s="1815"/>
      <c r="JDM2" s="1815"/>
      <c r="JDN2" s="1815"/>
      <c r="JDO2" s="1815"/>
      <c r="JDP2" s="1815"/>
      <c r="JDQ2" s="1815"/>
      <c r="JDR2" s="1815"/>
      <c r="JDS2" s="1815"/>
      <c r="JDT2" s="1815"/>
      <c r="JDU2" s="1815"/>
      <c r="JDV2" s="1815"/>
      <c r="JDW2" s="1815"/>
      <c r="JDX2" s="1815"/>
      <c r="JDY2" s="1815"/>
      <c r="JDZ2" s="1815"/>
      <c r="JEA2" s="1815"/>
      <c r="JEB2" s="1815"/>
      <c r="JEC2" s="1815"/>
      <c r="JED2" s="1815"/>
      <c r="JEE2" s="1815"/>
      <c r="JEF2" s="1815"/>
      <c r="JEG2" s="1815"/>
      <c r="JEH2" s="1815"/>
      <c r="JEI2" s="1815"/>
      <c r="JEJ2" s="1815"/>
      <c r="JEK2" s="1815"/>
      <c r="JEL2" s="1815"/>
      <c r="JEM2" s="1815"/>
      <c r="JEN2" s="1815"/>
      <c r="JEO2" s="1815"/>
      <c r="JEP2" s="1815"/>
      <c r="JEQ2" s="1815"/>
      <c r="JER2" s="1815"/>
      <c r="JES2" s="1815"/>
      <c r="JET2" s="1815"/>
      <c r="JEU2" s="1815"/>
      <c r="JEV2" s="1815"/>
      <c r="JEW2" s="1815"/>
      <c r="JEX2" s="1815"/>
      <c r="JEY2" s="1815"/>
      <c r="JEZ2" s="1815"/>
      <c r="JFA2" s="1815"/>
      <c r="JFB2" s="1815"/>
      <c r="JFC2" s="1815"/>
      <c r="JFD2" s="1815"/>
      <c r="JFE2" s="1815"/>
      <c r="JFF2" s="1815"/>
      <c r="JFG2" s="1815"/>
      <c r="JFH2" s="1815"/>
      <c r="JFI2" s="1815"/>
      <c r="JFJ2" s="1815"/>
      <c r="JFK2" s="1815"/>
      <c r="JFL2" s="1815"/>
      <c r="JFM2" s="1815"/>
      <c r="JFN2" s="1815"/>
      <c r="JFO2" s="1815"/>
      <c r="JFP2" s="1815"/>
      <c r="JFQ2" s="1815"/>
      <c r="JFR2" s="1815"/>
      <c r="JFS2" s="1815"/>
      <c r="JFT2" s="1815"/>
      <c r="JFU2" s="1815"/>
      <c r="JFV2" s="1815"/>
      <c r="JFW2" s="1815"/>
      <c r="JFX2" s="1815"/>
      <c r="JFY2" s="1815"/>
      <c r="JFZ2" s="1815"/>
      <c r="JGA2" s="1815"/>
      <c r="JGB2" s="1815"/>
      <c r="JGC2" s="1815"/>
      <c r="JGD2" s="1815"/>
      <c r="JGE2" s="1815"/>
      <c r="JGF2" s="1815"/>
      <c r="JGG2" s="1815"/>
      <c r="JGH2" s="1815"/>
      <c r="JGI2" s="1815"/>
      <c r="JGJ2" s="1815"/>
      <c r="JGK2" s="1815"/>
      <c r="JGL2" s="1815"/>
      <c r="JGM2" s="1815"/>
      <c r="JGN2" s="1815"/>
      <c r="JGO2" s="1815"/>
      <c r="JGP2" s="1815"/>
      <c r="JGQ2" s="1815"/>
      <c r="JGR2" s="1815"/>
      <c r="JGS2" s="1815"/>
      <c r="JGT2" s="1815"/>
      <c r="JGU2" s="1815"/>
      <c r="JGV2" s="1815"/>
      <c r="JGW2" s="1815"/>
      <c r="JGX2" s="1815"/>
      <c r="JGY2" s="1815"/>
      <c r="JGZ2" s="1815"/>
      <c r="JHA2" s="1815"/>
      <c r="JHB2" s="1815"/>
      <c r="JHC2" s="1815"/>
      <c r="JHD2" s="1815"/>
      <c r="JHE2" s="1815"/>
      <c r="JHF2" s="1815"/>
      <c r="JHG2" s="1815"/>
      <c r="JHH2" s="1815"/>
      <c r="JHI2" s="1815"/>
      <c r="JHJ2" s="1815"/>
      <c r="JHK2" s="1815"/>
      <c r="JHL2" s="1815"/>
      <c r="JHM2" s="1815"/>
      <c r="JHN2" s="1815"/>
      <c r="JHO2" s="1815"/>
      <c r="JHP2" s="1815"/>
      <c r="JHQ2" s="1815"/>
      <c r="JHR2" s="1815"/>
      <c r="JHS2" s="1815"/>
      <c r="JHT2" s="1815"/>
      <c r="JHU2" s="1815"/>
      <c r="JHV2" s="1815"/>
      <c r="JHW2" s="1815"/>
      <c r="JHX2" s="1815"/>
      <c r="JHY2" s="1815"/>
      <c r="JHZ2" s="1815"/>
      <c r="JIA2" s="1815"/>
      <c r="JIB2" s="1815"/>
      <c r="JIC2" s="1815"/>
      <c r="JID2" s="1815"/>
      <c r="JIE2" s="1815"/>
      <c r="JIF2" s="1815"/>
      <c r="JIG2" s="1815"/>
      <c r="JIH2" s="1815"/>
      <c r="JII2" s="1815"/>
      <c r="JIJ2" s="1815"/>
      <c r="JIK2" s="1815"/>
      <c r="JIL2" s="1815"/>
      <c r="JIM2" s="1815"/>
      <c r="JIN2" s="1815"/>
      <c r="JIO2" s="1815"/>
      <c r="JIP2" s="1815"/>
      <c r="JIQ2" s="1815"/>
      <c r="JIR2" s="1815"/>
      <c r="JIS2" s="1815"/>
      <c r="JIT2" s="1815"/>
      <c r="JIU2" s="1815"/>
      <c r="JIV2" s="1815"/>
      <c r="JIW2" s="1815"/>
      <c r="JIX2" s="1815"/>
      <c r="JIY2" s="1815"/>
      <c r="JIZ2" s="1815"/>
      <c r="JJA2" s="1815"/>
      <c r="JJB2" s="1815"/>
      <c r="JJC2" s="1815"/>
      <c r="JJD2" s="1815"/>
      <c r="JJE2" s="1815"/>
      <c r="JJF2" s="1815"/>
      <c r="JJG2" s="1815"/>
      <c r="JJH2" s="1815"/>
      <c r="JJI2" s="1815"/>
      <c r="JJJ2" s="1815"/>
      <c r="JJK2" s="1815"/>
      <c r="JJL2" s="1815"/>
      <c r="JJM2" s="1815"/>
      <c r="JJN2" s="1815"/>
      <c r="JJO2" s="1815"/>
      <c r="JJP2" s="1815"/>
      <c r="JJQ2" s="1815"/>
      <c r="JJR2" s="1815"/>
      <c r="JJS2" s="1815"/>
      <c r="JJT2" s="1815"/>
      <c r="JJU2" s="1815"/>
      <c r="JJV2" s="1815"/>
      <c r="JJW2" s="1815"/>
      <c r="JJX2" s="1815"/>
      <c r="JJY2" s="1815"/>
      <c r="JJZ2" s="1815"/>
      <c r="JKA2" s="1815"/>
      <c r="JKB2" s="1815"/>
      <c r="JKC2" s="1815"/>
      <c r="JKD2" s="1815"/>
      <c r="JKE2" s="1815"/>
      <c r="JKF2" s="1815"/>
      <c r="JKG2" s="1815"/>
      <c r="JKH2" s="1815"/>
      <c r="JKI2" s="1815"/>
      <c r="JKJ2" s="1815"/>
      <c r="JKK2" s="1815"/>
      <c r="JKL2" s="1815"/>
      <c r="JKM2" s="1815"/>
      <c r="JKN2" s="1815"/>
      <c r="JKO2" s="1815"/>
      <c r="JKP2" s="1815"/>
      <c r="JKQ2" s="1815"/>
      <c r="JKR2" s="1815"/>
      <c r="JKS2" s="1815"/>
      <c r="JKT2" s="1815"/>
      <c r="JKU2" s="1815"/>
      <c r="JKV2" s="1815"/>
      <c r="JKW2" s="1815"/>
      <c r="JKX2" s="1815"/>
      <c r="JKY2" s="1815"/>
      <c r="JKZ2" s="1815"/>
      <c r="JLA2" s="1815"/>
      <c r="JLB2" s="1815"/>
      <c r="JLC2" s="1815"/>
      <c r="JLD2" s="1815"/>
      <c r="JLE2" s="1815"/>
      <c r="JLF2" s="1815"/>
      <c r="JLG2" s="1815"/>
      <c r="JLH2" s="1815"/>
      <c r="JLI2" s="1815"/>
      <c r="JLJ2" s="1815"/>
      <c r="JLK2" s="1815"/>
      <c r="JLL2" s="1815"/>
      <c r="JLM2" s="1815"/>
      <c r="JLN2" s="1815"/>
      <c r="JLO2" s="1815"/>
      <c r="JLP2" s="1815"/>
      <c r="JLQ2" s="1815"/>
      <c r="JLR2" s="1815"/>
      <c r="JLS2" s="1815"/>
      <c r="JLT2" s="1815"/>
      <c r="JLU2" s="1815"/>
      <c r="JLV2" s="1815"/>
      <c r="JLW2" s="1815"/>
      <c r="JLX2" s="1815"/>
      <c r="JLY2" s="1815"/>
      <c r="JLZ2" s="1815"/>
      <c r="JMA2" s="1815"/>
      <c r="JMB2" s="1815"/>
      <c r="JMC2" s="1815"/>
      <c r="JMD2" s="1815"/>
      <c r="JME2" s="1815"/>
      <c r="JMF2" s="1815"/>
      <c r="JMG2" s="1815"/>
      <c r="JMH2" s="1815"/>
      <c r="JMI2" s="1815"/>
      <c r="JMJ2" s="1815"/>
      <c r="JMK2" s="1815"/>
      <c r="JML2" s="1815"/>
      <c r="JMM2" s="1815"/>
      <c r="JMN2" s="1815"/>
      <c r="JMO2" s="1815"/>
      <c r="JMP2" s="1815"/>
      <c r="JMQ2" s="1815"/>
      <c r="JMR2" s="1815"/>
      <c r="JMS2" s="1815"/>
      <c r="JMT2" s="1815"/>
      <c r="JMU2" s="1815"/>
      <c r="JMV2" s="1815"/>
      <c r="JMW2" s="1815"/>
      <c r="JMX2" s="1815"/>
      <c r="JMY2" s="1815"/>
      <c r="JMZ2" s="1815"/>
      <c r="JNA2" s="1815"/>
      <c r="JNB2" s="1815"/>
      <c r="JNC2" s="1815"/>
      <c r="JND2" s="1815"/>
      <c r="JNE2" s="1815"/>
      <c r="JNF2" s="1815"/>
      <c r="JNG2" s="1815"/>
      <c r="JNH2" s="1815"/>
      <c r="JNI2" s="1815"/>
      <c r="JNJ2" s="1815"/>
      <c r="JNK2" s="1815"/>
      <c r="JNL2" s="1815"/>
      <c r="JNM2" s="1815"/>
      <c r="JNN2" s="1815"/>
      <c r="JNO2" s="1815"/>
      <c r="JNP2" s="1815"/>
      <c r="JNQ2" s="1815"/>
      <c r="JNR2" s="1815"/>
      <c r="JNS2" s="1815"/>
      <c r="JNT2" s="1815"/>
      <c r="JNU2" s="1815"/>
      <c r="JNV2" s="1815"/>
      <c r="JNW2" s="1815"/>
      <c r="JNX2" s="1815"/>
      <c r="JNY2" s="1815"/>
      <c r="JNZ2" s="1815"/>
      <c r="JOA2" s="1815"/>
      <c r="JOB2" s="1815"/>
      <c r="JOC2" s="1815"/>
      <c r="JOD2" s="1815"/>
      <c r="JOE2" s="1815"/>
      <c r="JOF2" s="1815"/>
      <c r="JOG2" s="1815"/>
      <c r="JOH2" s="1815"/>
      <c r="JOI2" s="1815"/>
      <c r="JOJ2" s="1815"/>
      <c r="JOK2" s="1815"/>
      <c r="JOL2" s="1815"/>
      <c r="JOM2" s="1815"/>
      <c r="JON2" s="1815"/>
      <c r="JOO2" s="1815"/>
      <c r="JOP2" s="1815"/>
      <c r="JOQ2" s="1815"/>
      <c r="JOR2" s="1815"/>
      <c r="JOS2" s="1815"/>
      <c r="JOT2" s="1815"/>
      <c r="JOU2" s="1815"/>
      <c r="JOV2" s="1815"/>
      <c r="JOW2" s="1815"/>
      <c r="JOX2" s="1815"/>
      <c r="JOY2" s="1815"/>
      <c r="JOZ2" s="1815"/>
      <c r="JPA2" s="1815"/>
      <c r="JPB2" s="1815"/>
      <c r="JPC2" s="1815"/>
      <c r="JPD2" s="1815"/>
      <c r="JPE2" s="1815"/>
      <c r="JPF2" s="1815"/>
      <c r="JPG2" s="1815"/>
      <c r="JPH2" s="1815"/>
      <c r="JPI2" s="1815"/>
      <c r="JPJ2" s="1815"/>
      <c r="JPK2" s="1815"/>
      <c r="JPL2" s="1815"/>
      <c r="JPM2" s="1815"/>
      <c r="JPN2" s="1815"/>
      <c r="JPO2" s="1815"/>
      <c r="JPP2" s="1815"/>
      <c r="JPQ2" s="1815"/>
      <c r="JPR2" s="1815"/>
      <c r="JPS2" s="1815"/>
      <c r="JPT2" s="1815"/>
      <c r="JPU2" s="1815"/>
      <c r="JPV2" s="1815"/>
      <c r="JPW2" s="1815"/>
      <c r="JPX2" s="1815"/>
      <c r="JPY2" s="1815"/>
      <c r="JPZ2" s="1815"/>
      <c r="JQA2" s="1815"/>
      <c r="JQB2" s="1815"/>
      <c r="JQC2" s="1815"/>
      <c r="JQD2" s="1815"/>
      <c r="JQE2" s="1815"/>
      <c r="JQF2" s="1815"/>
      <c r="JQG2" s="1815"/>
      <c r="JQH2" s="1815"/>
      <c r="JQI2" s="1815"/>
      <c r="JQJ2" s="1815"/>
      <c r="JQK2" s="1815"/>
      <c r="JQL2" s="1815"/>
      <c r="JQM2" s="1815"/>
      <c r="JQN2" s="1815"/>
      <c r="JQO2" s="1815"/>
      <c r="JQP2" s="1815"/>
      <c r="JQQ2" s="1815"/>
      <c r="JQR2" s="1815"/>
      <c r="JQS2" s="1815"/>
      <c r="JQT2" s="1815"/>
      <c r="JQU2" s="1815"/>
      <c r="JQV2" s="1815"/>
      <c r="JQW2" s="1815"/>
      <c r="JQX2" s="1815"/>
      <c r="JQY2" s="1815"/>
      <c r="JQZ2" s="1815"/>
      <c r="JRA2" s="1815"/>
      <c r="JRB2" s="1815"/>
      <c r="JRC2" s="1815"/>
      <c r="JRD2" s="1815"/>
      <c r="JRE2" s="1815"/>
      <c r="JRF2" s="1815"/>
      <c r="JRG2" s="1815"/>
      <c r="JRH2" s="1815"/>
      <c r="JRI2" s="1815"/>
      <c r="JRJ2" s="1815"/>
      <c r="JRK2" s="1815"/>
      <c r="JRL2" s="1815"/>
      <c r="JRM2" s="1815"/>
      <c r="JRN2" s="1815"/>
      <c r="JRO2" s="1815"/>
      <c r="JRP2" s="1815"/>
      <c r="JRQ2" s="1815"/>
      <c r="JRR2" s="1815"/>
      <c r="JRS2" s="1815"/>
      <c r="JRT2" s="1815"/>
      <c r="JRU2" s="1815"/>
      <c r="JRV2" s="1815"/>
      <c r="JRW2" s="1815"/>
      <c r="JRX2" s="1815"/>
      <c r="JRY2" s="1815"/>
      <c r="JRZ2" s="1815"/>
      <c r="JSA2" s="1815"/>
      <c r="JSB2" s="1815"/>
      <c r="JSC2" s="1815"/>
      <c r="JSD2" s="1815"/>
      <c r="JSE2" s="1815"/>
      <c r="JSF2" s="1815"/>
      <c r="JSG2" s="1815"/>
      <c r="JSH2" s="1815"/>
      <c r="JSI2" s="1815"/>
      <c r="JSJ2" s="1815"/>
      <c r="JSK2" s="1815"/>
      <c r="JSL2" s="1815"/>
      <c r="JSM2" s="1815"/>
      <c r="JSN2" s="1815"/>
      <c r="JSO2" s="1815"/>
      <c r="JSP2" s="1815"/>
      <c r="JSQ2" s="1815"/>
      <c r="JSR2" s="1815"/>
      <c r="JSS2" s="1815"/>
      <c r="JST2" s="1815"/>
      <c r="JSU2" s="1815"/>
      <c r="JSV2" s="1815"/>
      <c r="JSW2" s="1815"/>
      <c r="JSX2" s="1815"/>
      <c r="JSY2" s="1815"/>
      <c r="JSZ2" s="1815"/>
      <c r="JTA2" s="1815"/>
      <c r="JTB2" s="1815"/>
      <c r="JTC2" s="1815"/>
      <c r="JTD2" s="1815"/>
      <c r="JTE2" s="1815"/>
      <c r="JTF2" s="1815"/>
      <c r="JTG2" s="1815"/>
      <c r="JTH2" s="1815"/>
      <c r="JTI2" s="1815"/>
      <c r="JTJ2" s="1815"/>
      <c r="JTK2" s="1815"/>
      <c r="JTL2" s="1815"/>
      <c r="JTM2" s="1815"/>
      <c r="JTN2" s="1815"/>
      <c r="JTO2" s="1815"/>
      <c r="JTP2" s="1815"/>
      <c r="JTQ2" s="1815"/>
      <c r="JTR2" s="1815"/>
      <c r="JTS2" s="1815"/>
      <c r="JTT2" s="1815"/>
      <c r="JTU2" s="1815"/>
      <c r="JTV2" s="1815"/>
      <c r="JTW2" s="1815"/>
      <c r="JTX2" s="1815"/>
      <c r="JTY2" s="1815"/>
      <c r="JTZ2" s="1815"/>
      <c r="JUA2" s="1815"/>
      <c r="JUB2" s="1815"/>
      <c r="JUC2" s="1815"/>
      <c r="JUD2" s="1815"/>
      <c r="JUE2" s="1815"/>
      <c r="JUF2" s="1815"/>
      <c r="JUG2" s="1815"/>
      <c r="JUH2" s="1815"/>
      <c r="JUI2" s="1815"/>
      <c r="JUJ2" s="1815"/>
      <c r="JUK2" s="1815"/>
      <c r="JUL2" s="1815"/>
      <c r="JUM2" s="1815"/>
      <c r="JUN2" s="1815"/>
      <c r="JUO2" s="1815"/>
      <c r="JUP2" s="1815"/>
      <c r="JUQ2" s="1815"/>
      <c r="JUR2" s="1815"/>
      <c r="JUS2" s="1815"/>
      <c r="JUT2" s="1815"/>
      <c r="JUU2" s="1815"/>
      <c r="JUV2" s="1815"/>
      <c r="JUW2" s="1815"/>
      <c r="JUX2" s="1815"/>
      <c r="JUY2" s="1815"/>
      <c r="JUZ2" s="1815"/>
      <c r="JVA2" s="1815"/>
      <c r="JVB2" s="1815"/>
      <c r="JVC2" s="1815"/>
      <c r="JVD2" s="1815"/>
      <c r="JVE2" s="1815"/>
      <c r="JVF2" s="1815"/>
      <c r="JVG2" s="1815"/>
      <c r="JVH2" s="1815"/>
      <c r="JVI2" s="1815"/>
      <c r="JVJ2" s="1815"/>
      <c r="JVK2" s="1815"/>
      <c r="JVL2" s="1815"/>
      <c r="JVM2" s="1815"/>
      <c r="JVN2" s="1815"/>
      <c r="JVO2" s="1815"/>
      <c r="JVP2" s="1815"/>
      <c r="JVQ2" s="1815"/>
      <c r="JVR2" s="1815"/>
      <c r="JVS2" s="1815"/>
      <c r="JVT2" s="1815"/>
      <c r="JVU2" s="1815"/>
      <c r="JVV2" s="1815"/>
      <c r="JVW2" s="1815"/>
      <c r="JVX2" s="1815"/>
      <c r="JVY2" s="1815"/>
      <c r="JVZ2" s="1815"/>
      <c r="JWA2" s="1815"/>
      <c r="JWB2" s="1815"/>
      <c r="JWC2" s="1815"/>
      <c r="JWD2" s="1815"/>
      <c r="JWE2" s="1815"/>
      <c r="JWF2" s="1815"/>
      <c r="JWG2" s="1815"/>
      <c r="JWH2" s="1815"/>
      <c r="JWI2" s="1815"/>
      <c r="JWJ2" s="1815"/>
      <c r="JWK2" s="1815"/>
      <c r="JWL2" s="1815"/>
      <c r="JWM2" s="1815"/>
      <c r="JWN2" s="1815"/>
      <c r="JWO2" s="1815"/>
      <c r="JWP2" s="1815"/>
      <c r="JWQ2" s="1815"/>
      <c r="JWR2" s="1815"/>
      <c r="JWS2" s="1815"/>
      <c r="JWT2" s="1815"/>
      <c r="JWU2" s="1815"/>
      <c r="JWV2" s="1815"/>
      <c r="JWW2" s="1815"/>
      <c r="JWX2" s="1815"/>
      <c r="JWY2" s="1815"/>
      <c r="JWZ2" s="1815"/>
      <c r="JXA2" s="1815"/>
      <c r="JXB2" s="1815"/>
      <c r="JXC2" s="1815"/>
      <c r="JXD2" s="1815"/>
      <c r="JXE2" s="1815"/>
      <c r="JXF2" s="1815"/>
      <c r="JXG2" s="1815"/>
      <c r="JXH2" s="1815"/>
      <c r="JXI2" s="1815"/>
      <c r="JXJ2" s="1815"/>
      <c r="JXK2" s="1815"/>
      <c r="JXL2" s="1815"/>
      <c r="JXM2" s="1815"/>
      <c r="JXN2" s="1815"/>
      <c r="JXO2" s="1815"/>
      <c r="JXP2" s="1815"/>
      <c r="JXQ2" s="1815"/>
      <c r="JXR2" s="1815"/>
      <c r="JXS2" s="1815"/>
      <c r="JXT2" s="1815"/>
      <c r="JXU2" s="1815"/>
      <c r="JXV2" s="1815"/>
      <c r="JXW2" s="1815"/>
      <c r="JXX2" s="1815"/>
      <c r="JXY2" s="1815"/>
      <c r="JXZ2" s="1815"/>
      <c r="JYA2" s="1815"/>
      <c r="JYB2" s="1815"/>
      <c r="JYC2" s="1815"/>
      <c r="JYD2" s="1815"/>
      <c r="JYE2" s="1815"/>
      <c r="JYF2" s="1815"/>
      <c r="JYG2" s="1815"/>
      <c r="JYH2" s="1815"/>
      <c r="JYI2" s="1815"/>
      <c r="JYJ2" s="1815"/>
      <c r="JYK2" s="1815"/>
      <c r="JYL2" s="1815"/>
      <c r="JYM2" s="1815"/>
      <c r="JYN2" s="1815"/>
      <c r="JYO2" s="1815"/>
      <c r="JYP2" s="1815"/>
      <c r="JYQ2" s="1815"/>
      <c r="JYR2" s="1815"/>
      <c r="JYS2" s="1815"/>
      <c r="JYT2" s="1815"/>
      <c r="JYU2" s="1815"/>
      <c r="JYV2" s="1815"/>
      <c r="JYW2" s="1815"/>
      <c r="JYX2" s="1815"/>
      <c r="JYY2" s="1815"/>
      <c r="JYZ2" s="1815"/>
      <c r="JZA2" s="1815"/>
      <c r="JZB2" s="1815"/>
      <c r="JZC2" s="1815"/>
      <c r="JZD2" s="1815"/>
      <c r="JZE2" s="1815"/>
      <c r="JZF2" s="1815"/>
      <c r="JZG2" s="1815"/>
      <c r="JZH2" s="1815"/>
      <c r="JZI2" s="1815"/>
      <c r="JZJ2" s="1815"/>
      <c r="JZK2" s="1815"/>
      <c r="JZL2" s="1815"/>
      <c r="JZM2" s="1815"/>
      <c r="JZN2" s="1815"/>
      <c r="JZO2" s="1815"/>
      <c r="JZP2" s="1815"/>
      <c r="JZQ2" s="1815"/>
      <c r="JZR2" s="1815"/>
      <c r="JZS2" s="1815"/>
      <c r="JZT2" s="1815"/>
      <c r="JZU2" s="1815"/>
      <c r="JZV2" s="1815"/>
      <c r="JZW2" s="1815"/>
      <c r="JZX2" s="1815"/>
      <c r="JZY2" s="1815"/>
      <c r="JZZ2" s="1815"/>
      <c r="KAA2" s="1815"/>
      <c r="KAB2" s="1815"/>
      <c r="KAC2" s="1815"/>
      <c r="KAD2" s="1815"/>
      <c r="KAE2" s="1815"/>
      <c r="KAF2" s="1815"/>
      <c r="KAG2" s="1815"/>
      <c r="KAH2" s="1815"/>
      <c r="KAI2" s="1815"/>
      <c r="KAJ2" s="1815"/>
      <c r="KAK2" s="1815"/>
      <c r="KAL2" s="1815"/>
      <c r="KAM2" s="1815"/>
      <c r="KAN2" s="1815"/>
      <c r="KAO2" s="1815"/>
      <c r="KAP2" s="1815"/>
      <c r="KAQ2" s="1815"/>
      <c r="KAR2" s="1815"/>
      <c r="KAS2" s="1815"/>
      <c r="KAT2" s="1815"/>
      <c r="KAU2" s="1815"/>
      <c r="KAV2" s="1815"/>
      <c r="KAW2" s="1815"/>
      <c r="KAX2" s="1815"/>
      <c r="KAY2" s="1815"/>
      <c r="KAZ2" s="1815"/>
      <c r="KBA2" s="1815"/>
      <c r="KBB2" s="1815"/>
      <c r="KBC2" s="1815"/>
      <c r="KBD2" s="1815"/>
      <c r="KBE2" s="1815"/>
      <c r="KBF2" s="1815"/>
      <c r="KBG2" s="1815"/>
      <c r="KBH2" s="1815"/>
      <c r="KBI2" s="1815"/>
      <c r="KBJ2" s="1815"/>
      <c r="KBK2" s="1815"/>
      <c r="KBL2" s="1815"/>
      <c r="KBM2" s="1815"/>
      <c r="KBN2" s="1815"/>
      <c r="KBO2" s="1815"/>
      <c r="KBP2" s="1815"/>
      <c r="KBQ2" s="1815"/>
      <c r="KBR2" s="1815"/>
      <c r="KBS2" s="1815"/>
      <c r="KBT2" s="1815"/>
      <c r="KBU2" s="1815"/>
      <c r="KBV2" s="1815"/>
      <c r="KBW2" s="1815"/>
      <c r="KBX2" s="1815"/>
      <c r="KBY2" s="1815"/>
      <c r="KBZ2" s="1815"/>
      <c r="KCA2" s="1815"/>
      <c r="KCB2" s="1815"/>
      <c r="KCC2" s="1815"/>
      <c r="KCD2" s="1815"/>
      <c r="KCE2" s="1815"/>
      <c r="KCF2" s="1815"/>
      <c r="KCG2" s="1815"/>
      <c r="KCH2" s="1815"/>
      <c r="KCI2" s="1815"/>
      <c r="KCJ2" s="1815"/>
      <c r="KCK2" s="1815"/>
      <c r="KCL2" s="1815"/>
      <c r="KCM2" s="1815"/>
      <c r="KCN2" s="1815"/>
      <c r="KCO2" s="1815"/>
      <c r="KCP2" s="1815"/>
      <c r="KCQ2" s="1815"/>
      <c r="KCR2" s="1815"/>
      <c r="KCS2" s="1815"/>
      <c r="KCT2" s="1815"/>
      <c r="KCU2" s="1815"/>
      <c r="KCV2" s="1815"/>
      <c r="KCW2" s="1815"/>
      <c r="KCX2" s="1815"/>
      <c r="KCY2" s="1815"/>
      <c r="KCZ2" s="1815"/>
      <c r="KDA2" s="1815"/>
      <c r="KDB2" s="1815"/>
      <c r="KDC2" s="1815"/>
      <c r="KDD2" s="1815"/>
      <c r="KDE2" s="1815"/>
      <c r="KDF2" s="1815"/>
      <c r="KDG2" s="1815"/>
      <c r="KDH2" s="1815"/>
      <c r="KDI2" s="1815"/>
      <c r="KDJ2" s="1815"/>
      <c r="KDK2" s="1815"/>
      <c r="KDL2" s="1815"/>
      <c r="KDM2" s="1815"/>
      <c r="KDN2" s="1815"/>
      <c r="KDO2" s="1815"/>
      <c r="KDP2" s="1815"/>
      <c r="KDQ2" s="1815"/>
      <c r="KDR2" s="1815"/>
      <c r="KDS2" s="1815"/>
      <c r="KDT2" s="1815"/>
      <c r="KDU2" s="1815"/>
      <c r="KDV2" s="1815"/>
      <c r="KDW2" s="1815"/>
      <c r="KDX2" s="1815"/>
      <c r="KDY2" s="1815"/>
      <c r="KDZ2" s="1815"/>
      <c r="KEA2" s="1815"/>
      <c r="KEB2" s="1815"/>
      <c r="KEC2" s="1815"/>
      <c r="KED2" s="1815"/>
      <c r="KEE2" s="1815"/>
      <c r="KEF2" s="1815"/>
      <c r="KEG2" s="1815"/>
      <c r="KEH2" s="1815"/>
      <c r="KEI2" s="1815"/>
      <c r="KEJ2" s="1815"/>
      <c r="KEK2" s="1815"/>
      <c r="KEL2" s="1815"/>
      <c r="KEM2" s="1815"/>
      <c r="KEN2" s="1815"/>
      <c r="KEO2" s="1815"/>
      <c r="KEP2" s="1815"/>
      <c r="KEQ2" s="1815"/>
      <c r="KER2" s="1815"/>
      <c r="KES2" s="1815"/>
      <c r="KET2" s="1815"/>
      <c r="KEU2" s="1815"/>
      <c r="KEV2" s="1815"/>
      <c r="KEW2" s="1815"/>
      <c r="KEX2" s="1815"/>
      <c r="KEY2" s="1815"/>
      <c r="KEZ2" s="1815"/>
      <c r="KFA2" s="1815"/>
      <c r="KFB2" s="1815"/>
      <c r="KFC2" s="1815"/>
      <c r="KFD2" s="1815"/>
      <c r="KFE2" s="1815"/>
      <c r="KFF2" s="1815"/>
      <c r="KFG2" s="1815"/>
      <c r="KFH2" s="1815"/>
      <c r="KFI2" s="1815"/>
      <c r="KFJ2" s="1815"/>
      <c r="KFK2" s="1815"/>
      <c r="KFL2" s="1815"/>
      <c r="KFM2" s="1815"/>
      <c r="KFN2" s="1815"/>
      <c r="KFO2" s="1815"/>
      <c r="KFP2" s="1815"/>
      <c r="KFQ2" s="1815"/>
      <c r="KFR2" s="1815"/>
      <c r="KFS2" s="1815"/>
      <c r="KFT2" s="1815"/>
      <c r="KFU2" s="1815"/>
      <c r="KFV2" s="1815"/>
      <c r="KFW2" s="1815"/>
      <c r="KFX2" s="1815"/>
      <c r="KFY2" s="1815"/>
      <c r="KFZ2" s="1815"/>
      <c r="KGA2" s="1815"/>
      <c r="KGB2" s="1815"/>
      <c r="KGC2" s="1815"/>
      <c r="KGD2" s="1815"/>
      <c r="KGE2" s="1815"/>
      <c r="KGF2" s="1815"/>
      <c r="KGG2" s="1815"/>
      <c r="KGH2" s="1815"/>
      <c r="KGI2" s="1815"/>
      <c r="KGJ2" s="1815"/>
      <c r="KGK2" s="1815"/>
      <c r="KGL2" s="1815"/>
      <c r="KGM2" s="1815"/>
      <c r="KGN2" s="1815"/>
      <c r="KGO2" s="1815"/>
      <c r="KGP2" s="1815"/>
      <c r="KGQ2" s="1815"/>
      <c r="KGR2" s="1815"/>
      <c r="KGS2" s="1815"/>
      <c r="KGT2" s="1815"/>
      <c r="KGU2" s="1815"/>
      <c r="KGV2" s="1815"/>
      <c r="KGW2" s="1815"/>
      <c r="KGX2" s="1815"/>
      <c r="KGY2" s="1815"/>
      <c r="KGZ2" s="1815"/>
      <c r="KHA2" s="1815"/>
      <c r="KHB2" s="1815"/>
      <c r="KHC2" s="1815"/>
      <c r="KHD2" s="1815"/>
      <c r="KHE2" s="1815"/>
      <c r="KHF2" s="1815"/>
      <c r="KHG2" s="1815"/>
      <c r="KHH2" s="1815"/>
      <c r="KHI2" s="1815"/>
      <c r="KHJ2" s="1815"/>
      <c r="KHK2" s="1815"/>
      <c r="KHL2" s="1815"/>
      <c r="KHM2" s="1815"/>
      <c r="KHN2" s="1815"/>
      <c r="KHO2" s="1815"/>
      <c r="KHP2" s="1815"/>
      <c r="KHQ2" s="1815"/>
      <c r="KHR2" s="1815"/>
      <c r="KHS2" s="1815"/>
      <c r="KHT2" s="1815"/>
      <c r="KHU2" s="1815"/>
      <c r="KHV2" s="1815"/>
      <c r="KHW2" s="1815"/>
      <c r="KHX2" s="1815"/>
      <c r="KHY2" s="1815"/>
      <c r="KHZ2" s="1815"/>
      <c r="KIA2" s="1815"/>
      <c r="KIB2" s="1815"/>
      <c r="KIC2" s="1815"/>
      <c r="KID2" s="1815"/>
      <c r="KIE2" s="1815"/>
      <c r="KIF2" s="1815"/>
      <c r="KIG2" s="1815"/>
      <c r="KIH2" s="1815"/>
      <c r="KII2" s="1815"/>
      <c r="KIJ2" s="1815"/>
      <c r="KIK2" s="1815"/>
      <c r="KIL2" s="1815"/>
      <c r="KIM2" s="1815"/>
      <c r="KIN2" s="1815"/>
      <c r="KIO2" s="1815"/>
      <c r="KIP2" s="1815"/>
      <c r="KIQ2" s="1815"/>
      <c r="KIR2" s="1815"/>
      <c r="KIS2" s="1815"/>
      <c r="KIT2" s="1815"/>
      <c r="KIU2" s="1815"/>
      <c r="KIV2" s="1815"/>
      <c r="KIW2" s="1815"/>
      <c r="KIX2" s="1815"/>
      <c r="KIY2" s="1815"/>
      <c r="KIZ2" s="1815"/>
      <c r="KJA2" s="1815"/>
      <c r="KJB2" s="1815"/>
      <c r="KJC2" s="1815"/>
      <c r="KJD2" s="1815"/>
      <c r="KJE2" s="1815"/>
      <c r="KJF2" s="1815"/>
      <c r="KJG2" s="1815"/>
      <c r="KJH2" s="1815"/>
      <c r="KJI2" s="1815"/>
      <c r="KJJ2" s="1815"/>
      <c r="KJK2" s="1815"/>
      <c r="KJL2" s="1815"/>
      <c r="KJM2" s="1815"/>
      <c r="KJN2" s="1815"/>
      <c r="KJO2" s="1815"/>
      <c r="KJP2" s="1815"/>
      <c r="KJQ2" s="1815"/>
      <c r="KJR2" s="1815"/>
      <c r="KJS2" s="1815"/>
      <c r="KJT2" s="1815"/>
      <c r="KJU2" s="1815"/>
      <c r="KJV2" s="1815"/>
      <c r="KJW2" s="1815"/>
      <c r="KJX2" s="1815"/>
      <c r="KJY2" s="1815"/>
      <c r="KJZ2" s="1815"/>
      <c r="KKA2" s="1815"/>
      <c r="KKB2" s="1815"/>
      <c r="KKC2" s="1815"/>
      <c r="KKD2" s="1815"/>
      <c r="KKE2" s="1815"/>
      <c r="KKF2" s="1815"/>
      <c r="KKG2" s="1815"/>
      <c r="KKH2" s="1815"/>
      <c r="KKI2" s="1815"/>
      <c r="KKJ2" s="1815"/>
      <c r="KKK2" s="1815"/>
      <c r="KKL2" s="1815"/>
      <c r="KKM2" s="1815"/>
      <c r="KKN2" s="1815"/>
      <c r="KKO2" s="1815"/>
      <c r="KKP2" s="1815"/>
      <c r="KKQ2" s="1815"/>
      <c r="KKR2" s="1815"/>
      <c r="KKS2" s="1815"/>
      <c r="KKT2" s="1815"/>
      <c r="KKU2" s="1815"/>
      <c r="KKV2" s="1815"/>
      <c r="KKW2" s="1815"/>
      <c r="KKX2" s="1815"/>
      <c r="KKY2" s="1815"/>
      <c r="KKZ2" s="1815"/>
      <c r="KLA2" s="1815"/>
      <c r="KLB2" s="1815"/>
      <c r="KLC2" s="1815"/>
      <c r="KLD2" s="1815"/>
      <c r="KLE2" s="1815"/>
      <c r="KLF2" s="1815"/>
      <c r="KLG2" s="1815"/>
      <c r="KLH2" s="1815"/>
      <c r="KLI2" s="1815"/>
      <c r="KLJ2" s="1815"/>
      <c r="KLK2" s="1815"/>
      <c r="KLL2" s="1815"/>
      <c r="KLM2" s="1815"/>
      <c r="KLN2" s="1815"/>
      <c r="KLO2" s="1815"/>
      <c r="KLP2" s="1815"/>
      <c r="KLQ2" s="1815"/>
      <c r="KLR2" s="1815"/>
      <c r="KLS2" s="1815"/>
      <c r="KLT2" s="1815"/>
      <c r="KLU2" s="1815"/>
      <c r="KLV2" s="1815"/>
      <c r="KLW2" s="1815"/>
      <c r="KLX2" s="1815"/>
      <c r="KLY2" s="1815"/>
      <c r="KLZ2" s="1815"/>
      <c r="KMA2" s="1815"/>
      <c r="KMB2" s="1815"/>
      <c r="KMC2" s="1815"/>
      <c r="KMD2" s="1815"/>
      <c r="KME2" s="1815"/>
      <c r="KMF2" s="1815"/>
      <c r="KMG2" s="1815"/>
      <c r="KMH2" s="1815"/>
      <c r="KMI2" s="1815"/>
      <c r="KMJ2" s="1815"/>
      <c r="KMK2" s="1815"/>
      <c r="KML2" s="1815"/>
      <c r="KMM2" s="1815"/>
      <c r="KMN2" s="1815"/>
      <c r="KMO2" s="1815"/>
      <c r="KMP2" s="1815"/>
      <c r="KMQ2" s="1815"/>
      <c r="KMR2" s="1815"/>
      <c r="KMS2" s="1815"/>
      <c r="KMT2" s="1815"/>
      <c r="KMU2" s="1815"/>
      <c r="KMV2" s="1815"/>
      <c r="KMW2" s="1815"/>
      <c r="KMX2" s="1815"/>
      <c r="KMY2" s="1815"/>
      <c r="KMZ2" s="1815"/>
      <c r="KNA2" s="1815"/>
      <c r="KNB2" s="1815"/>
      <c r="KNC2" s="1815"/>
      <c r="KND2" s="1815"/>
      <c r="KNE2" s="1815"/>
      <c r="KNF2" s="1815"/>
      <c r="KNG2" s="1815"/>
      <c r="KNH2" s="1815"/>
      <c r="KNI2" s="1815"/>
      <c r="KNJ2" s="1815"/>
      <c r="KNK2" s="1815"/>
      <c r="KNL2" s="1815"/>
      <c r="KNM2" s="1815"/>
      <c r="KNN2" s="1815"/>
      <c r="KNO2" s="1815"/>
      <c r="KNP2" s="1815"/>
      <c r="KNQ2" s="1815"/>
      <c r="KNR2" s="1815"/>
      <c r="KNS2" s="1815"/>
      <c r="KNT2" s="1815"/>
      <c r="KNU2" s="1815"/>
      <c r="KNV2" s="1815"/>
      <c r="KNW2" s="1815"/>
      <c r="KNX2" s="1815"/>
      <c r="KNY2" s="1815"/>
      <c r="KNZ2" s="1815"/>
      <c r="KOA2" s="1815"/>
      <c r="KOB2" s="1815"/>
      <c r="KOC2" s="1815"/>
      <c r="KOD2" s="1815"/>
      <c r="KOE2" s="1815"/>
      <c r="KOF2" s="1815"/>
      <c r="KOG2" s="1815"/>
      <c r="KOH2" s="1815"/>
      <c r="KOI2" s="1815"/>
      <c r="KOJ2" s="1815"/>
      <c r="KOK2" s="1815"/>
      <c r="KOL2" s="1815"/>
      <c r="KOM2" s="1815"/>
      <c r="KON2" s="1815"/>
      <c r="KOO2" s="1815"/>
      <c r="KOP2" s="1815"/>
      <c r="KOQ2" s="1815"/>
      <c r="KOR2" s="1815"/>
      <c r="KOS2" s="1815"/>
      <c r="KOT2" s="1815"/>
      <c r="KOU2" s="1815"/>
      <c r="KOV2" s="1815"/>
      <c r="KOW2" s="1815"/>
      <c r="KOX2" s="1815"/>
      <c r="KOY2" s="1815"/>
      <c r="KOZ2" s="1815"/>
      <c r="KPA2" s="1815"/>
      <c r="KPB2" s="1815"/>
      <c r="KPC2" s="1815"/>
      <c r="KPD2" s="1815"/>
      <c r="KPE2" s="1815"/>
      <c r="KPF2" s="1815"/>
      <c r="KPG2" s="1815"/>
      <c r="KPH2" s="1815"/>
      <c r="KPI2" s="1815"/>
      <c r="KPJ2" s="1815"/>
      <c r="KPK2" s="1815"/>
      <c r="KPL2" s="1815"/>
      <c r="KPM2" s="1815"/>
      <c r="KPN2" s="1815"/>
      <c r="KPO2" s="1815"/>
      <c r="KPP2" s="1815"/>
      <c r="KPQ2" s="1815"/>
      <c r="KPR2" s="1815"/>
      <c r="KPS2" s="1815"/>
      <c r="KPT2" s="1815"/>
      <c r="KPU2" s="1815"/>
      <c r="KPV2" s="1815"/>
      <c r="KPW2" s="1815"/>
      <c r="KPX2" s="1815"/>
      <c r="KPY2" s="1815"/>
      <c r="KPZ2" s="1815"/>
      <c r="KQA2" s="1815"/>
      <c r="KQB2" s="1815"/>
      <c r="KQC2" s="1815"/>
      <c r="KQD2" s="1815"/>
      <c r="KQE2" s="1815"/>
      <c r="KQF2" s="1815"/>
      <c r="KQG2" s="1815"/>
      <c r="KQH2" s="1815"/>
      <c r="KQI2" s="1815"/>
      <c r="KQJ2" s="1815"/>
      <c r="KQK2" s="1815"/>
      <c r="KQL2" s="1815"/>
      <c r="KQM2" s="1815"/>
      <c r="KQN2" s="1815"/>
      <c r="KQO2" s="1815"/>
      <c r="KQP2" s="1815"/>
      <c r="KQQ2" s="1815"/>
      <c r="KQR2" s="1815"/>
      <c r="KQS2" s="1815"/>
      <c r="KQT2" s="1815"/>
      <c r="KQU2" s="1815"/>
      <c r="KQV2" s="1815"/>
      <c r="KQW2" s="1815"/>
      <c r="KQX2" s="1815"/>
      <c r="KQY2" s="1815"/>
      <c r="KQZ2" s="1815"/>
      <c r="KRA2" s="1815"/>
      <c r="KRB2" s="1815"/>
      <c r="KRC2" s="1815"/>
      <c r="KRD2" s="1815"/>
      <c r="KRE2" s="1815"/>
      <c r="KRF2" s="1815"/>
      <c r="KRG2" s="1815"/>
      <c r="KRH2" s="1815"/>
      <c r="KRI2" s="1815"/>
      <c r="KRJ2" s="1815"/>
      <c r="KRK2" s="1815"/>
      <c r="KRL2" s="1815"/>
      <c r="KRM2" s="1815"/>
      <c r="KRN2" s="1815"/>
      <c r="KRO2" s="1815"/>
      <c r="KRP2" s="1815"/>
      <c r="KRQ2" s="1815"/>
      <c r="KRR2" s="1815"/>
      <c r="KRS2" s="1815"/>
      <c r="KRT2" s="1815"/>
      <c r="KRU2" s="1815"/>
      <c r="KRV2" s="1815"/>
      <c r="KRW2" s="1815"/>
      <c r="KRX2" s="1815"/>
      <c r="KRY2" s="1815"/>
      <c r="KRZ2" s="1815"/>
      <c r="KSA2" s="1815"/>
      <c r="KSB2" s="1815"/>
      <c r="KSC2" s="1815"/>
      <c r="KSD2" s="1815"/>
      <c r="KSE2" s="1815"/>
      <c r="KSF2" s="1815"/>
      <c r="KSG2" s="1815"/>
      <c r="KSH2" s="1815"/>
      <c r="KSI2" s="1815"/>
      <c r="KSJ2" s="1815"/>
      <c r="KSK2" s="1815"/>
      <c r="KSL2" s="1815"/>
      <c r="KSM2" s="1815"/>
      <c r="KSN2" s="1815"/>
      <c r="KSO2" s="1815"/>
      <c r="KSP2" s="1815"/>
      <c r="KSQ2" s="1815"/>
      <c r="KSR2" s="1815"/>
      <c r="KSS2" s="1815"/>
      <c r="KST2" s="1815"/>
      <c r="KSU2" s="1815"/>
      <c r="KSV2" s="1815"/>
      <c r="KSW2" s="1815"/>
      <c r="KSX2" s="1815"/>
      <c r="KSY2" s="1815"/>
      <c r="KSZ2" s="1815"/>
      <c r="KTA2" s="1815"/>
      <c r="KTB2" s="1815"/>
      <c r="KTC2" s="1815"/>
      <c r="KTD2" s="1815"/>
      <c r="KTE2" s="1815"/>
      <c r="KTF2" s="1815"/>
      <c r="KTG2" s="1815"/>
      <c r="KTH2" s="1815"/>
      <c r="KTI2" s="1815"/>
      <c r="KTJ2" s="1815"/>
      <c r="KTK2" s="1815"/>
      <c r="KTL2" s="1815"/>
      <c r="KTM2" s="1815"/>
      <c r="KTN2" s="1815"/>
      <c r="KTO2" s="1815"/>
      <c r="KTP2" s="1815"/>
      <c r="KTQ2" s="1815"/>
      <c r="KTR2" s="1815"/>
      <c r="KTS2" s="1815"/>
      <c r="KTT2" s="1815"/>
      <c r="KTU2" s="1815"/>
      <c r="KTV2" s="1815"/>
      <c r="KTW2" s="1815"/>
      <c r="KTX2" s="1815"/>
      <c r="KTY2" s="1815"/>
      <c r="KTZ2" s="1815"/>
      <c r="KUA2" s="1815"/>
      <c r="KUB2" s="1815"/>
      <c r="KUC2" s="1815"/>
      <c r="KUD2" s="1815"/>
      <c r="KUE2" s="1815"/>
      <c r="KUF2" s="1815"/>
      <c r="KUG2" s="1815"/>
      <c r="KUH2" s="1815"/>
      <c r="KUI2" s="1815"/>
      <c r="KUJ2" s="1815"/>
      <c r="KUK2" s="1815"/>
      <c r="KUL2" s="1815"/>
      <c r="KUM2" s="1815"/>
      <c r="KUN2" s="1815"/>
      <c r="KUO2" s="1815"/>
      <c r="KUP2" s="1815"/>
      <c r="KUQ2" s="1815"/>
      <c r="KUR2" s="1815"/>
      <c r="KUS2" s="1815"/>
      <c r="KUT2" s="1815"/>
      <c r="KUU2" s="1815"/>
      <c r="KUV2" s="1815"/>
      <c r="KUW2" s="1815"/>
      <c r="KUX2" s="1815"/>
      <c r="KUY2" s="1815"/>
      <c r="KUZ2" s="1815"/>
      <c r="KVA2" s="1815"/>
      <c r="KVB2" s="1815"/>
      <c r="KVC2" s="1815"/>
      <c r="KVD2" s="1815"/>
      <c r="KVE2" s="1815"/>
      <c r="KVF2" s="1815"/>
      <c r="KVG2" s="1815"/>
      <c r="KVH2" s="1815"/>
      <c r="KVI2" s="1815"/>
      <c r="KVJ2" s="1815"/>
      <c r="KVK2" s="1815"/>
      <c r="KVL2" s="1815"/>
      <c r="KVM2" s="1815"/>
      <c r="KVN2" s="1815"/>
      <c r="KVO2" s="1815"/>
      <c r="KVP2" s="1815"/>
      <c r="KVQ2" s="1815"/>
      <c r="KVR2" s="1815"/>
      <c r="KVS2" s="1815"/>
      <c r="KVT2" s="1815"/>
      <c r="KVU2" s="1815"/>
      <c r="KVV2" s="1815"/>
      <c r="KVW2" s="1815"/>
      <c r="KVX2" s="1815"/>
      <c r="KVY2" s="1815"/>
      <c r="KVZ2" s="1815"/>
      <c r="KWA2" s="1815"/>
      <c r="KWB2" s="1815"/>
      <c r="KWC2" s="1815"/>
      <c r="KWD2" s="1815"/>
      <c r="KWE2" s="1815"/>
      <c r="KWF2" s="1815"/>
      <c r="KWG2" s="1815"/>
      <c r="KWH2" s="1815"/>
      <c r="KWI2" s="1815"/>
      <c r="KWJ2" s="1815"/>
      <c r="KWK2" s="1815"/>
      <c r="KWL2" s="1815"/>
      <c r="KWM2" s="1815"/>
      <c r="KWN2" s="1815"/>
      <c r="KWO2" s="1815"/>
      <c r="KWP2" s="1815"/>
      <c r="KWQ2" s="1815"/>
      <c r="KWR2" s="1815"/>
      <c r="KWS2" s="1815"/>
      <c r="KWT2" s="1815"/>
      <c r="KWU2" s="1815"/>
      <c r="KWV2" s="1815"/>
      <c r="KWW2" s="1815"/>
      <c r="KWX2" s="1815"/>
      <c r="KWY2" s="1815"/>
      <c r="KWZ2" s="1815"/>
      <c r="KXA2" s="1815"/>
      <c r="KXB2" s="1815"/>
      <c r="KXC2" s="1815"/>
      <c r="KXD2" s="1815"/>
      <c r="KXE2" s="1815"/>
      <c r="KXF2" s="1815"/>
      <c r="KXG2" s="1815"/>
      <c r="KXH2" s="1815"/>
      <c r="KXI2" s="1815"/>
      <c r="KXJ2" s="1815"/>
      <c r="KXK2" s="1815"/>
      <c r="KXL2" s="1815"/>
      <c r="KXM2" s="1815"/>
      <c r="KXN2" s="1815"/>
      <c r="KXO2" s="1815"/>
      <c r="KXP2" s="1815"/>
      <c r="KXQ2" s="1815"/>
      <c r="KXR2" s="1815"/>
      <c r="KXS2" s="1815"/>
      <c r="KXT2" s="1815"/>
      <c r="KXU2" s="1815"/>
      <c r="KXV2" s="1815"/>
      <c r="KXW2" s="1815"/>
      <c r="KXX2" s="1815"/>
      <c r="KXY2" s="1815"/>
      <c r="KXZ2" s="1815"/>
      <c r="KYA2" s="1815"/>
      <c r="KYB2" s="1815"/>
      <c r="KYC2" s="1815"/>
      <c r="KYD2" s="1815"/>
      <c r="KYE2" s="1815"/>
      <c r="KYF2" s="1815"/>
      <c r="KYG2" s="1815"/>
      <c r="KYH2" s="1815"/>
      <c r="KYI2" s="1815"/>
      <c r="KYJ2" s="1815"/>
      <c r="KYK2" s="1815"/>
      <c r="KYL2" s="1815"/>
      <c r="KYM2" s="1815"/>
      <c r="KYN2" s="1815"/>
      <c r="KYO2" s="1815"/>
      <c r="KYP2" s="1815"/>
      <c r="KYQ2" s="1815"/>
      <c r="KYR2" s="1815"/>
      <c r="KYS2" s="1815"/>
      <c r="KYT2" s="1815"/>
      <c r="KYU2" s="1815"/>
      <c r="KYV2" s="1815"/>
      <c r="KYW2" s="1815"/>
      <c r="KYX2" s="1815"/>
      <c r="KYY2" s="1815"/>
      <c r="KYZ2" s="1815"/>
      <c r="KZA2" s="1815"/>
      <c r="KZB2" s="1815"/>
      <c r="KZC2" s="1815"/>
      <c r="KZD2" s="1815"/>
      <c r="KZE2" s="1815"/>
      <c r="KZF2" s="1815"/>
      <c r="KZG2" s="1815"/>
      <c r="KZH2" s="1815"/>
      <c r="KZI2" s="1815"/>
      <c r="KZJ2" s="1815"/>
      <c r="KZK2" s="1815"/>
      <c r="KZL2" s="1815"/>
      <c r="KZM2" s="1815"/>
      <c r="KZN2" s="1815"/>
      <c r="KZO2" s="1815"/>
      <c r="KZP2" s="1815"/>
      <c r="KZQ2" s="1815"/>
      <c r="KZR2" s="1815"/>
      <c r="KZS2" s="1815"/>
      <c r="KZT2" s="1815"/>
      <c r="KZU2" s="1815"/>
      <c r="KZV2" s="1815"/>
      <c r="KZW2" s="1815"/>
      <c r="KZX2" s="1815"/>
      <c r="KZY2" s="1815"/>
      <c r="KZZ2" s="1815"/>
      <c r="LAA2" s="1815"/>
      <c r="LAB2" s="1815"/>
      <c r="LAC2" s="1815"/>
      <c r="LAD2" s="1815"/>
      <c r="LAE2" s="1815"/>
      <c r="LAF2" s="1815"/>
      <c r="LAG2" s="1815"/>
      <c r="LAH2" s="1815"/>
      <c r="LAI2" s="1815"/>
      <c r="LAJ2" s="1815"/>
      <c r="LAK2" s="1815"/>
      <c r="LAL2" s="1815"/>
      <c r="LAM2" s="1815"/>
      <c r="LAN2" s="1815"/>
      <c r="LAO2" s="1815"/>
      <c r="LAP2" s="1815"/>
      <c r="LAQ2" s="1815"/>
      <c r="LAR2" s="1815"/>
      <c r="LAS2" s="1815"/>
      <c r="LAT2" s="1815"/>
      <c r="LAU2" s="1815"/>
      <c r="LAV2" s="1815"/>
      <c r="LAW2" s="1815"/>
      <c r="LAX2" s="1815"/>
      <c r="LAY2" s="1815"/>
      <c r="LAZ2" s="1815"/>
      <c r="LBA2" s="1815"/>
      <c r="LBB2" s="1815"/>
      <c r="LBC2" s="1815"/>
      <c r="LBD2" s="1815"/>
      <c r="LBE2" s="1815"/>
      <c r="LBF2" s="1815"/>
      <c r="LBG2" s="1815"/>
      <c r="LBH2" s="1815"/>
      <c r="LBI2" s="1815"/>
      <c r="LBJ2" s="1815"/>
      <c r="LBK2" s="1815"/>
      <c r="LBL2" s="1815"/>
      <c r="LBM2" s="1815"/>
      <c r="LBN2" s="1815"/>
      <c r="LBO2" s="1815"/>
      <c r="LBP2" s="1815"/>
      <c r="LBQ2" s="1815"/>
      <c r="LBR2" s="1815"/>
      <c r="LBS2" s="1815"/>
      <c r="LBT2" s="1815"/>
      <c r="LBU2" s="1815"/>
      <c r="LBV2" s="1815"/>
      <c r="LBW2" s="1815"/>
      <c r="LBX2" s="1815"/>
      <c r="LBY2" s="1815"/>
      <c r="LBZ2" s="1815"/>
      <c r="LCA2" s="1815"/>
      <c r="LCB2" s="1815"/>
      <c r="LCC2" s="1815"/>
      <c r="LCD2" s="1815"/>
      <c r="LCE2" s="1815"/>
      <c r="LCF2" s="1815"/>
      <c r="LCG2" s="1815"/>
      <c r="LCH2" s="1815"/>
      <c r="LCI2" s="1815"/>
      <c r="LCJ2" s="1815"/>
      <c r="LCK2" s="1815"/>
      <c r="LCL2" s="1815"/>
      <c r="LCM2" s="1815"/>
      <c r="LCN2" s="1815"/>
      <c r="LCO2" s="1815"/>
      <c r="LCP2" s="1815"/>
      <c r="LCQ2" s="1815"/>
      <c r="LCR2" s="1815"/>
      <c r="LCS2" s="1815"/>
      <c r="LCT2" s="1815"/>
      <c r="LCU2" s="1815"/>
      <c r="LCV2" s="1815"/>
      <c r="LCW2" s="1815"/>
      <c r="LCX2" s="1815"/>
      <c r="LCY2" s="1815"/>
      <c r="LCZ2" s="1815"/>
      <c r="LDA2" s="1815"/>
      <c r="LDB2" s="1815"/>
      <c r="LDC2" s="1815"/>
      <c r="LDD2" s="1815"/>
      <c r="LDE2" s="1815"/>
      <c r="LDF2" s="1815"/>
      <c r="LDG2" s="1815"/>
      <c r="LDH2" s="1815"/>
      <c r="LDI2" s="1815"/>
      <c r="LDJ2" s="1815"/>
      <c r="LDK2" s="1815"/>
      <c r="LDL2" s="1815"/>
      <c r="LDM2" s="1815"/>
      <c r="LDN2" s="1815"/>
      <c r="LDO2" s="1815"/>
      <c r="LDP2" s="1815"/>
      <c r="LDQ2" s="1815"/>
      <c r="LDR2" s="1815"/>
      <c r="LDS2" s="1815"/>
      <c r="LDT2" s="1815"/>
      <c r="LDU2" s="1815"/>
      <c r="LDV2" s="1815"/>
      <c r="LDW2" s="1815"/>
      <c r="LDX2" s="1815"/>
      <c r="LDY2" s="1815"/>
      <c r="LDZ2" s="1815"/>
      <c r="LEA2" s="1815"/>
      <c r="LEB2" s="1815"/>
      <c r="LEC2" s="1815"/>
      <c r="LED2" s="1815"/>
      <c r="LEE2" s="1815"/>
      <c r="LEF2" s="1815"/>
      <c r="LEG2" s="1815"/>
      <c r="LEH2" s="1815"/>
      <c r="LEI2" s="1815"/>
      <c r="LEJ2" s="1815"/>
      <c r="LEK2" s="1815"/>
      <c r="LEL2" s="1815"/>
      <c r="LEM2" s="1815"/>
      <c r="LEN2" s="1815"/>
      <c r="LEO2" s="1815"/>
      <c r="LEP2" s="1815"/>
      <c r="LEQ2" s="1815"/>
      <c r="LER2" s="1815"/>
      <c r="LES2" s="1815"/>
      <c r="LET2" s="1815"/>
      <c r="LEU2" s="1815"/>
      <c r="LEV2" s="1815"/>
      <c r="LEW2" s="1815"/>
      <c r="LEX2" s="1815"/>
      <c r="LEY2" s="1815"/>
      <c r="LEZ2" s="1815"/>
      <c r="LFA2" s="1815"/>
      <c r="LFB2" s="1815"/>
      <c r="LFC2" s="1815"/>
      <c r="LFD2" s="1815"/>
      <c r="LFE2" s="1815"/>
      <c r="LFF2" s="1815"/>
      <c r="LFG2" s="1815"/>
      <c r="LFH2" s="1815"/>
      <c r="LFI2" s="1815"/>
      <c r="LFJ2" s="1815"/>
      <c r="LFK2" s="1815"/>
      <c r="LFL2" s="1815"/>
      <c r="LFM2" s="1815"/>
      <c r="LFN2" s="1815"/>
      <c r="LFO2" s="1815"/>
      <c r="LFP2" s="1815"/>
      <c r="LFQ2" s="1815"/>
      <c r="LFR2" s="1815"/>
      <c r="LFS2" s="1815"/>
      <c r="LFT2" s="1815"/>
      <c r="LFU2" s="1815"/>
      <c r="LFV2" s="1815"/>
      <c r="LFW2" s="1815"/>
      <c r="LFX2" s="1815"/>
      <c r="LFY2" s="1815"/>
      <c r="LFZ2" s="1815"/>
      <c r="LGA2" s="1815"/>
      <c r="LGB2" s="1815"/>
      <c r="LGC2" s="1815"/>
      <c r="LGD2" s="1815"/>
      <c r="LGE2" s="1815"/>
      <c r="LGF2" s="1815"/>
      <c r="LGG2" s="1815"/>
      <c r="LGH2" s="1815"/>
      <c r="LGI2" s="1815"/>
      <c r="LGJ2" s="1815"/>
      <c r="LGK2" s="1815"/>
      <c r="LGL2" s="1815"/>
      <c r="LGM2" s="1815"/>
      <c r="LGN2" s="1815"/>
      <c r="LGO2" s="1815"/>
      <c r="LGP2" s="1815"/>
      <c r="LGQ2" s="1815"/>
      <c r="LGR2" s="1815"/>
      <c r="LGS2" s="1815"/>
      <c r="LGT2" s="1815"/>
      <c r="LGU2" s="1815"/>
      <c r="LGV2" s="1815"/>
      <c r="LGW2" s="1815"/>
      <c r="LGX2" s="1815"/>
      <c r="LGY2" s="1815"/>
      <c r="LGZ2" s="1815"/>
      <c r="LHA2" s="1815"/>
      <c r="LHB2" s="1815"/>
      <c r="LHC2" s="1815"/>
      <c r="LHD2" s="1815"/>
      <c r="LHE2" s="1815"/>
      <c r="LHF2" s="1815"/>
      <c r="LHG2" s="1815"/>
      <c r="LHH2" s="1815"/>
      <c r="LHI2" s="1815"/>
      <c r="LHJ2" s="1815"/>
      <c r="LHK2" s="1815"/>
      <c r="LHL2" s="1815"/>
      <c r="LHM2" s="1815"/>
      <c r="LHN2" s="1815"/>
      <c r="LHO2" s="1815"/>
      <c r="LHP2" s="1815"/>
      <c r="LHQ2" s="1815"/>
      <c r="LHR2" s="1815"/>
      <c r="LHS2" s="1815"/>
      <c r="LHT2" s="1815"/>
      <c r="LHU2" s="1815"/>
      <c r="LHV2" s="1815"/>
      <c r="LHW2" s="1815"/>
      <c r="LHX2" s="1815"/>
      <c r="LHY2" s="1815"/>
      <c r="LHZ2" s="1815"/>
      <c r="LIA2" s="1815"/>
      <c r="LIB2" s="1815"/>
      <c r="LIC2" s="1815"/>
      <c r="LID2" s="1815"/>
      <c r="LIE2" s="1815"/>
      <c r="LIF2" s="1815"/>
      <c r="LIG2" s="1815"/>
      <c r="LIH2" s="1815"/>
      <c r="LII2" s="1815"/>
      <c r="LIJ2" s="1815"/>
      <c r="LIK2" s="1815"/>
      <c r="LIL2" s="1815"/>
      <c r="LIM2" s="1815"/>
      <c r="LIN2" s="1815"/>
      <c r="LIO2" s="1815"/>
      <c r="LIP2" s="1815"/>
      <c r="LIQ2" s="1815"/>
      <c r="LIR2" s="1815"/>
      <c r="LIS2" s="1815"/>
      <c r="LIT2" s="1815"/>
      <c r="LIU2" s="1815"/>
      <c r="LIV2" s="1815"/>
      <c r="LIW2" s="1815"/>
      <c r="LIX2" s="1815"/>
      <c r="LIY2" s="1815"/>
      <c r="LIZ2" s="1815"/>
      <c r="LJA2" s="1815"/>
      <c r="LJB2" s="1815"/>
      <c r="LJC2" s="1815"/>
      <c r="LJD2" s="1815"/>
      <c r="LJE2" s="1815"/>
      <c r="LJF2" s="1815"/>
      <c r="LJG2" s="1815"/>
      <c r="LJH2" s="1815"/>
      <c r="LJI2" s="1815"/>
      <c r="LJJ2" s="1815"/>
      <c r="LJK2" s="1815"/>
      <c r="LJL2" s="1815"/>
      <c r="LJM2" s="1815"/>
      <c r="LJN2" s="1815"/>
      <c r="LJO2" s="1815"/>
      <c r="LJP2" s="1815"/>
      <c r="LJQ2" s="1815"/>
      <c r="LJR2" s="1815"/>
      <c r="LJS2" s="1815"/>
      <c r="LJT2" s="1815"/>
      <c r="LJU2" s="1815"/>
      <c r="LJV2" s="1815"/>
      <c r="LJW2" s="1815"/>
      <c r="LJX2" s="1815"/>
      <c r="LJY2" s="1815"/>
      <c r="LJZ2" s="1815"/>
      <c r="LKA2" s="1815"/>
      <c r="LKB2" s="1815"/>
      <c r="LKC2" s="1815"/>
      <c r="LKD2" s="1815"/>
      <c r="LKE2" s="1815"/>
      <c r="LKF2" s="1815"/>
      <c r="LKG2" s="1815"/>
      <c r="LKH2" s="1815"/>
      <c r="LKI2" s="1815"/>
      <c r="LKJ2" s="1815"/>
      <c r="LKK2" s="1815"/>
      <c r="LKL2" s="1815"/>
      <c r="LKM2" s="1815"/>
      <c r="LKN2" s="1815"/>
      <c r="LKO2" s="1815"/>
      <c r="LKP2" s="1815"/>
      <c r="LKQ2" s="1815"/>
      <c r="LKR2" s="1815"/>
      <c r="LKS2" s="1815"/>
      <c r="LKT2" s="1815"/>
      <c r="LKU2" s="1815"/>
      <c r="LKV2" s="1815"/>
      <c r="LKW2" s="1815"/>
      <c r="LKX2" s="1815"/>
      <c r="LKY2" s="1815"/>
      <c r="LKZ2" s="1815"/>
      <c r="LLA2" s="1815"/>
      <c r="LLB2" s="1815"/>
      <c r="LLC2" s="1815"/>
      <c r="LLD2" s="1815"/>
      <c r="LLE2" s="1815"/>
      <c r="LLF2" s="1815"/>
      <c r="LLG2" s="1815"/>
      <c r="LLH2" s="1815"/>
      <c r="LLI2" s="1815"/>
      <c r="LLJ2" s="1815"/>
      <c r="LLK2" s="1815"/>
      <c r="LLL2" s="1815"/>
      <c r="LLM2" s="1815"/>
      <c r="LLN2" s="1815"/>
      <c r="LLO2" s="1815"/>
      <c r="LLP2" s="1815"/>
      <c r="LLQ2" s="1815"/>
      <c r="LLR2" s="1815"/>
      <c r="LLS2" s="1815"/>
      <c r="LLT2" s="1815"/>
      <c r="LLU2" s="1815"/>
      <c r="LLV2" s="1815"/>
      <c r="LLW2" s="1815"/>
      <c r="LLX2" s="1815"/>
      <c r="LLY2" s="1815"/>
      <c r="LLZ2" s="1815"/>
      <c r="LMA2" s="1815"/>
      <c r="LMB2" s="1815"/>
      <c r="LMC2" s="1815"/>
      <c r="LMD2" s="1815"/>
      <c r="LME2" s="1815"/>
      <c r="LMF2" s="1815"/>
      <c r="LMG2" s="1815"/>
      <c r="LMH2" s="1815"/>
      <c r="LMI2" s="1815"/>
      <c r="LMJ2" s="1815"/>
      <c r="LMK2" s="1815"/>
      <c r="LML2" s="1815"/>
      <c r="LMM2" s="1815"/>
      <c r="LMN2" s="1815"/>
      <c r="LMO2" s="1815"/>
      <c r="LMP2" s="1815"/>
      <c r="LMQ2" s="1815"/>
      <c r="LMR2" s="1815"/>
      <c r="LMS2" s="1815"/>
      <c r="LMT2" s="1815"/>
      <c r="LMU2" s="1815"/>
      <c r="LMV2" s="1815"/>
      <c r="LMW2" s="1815"/>
      <c r="LMX2" s="1815"/>
      <c r="LMY2" s="1815"/>
      <c r="LMZ2" s="1815"/>
      <c r="LNA2" s="1815"/>
      <c r="LNB2" s="1815"/>
      <c r="LNC2" s="1815"/>
      <c r="LND2" s="1815"/>
      <c r="LNE2" s="1815"/>
      <c r="LNF2" s="1815"/>
      <c r="LNG2" s="1815"/>
      <c r="LNH2" s="1815"/>
      <c r="LNI2" s="1815"/>
      <c r="LNJ2" s="1815"/>
      <c r="LNK2" s="1815"/>
      <c r="LNL2" s="1815"/>
      <c r="LNM2" s="1815"/>
      <c r="LNN2" s="1815"/>
      <c r="LNO2" s="1815"/>
      <c r="LNP2" s="1815"/>
      <c r="LNQ2" s="1815"/>
      <c r="LNR2" s="1815"/>
      <c r="LNS2" s="1815"/>
      <c r="LNT2" s="1815"/>
      <c r="LNU2" s="1815"/>
      <c r="LNV2" s="1815"/>
      <c r="LNW2" s="1815"/>
      <c r="LNX2" s="1815"/>
      <c r="LNY2" s="1815"/>
      <c r="LNZ2" s="1815"/>
      <c r="LOA2" s="1815"/>
      <c r="LOB2" s="1815"/>
      <c r="LOC2" s="1815"/>
      <c r="LOD2" s="1815"/>
      <c r="LOE2" s="1815"/>
      <c r="LOF2" s="1815"/>
      <c r="LOG2" s="1815"/>
      <c r="LOH2" s="1815"/>
      <c r="LOI2" s="1815"/>
      <c r="LOJ2" s="1815"/>
      <c r="LOK2" s="1815"/>
      <c r="LOL2" s="1815"/>
      <c r="LOM2" s="1815"/>
      <c r="LON2" s="1815"/>
      <c r="LOO2" s="1815"/>
      <c r="LOP2" s="1815"/>
      <c r="LOQ2" s="1815"/>
      <c r="LOR2" s="1815"/>
      <c r="LOS2" s="1815"/>
      <c r="LOT2" s="1815"/>
      <c r="LOU2" s="1815"/>
      <c r="LOV2" s="1815"/>
      <c r="LOW2" s="1815"/>
      <c r="LOX2" s="1815"/>
      <c r="LOY2" s="1815"/>
      <c r="LOZ2" s="1815"/>
      <c r="LPA2" s="1815"/>
      <c r="LPB2" s="1815"/>
      <c r="LPC2" s="1815"/>
      <c r="LPD2" s="1815"/>
      <c r="LPE2" s="1815"/>
      <c r="LPF2" s="1815"/>
      <c r="LPG2" s="1815"/>
      <c r="LPH2" s="1815"/>
      <c r="LPI2" s="1815"/>
      <c r="LPJ2" s="1815"/>
      <c r="LPK2" s="1815"/>
      <c r="LPL2" s="1815"/>
      <c r="LPM2" s="1815"/>
      <c r="LPN2" s="1815"/>
      <c r="LPO2" s="1815"/>
      <c r="LPP2" s="1815"/>
      <c r="LPQ2" s="1815"/>
      <c r="LPR2" s="1815"/>
      <c r="LPS2" s="1815"/>
      <c r="LPT2" s="1815"/>
      <c r="LPU2" s="1815"/>
      <c r="LPV2" s="1815"/>
      <c r="LPW2" s="1815"/>
      <c r="LPX2" s="1815"/>
      <c r="LPY2" s="1815"/>
      <c r="LPZ2" s="1815"/>
      <c r="LQA2" s="1815"/>
      <c r="LQB2" s="1815"/>
      <c r="LQC2" s="1815"/>
      <c r="LQD2" s="1815"/>
      <c r="LQE2" s="1815"/>
      <c r="LQF2" s="1815"/>
      <c r="LQG2" s="1815"/>
      <c r="LQH2" s="1815"/>
      <c r="LQI2" s="1815"/>
      <c r="LQJ2" s="1815"/>
      <c r="LQK2" s="1815"/>
      <c r="LQL2" s="1815"/>
      <c r="LQM2" s="1815"/>
      <c r="LQN2" s="1815"/>
      <c r="LQO2" s="1815"/>
      <c r="LQP2" s="1815"/>
      <c r="LQQ2" s="1815"/>
      <c r="LQR2" s="1815"/>
      <c r="LQS2" s="1815"/>
      <c r="LQT2" s="1815"/>
      <c r="LQU2" s="1815"/>
      <c r="LQV2" s="1815"/>
      <c r="LQW2" s="1815"/>
      <c r="LQX2" s="1815"/>
      <c r="LQY2" s="1815"/>
      <c r="LQZ2" s="1815"/>
      <c r="LRA2" s="1815"/>
      <c r="LRB2" s="1815"/>
      <c r="LRC2" s="1815"/>
      <c r="LRD2" s="1815"/>
      <c r="LRE2" s="1815"/>
      <c r="LRF2" s="1815"/>
      <c r="LRG2" s="1815"/>
      <c r="LRH2" s="1815"/>
      <c r="LRI2" s="1815"/>
      <c r="LRJ2" s="1815"/>
      <c r="LRK2" s="1815"/>
      <c r="LRL2" s="1815"/>
      <c r="LRM2" s="1815"/>
      <c r="LRN2" s="1815"/>
      <c r="LRO2" s="1815"/>
      <c r="LRP2" s="1815"/>
      <c r="LRQ2" s="1815"/>
      <c r="LRR2" s="1815"/>
      <c r="LRS2" s="1815"/>
      <c r="LRT2" s="1815"/>
      <c r="LRU2" s="1815"/>
      <c r="LRV2" s="1815"/>
      <c r="LRW2" s="1815"/>
      <c r="LRX2" s="1815"/>
      <c r="LRY2" s="1815"/>
      <c r="LRZ2" s="1815"/>
      <c r="LSA2" s="1815"/>
      <c r="LSB2" s="1815"/>
      <c r="LSC2" s="1815"/>
      <c r="LSD2" s="1815"/>
      <c r="LSE2" s="1815"/>
      <c r="LSF2" s="1815"/>
      <c r="LSG2" s="1815"/>
      <c r="LSH2" s="1815"/>
      <c r="LSI2" s="1815"/>
      <c r="LSJ2" s="1815"/>
      <c r="LSK2" s="1815"/>
      <c r="LSL2" s="1815"/>
      <c r="LSM2" s="1815"/>
      <c r="LSN2" s="1815"/>
      <c r="LSO2" s="1815"/>
      <c r="LSP2" s="1815"/>
      <c r="LSQ2" s="1815"/>
      <c r="LSR2" s="1815"/>
      <c r="LSS2" s="1815"/>
      <c r="LST2" s="1815"/>
      <c r="LSU2" s="1815"/>
      <c r="LSV2" s="1815"/>
      <c r="LSW2" s="1815"/>
      <c r="LSX2" s="1815"/>
      <c r="LSY2" s="1815"/>
      <c r="LSZ2" s="1815"/>
      <c r="LTA2" s="1815"/>
      <c r="LTB2" s="1815"/>
      <c r="LTC2" s="1815"/>
      <c r="LTD2" s="1815"/>
      <c r="LTE2" s="1815"/>
      <c r="LTF2" s="1815"/>
      <c r="LTG2" s="1815"/>
      <c r="LTH2" s="1815"/>
      <c r="LTI2" s="1815"/>
      <c r="LTJ2" s="1815"/>
      <c r="LTK2" s="1815"/>
      <c r="LTL2" s="1815"/>
      <c r="LTM2" s="1815"/>
      <c r="LTN2" s="1815"/>
      <c r="LTO2" s="1815"/>
      <c r="LTP2" s="1815"/>
      <c r="LTQ2" s="1815"/>
      <c r="LTR2" s="1815"/>
      <c r="LTS2" s="1815"/>
      <c r="LTT2" s="1815"/>
      <c r="LTU2" s="1815"/>
      <c r="LTV2" s="1815"/>
      <c r="LTW2" s="1815"/>
      <c r="LTX2" s="1815"/>
      <c r="LTY2" s="1815"/>
      <c r="LTZ2" s="1815"/>
      <c r="LUA2" s="1815"/>
      <c r="LUB2" s="1815"/>
      <c r="LUC2" s="1815"/>
      <c r="LUD2" s="1815"/>
      <c r="LUE2" s="1815"/>
      <c r="LUF2" s="1815"/>
      <c r="LUG2" s="1815"/>
      <c r="LUH2" s="1815"/>
      <c r="LUI2" s="1815"/>
      <c r="LUJ2" s="1815"/>
      <c r="LUK2" s="1815"/>
      <c r="LUL2" s="1815"/>
      <c r="LUM2" s="1815"/>
      <c r="LUN2" s="1815"/>
      <c r="LUO2" s="1815"/>
      <c r="LUP2" s="1815"/>
      <c r="LUQ2" s="1815"/>
      <c r="LUR2" s="1815"/>
      <c r="LUS2" s="1815"/>
      <c r="LUT2" s="1815"/>
      <c r="LUU2" s="1815"/>
      <c r="LUV2" s="1815"/>
      <c r="LUW2" s="1815"/>
      <c r="LUX2" s="1815"/>
      <c r="LUY2" s="1815"/>
      <c r="LUZ2" s="1815"/>
      <c r="LVA2" s="1815"/>
      <c r="LVB2" s="1815"/>
      <c r="LVC2" s="1815"/>
      <c r="LVD2" s="1815"/>
      <c r="LVE2" s="1815"/>
      <c r="LVF2" s="1815"/>
      <c r="LVG2" s="1815"/>
      <c r="LVH2" s="1815"/>
      <c r="LVI2" s="1815"/>
      <c r="LVJ2" s="1815"/>
      <c r="LVK2" s="1815"/>
      <c r="LVL2" s="1815"/>
      <c r="LVM2" s="1815"/>
      <c r="LVN2" s="1815"/>
      <c r="LVO2" s="1815"/>
      <c r="LVP2" s="1815"/>
      <c r="LVQ2" s="1815"/>
      <c r="LVR2" s="1815"/>
      <c r="LVS2" s="1815"/>
      <c r="LVT2" s="1815"/>
      <c r="LVU2" s="1815"/>
      <c r="LVV2" s="1815"/>
      <c r="LVW2" s="1815"/>
      <c r="LVX2" s="1815"/>
      <c r="LVY2" s="1815"/>
      <c r="LVZ2" s="1815"/>
      <c r="LWA2" s="1815"/>
      <c r="LWB2" s="1815"/>
      <c r="LWC2" s="1815"/>
      <c r="LWD2" s="1815"/>
      <c r="LWE2" s="1815"/>
      <c r="LWF2" s="1815"/>
      <c r="LWG2" s="1815"/>
      <c r="LWH2" s="1815"/>
      <c r="LWI2" s="1815"/>
      <c r="LWJ2" s="1815"/>
      <c r="LWK2" s="1815"/>
      <c r="LWL2" s="1815"/>
      <c r="LWM2" s="1815"/>
      <c r="LWN2" s="1815"/>
      <c r="LWO2" s="1815"/>
      <c r="LWP2" s="1815"/>
      <c r="LWQ2" s="1815"/>
      <c r="LWR2" s="1815"/>
      <c r="LWS2" s="1815"/>
      <c r="LWT2" s="1815"/>
      <c r="LWU2" s="1815"/>
      <c r="LWV2" s="1815"/>
      <c r="LWW2" s="1815"/>
      <c r="LWX2" s="1815"/>
      <c r="LWY2" s="1815"/>
      <c r="LWZ2" s="1815"/>
      <c r="LXA2" s="1815"/>
      <c r="LXB2" s="1815"/>
      <c r="LXC2" s="1815"/>
      <c r="LXD2" s="1815"/>
      <c r="LXE2" s="1815"/>
      <c r="LXF2" s="1815"/>
      <c r="LXG2" s="1815"/>
      <c r="LXH2" s="1815"/>
      <c r="LXI2" s="1815"/>
      <c r="LXJ2" s="1815"/>
      <c r="LXK2" s="1815"/>
      <c r="LXL2" s="1815"/>
      <c r="LXM2" s="1815"/>
      <c r="LXN2" s="1815"/>
      <c r="LXO2" s="1815"/>
      <c r="LXP2" s="1815"/>
      <c r="LXQ2" s="1815"/>
      <c r="LXR2" s="1815"/>
      <c r="LXS2" s="1815"/>
      <c r="LXT2" s="1815"/>
      <c r="LXU2" s="1815"/>
      <c r="LXV2" s="1815"/>
      <c r="LXW2" s="1815"/>
      <c r="LXX2" s="1815"/>
      <c r="LXY2" s="1815"/>
      <c r="LXZ2" s="1815"/>
      <c r="LYA2" s="1815"/>
      <c r="LYB2" s="1815"/>
      <c r="LYC2" s="1815"/>
      <c r="LYD2" s="1815"/>
      <c r="LYE2" s="1815"/>
      <c r="LYF2" s="1815"/>
      <c r="LYG2" s="1815"/>
      <c r="LYH2" s="1815"/>
      <c r="LYI2" s="1815"/>
      <c r="LYJ2" s="1815"/>
      <c r="LYK2" s="1815"/>
      <c r="LYL2" s="1815"/>
      <c r="LYM2" s="1815"/>
      <c r="LYN2" s="1815"/>
      <c r="LYO2" s="1815"/>
      <c r="LYP2" s="1815"/>
      <c r="LYQ2" s="1815"/>
      <c r="LYR2" s="1815"/>
      <c r="LYS2" s="1815"/>
      <c r="LYT2" s="1815"/>
      <c r="LYU2" s="1815"/>
      <c r="LYV2" s="1815"/>
      <c r="LYW2" s="1815"/>
      <c r="LYX2" s="1815"/>
      <c r="LYY2" s="1815"/>
      <c r="LYZ2" s="1815"/>
      <c r="LZA2" s="1815"/>
      <c r="LZB2" s="1815"/>
      <c r="LZC2" s="1815"/>
      <c r="LZD2" s="1815"/>
      <c r="LZE2" s="1815"/>
      <c r="LZF2" s="1815"/>
      <c r="LZG2" s="1815"/>
      <c r="LZH2" s="1815"/>
      <c r="LZI2" s="1815"/>
      <c r="LZJ2" s="1815"/>
      <c r="LZK2" s="1815"/>
      <c r="LZL2" s="1815"/>
      <c r="LZM2" s="1815"/>
      <c r="LZN2" s="1815"/>
      <c r="LZO2" s="1815"/>
      <c r="LZP2" s="1815"/>
      <c r="LZQ2" s="1815"/>
      <c r="LZR2" s="1815"/>
      <c r="LZS2" s="1815"/>
      <c r="LZT2" s="1815"/>
      <c r="LZU2" s="1815"/>
      <c r="LZV2" s="1815"/>
      <c r="LZW2" s="1815"/>
      <c r="LZX2" s="1815"/>
      <c r="LZY2" s="1815"/>
      <c r="LZZ2" s="1815"/>
      <c r="MAA2" s="1815"/>
      <c r="MAB2" s="1815"/>
      <c r="MAC2" s="1815"/>
      <c r="MAD2" s="1815"/>
      <c r="MAE2" s="1815"/>
      <c r="MAF2" s="1815"/>
      <c r="MAG2" s="1815"/>
      <c r="MAH2" s="1815"/>
      <c r="MAI2" s="1815"/>
      <c r="MAJ2" s="1815"/>
      <c r="MAK2" s="1815"/>
      <c r="MAL2" s="1815"/>
      <c r="MAM2" s="1815"/>
      <c r="MAN2" s="1815"/>
      <c r="MAO2" s="1815"/>
      <c r="MAP2" s="1815"/>
      <c r="MAQ2" s="1815"/>
      <c r="MAR2" s="1815"/>
      <c r="MAS2" s="1815"/>
      <c r="MAT2" s="1815"/>
      <c r="MAU2" s="1815"/>
      <c r="MAV2" s="1815"/>
      <c r="MAW2" s="1815"/>
      <c r="MAX2" s="1815"/>
      <c r="MAY2" s="1815"/>
      <c r="MAZ2" s="1815"/>
      <c r="MBA2" s="1815"/>
      <c r="MBB2" s="1815"/>
      <c r="MBC2" s="1815"/>
      <c r="MBD2" s="1815"/>
      <c r="MBE2" s="1815"/>
      <c r="MBF2" s="1815"/>
      <c r="MBG2" s="1815"/>
      <c r="MBH2" s="1815"/>
      <c r="MBI2" s="1815"/>
      <c r="MBJ2" s="1815"/>
      <c r="MBK2" s="1815"/>
      <c r="MBL2" s="1815"/>
      <c r="MBM2" s="1815"/>
      <c r="MBN2" s="1815"/>
      <c r="MBO2" s="1815"/>
      <c r="MBP2" s="1815"/>
      <c r="MBQ2" s="1815"/>
      <c r="MBR2" s="1815"/>
      <c r="MBS2" s="1815"/>
      <c r="MBT2" s="1815"/>
      <c r="MBU2" s="1815"/>
      <c r="MBV2" s="1815"/>
      <c r="MBW2" s="1815"/>
      <c r="MBX2" s="1815"/>
      <c r="MBY2" s="1815"/>
      <c r="MBZ2" s="1815"/>
      <c r="MCA2" s="1815"/>
      <c r="MCB2" s="1815"/>
      <c r="MCC2" s="1815"/>
      <c r="MCD2" s="1815"/>
      <c r="MCE2" s="1815"/>
      <c r="MCF2" s="1815"/>
      <c r="MCG2" s="1815"/>
      <c r="MCH2" s="1815"/>
      <c r="MCI2" s="1815"/>
      <c r="MCJ2" s="1815"/>
      <c r="MCK2" s="1815"/>
      <c r="MCL2" s="1815"/>
      <c r="MCM2" s="1815"/>
      <c r="MCN2" s="1815"/>
      <c r="MCO2" s="1815"/>
      <c r="MCP2" s="1815"/>
      <c r="MCQ2" s="1815"/>
      <c r="MCR2" s="1815"/>
      <c r="MCS2" s="1815"/>
      <c r="MCT2" s="1815"/>
      <c r="MCU2" s="1815"/>
      <c r="MCV2" s="1815"/>
      <c r="MCW2" s="1815"/>
      <c r="MCX2" s="1815"/>
      <c r="MCY2" s="1815"/>
      <c r="MCZ2" s="1815"/>
      <c r="MDA2" s="1815"/>
      <c r="MDB2" s="1815"/>
      <c r="MDC2" s="1815"/>
      <c r="MDD2" s="1815"/>
      <c r="MDE2" s="1815"/>
      <c r="MDF2" s="1815"/>
      <c r="MDG2" s="1815"/>
      <c r="MDH2" s="1815"/>
      <c r="MDI2" s="1815"/>
      <c r="MDJ2" s="1815"/>
      <c r="MDK2" s="1815"/>
      <c r="MDL2" s="1815"/>
      <c r="MDM2" s="1815"/>
      <c r="MDN2" s="1815"/>
      <c r="MDO2" s="1815"/>
      <c r="MDP2" s="1815"/>
      <c r="MDQ2" s="1815"/>
      <c r="MDR2" s="1815"/>
      <c r="MDS2" s="1815"/>
      <c r="MDT2" s="1815"/>
      <c r="MDU2" s="1815"/>
      <c r="MDV2" s="1815"/>
      <c r="MDW2" s="1815"/>
      <c r="MDX2" s="1815"/>
      <c r="MDY2" s="1815"/>
      <c r="MDZ2" s="1815"/>
      <c r="MEA2" s="1815"/>
      <c r="MEB2" s="1815"/>
      <c r="MEC2" s="1815"/>
      <c r="MED2" s="1815"/>
      <c r="MEE2" s="1815"/>
      <c r="MEF2" s="1815"/>
      <c r="MEG2" s="1815"/>
      <c r="MEH2" s="1815"/>
      <c r="MEI2" s="1815"/>
      <c r="MEJ2" s="1815"/>
      <c r="MEK2" s="1815"/>
      <c r="MEL2" s="1815"/>
      <c r="MEM2" s="1815"/>
      <c r="MEN2" s="1815"/>
      <c r="MEO2" s="1815"/>
      <c r="MEP2" s="1815"/>
      <c r="MEQ2" s="1815"/>
      <c r="MER2" s="1815"/>
      <c r="MES2" s="1815"/>
      <c r="MET2" s="1815"/>
      <c r="MEU2" s="1815"/>
      <c r="MEV2" s="1815"/>
      <c r="MEW2" s="1815"/>
      <c r="MEX2" s="1815"/>
      <c r="MEY2" s="1815"/>
      <c r="MEZ2" s="1815"/>
      <c r="MFA2" s="1815"/>
      <c r="MFB2" s="1815"/>
      <c r="MFC2" s="1815"/>
      <c r="MFD2" s="1815"/>
      <c r="MFE2" s="1815"/>
      <c r="MFF2" s="1815"/>
      <c r="MFG2" s="1815"/>
      <c r="MFH2" s="1815"/>
      <c r="MFI2" s="1815"/>
      <c r="MFJ2" s="1815"/>
      <c r="MFK2" s="1815"/>
      <c r="MFL2" s="1815"/>
      <c r="MFM2" s="1815"/>
      <c r="MFN2" s="1815"/>
      <c r="MFO2" s="1815"/>
      <c r="MFP2" s="1815"/>
      <c r="MFQ2" s="1815"/>
      <c r="MFR2" s="1815"/>
      <c r="MFS2" s="1815"/>
      <c r="MFT2" s="1815"/>
      <c r="MFU2" s="1815"/>
      <c r="MFV2" s="1815"/>
      <c r="MFW2" s="1815"/>
      <c r="MFX2" s="1815"/>
      <c r="MFY2" s="1815"/>
      <c r="MFZ2" s="1815"/>
      <c r="MGA2" s="1815"/>
      <c r="MGB2" s="1815"/>
      <c r="MGC2" s="1815"/>
      <c r="MGD2" s="1815"/>
      <c r="MGE2" s="1815"/>
      <c r="MGF2" s="1815"/>
      <c r="MGG2" s="1815"/>
      <c r="MGH2" s="1815"/>
      <c r="MGI2" s="1815"/>
      <c r="MGJ2" s="1815"/>
      <c r="MGK2" s="1815"/>
      <c r="MGL2" s="1815"/>
      <c r="MGM2" s="1815"/>
      <c r="MGN2" s="1815"/>
      <c r="MGO2" s="1815"/>
      <c r="MGP2" s="1815"/>
      <c r="MGQ2" s="1815"/>
      <c r="MGR2" s="1815"/>
      <c r="MGS2" s="1815"/>
      <c r="MGT2" s="1815"/>
      <c r="MGU2" s="1815"/>
      <c r="MGV2" s="1815"/>
      <c r="MGW2" s="1815"/>
      <c r="MGX2" s="1815"/>
      <c r="MGY2" s="1815"/>
      <c r="MGZ2" s="1815"/>
      <c r="MHA2" s="1815"/>
      <c r="MHB2" s="1815"/>
      <c r="MHC2" s="1815"/>
      <c r="MHD2" s="1815"/>
      <c r="MHE2" s="1815"/>
      <c r="MHF2" s="1815"/>
      <c r="MHG2" s="1815"/>
      <c r="MHH2" s="1815"/>
      <c r="MHI2" s="1815"/>
      <c r="MHJ2" s="1815"/>
      <c r="MHK2" s="1815"/>
      <c r="MHL2" s="1815"/>
      <c r="MHM2" s="1815"/>
      <c r="MHN2" s="1815"/>
      <c r="MHO2" s="1815"/>
      <c r="MHP2" s="1815"/>
      <c r="MHQ2" s="1815"/>
      <c r="MHR2" s="1815"/>
      <c r="MHS2" s="1815"/>
      <c r="MHT2" s="1815"/>
      <c r="MHU2" s="1815"/>
      <c r="MHV2" s="1815"/>
      <c r="MHW2" s="1815"/>
      <c r="MHX2" s="1815"/>
      <c r="MHY2" s="1815"/>
      <c r="MHZ2" s="1815"/>
      <c r="MIA2" s="1815"/>
      <c r="MIB2" s="1815"/>
      <c r="MIC2" s="1815"/>
      <c r="MID2" s="1815"/>
      <c r="MIE2" s="1815"/>
      <c r="MIF2" s="1815"/>
      <c r="MIG2" s="1815"/>
      <c r="MIH2" s="1815"/>
      <c r="MII2" s="1815"/>
      <c r="MIJ2" s="1815"/>
      <c r="MIK2" s="1815"/>
      <c r="MIL2" s="1815"/>
      <c r="MIM2" s="1815"/>
      <c r="MIN2" s="1815"/>
      <c r="MIO2" s="1815"/>
      <c r="MIP2" s="1815"/>
      <c r="MIQ2" s="1815"/>
      <c r="MIR2" s="1815"/>
      <c r="MIS2" s="1815"/>
      <c r="MIT2" s="1815"/>
      <c r="MIU2" s="1815"/>
      <c r="MIV2" s="1815"/>
      <c r="MIW2" s="1815"/>
      <c r="MIX2" s="1815"/>
      <c r="MIY2" s="1815"/>
      <c r="MIZ2" s="1815"/>
      <c r="MJA2" s="1815"/>
      <c r="MJB2" s="1815"/>
      <c r="MJC2" s="1815"/>
      <c r="MJD2" s="1815"/>
      <c r="MJE2" s="1815"/>
      <c r="MJF2" s="1815"/>
      <c r="MJG2" s="1815"/>
      <c r="MJH2" s="1815"/>
      <c r="MJI2" s="1815"/>
      <c r="MJJ2" s="1815"/>
      <c r="MJK2" s="1815"/>
      <c r="MJL2" s="1815"/>
      <c r="MJM2" s="1815"/>
      <c r="MJN2" s="1815"/>
      <c r="MJO2" s="1815"/>
      <c r="MJP2" s="1815"/>
      <c r="MJQ2" s="1815"/>
      <c r="MJR2" s="1815"/>
      <c r="MJS2" s="1815"/>
      <c r="MJT2" s="1815"/>
      <c r="MJU2" s="1815"/>
      <c r="MJV2" s="1815"/>
      <c r="MJW2" s="1815"/>
      <c r="MJX2" s="1815"/>
      <c r="MJY2" s="1815"/>
      <c r="MJZ2" s="1815"/>
      <c r="MKA2" s="1815"/>
      <c r="MKB2" s="1815"/>
      <c r="MKC2" s="1815"/>
      <c r="MKD2" s="1815"/>
      <c r="MKE2" s="1815"/>
      <c r="MKF2" s="1815"/>
      <c r="MKG2" s="1815"/>
      <c r="MKH2" s="1815"/>
      <c r="MKI2" s="1815"/>
      <c r="MKJ2" s="1815"/>
      <c r="MKK2" s="1815"/>
      <c r="MKL2" s="1815"/>
      <c r="MKM2" s="1815"/>
      <c r="MKN2" s="1815"/>
      <c r="MKO2" s="1815"/>
      <c r="MKP2" s="1815"/>
      <c r="MKQ2" s="1815"/>
      <c r="MKR2" s="1815"/>
      <c r="MKS2" s="1815"/>
      <c r="MKT2" s="1815"/>
      <c r="MKU2" s="1815"/>
      <c r="MKV2" s="1815"/>
      <c r="MKW2" s="1815"/>
      <c r="MKX2" s="1815"/>
      <c r="MKY2" s="1815"/>
      <c r="MKZ2" s="1815"/>
      <c r="MLA2" s="1815"/>
      <c r="MLB2" s="1815"/>
      <c r="MLC2" s="1815"/>
      <c r="MLD2" s="1815"/>
      <c r="MLE2" s="1815"/>
      <c r="MLF2" s="1815"/>
      <c r="MLG2" s="1815"/>
      <c r="MLH2" s="1815"/>
      <c r="MLI2" s="1815"/>
      <c r="MLJ2" s="1815"/>
      <c r="MLK2" s="1815"/>
      <c r="MLL2" s="1815"/>
      <c r="MLM2" s="1815"/>
      <c r="MLN2" s="1815"/>
      <c r="MLO2" s="1815"/>
      <c r="MLP2" s="1815"/>
      <c r="MLQ2" s="1815"/>
      <c r="MLR2" s="1815"/>
      <c r="MLS2" s="1815"/>
      <c r="MLT2" s="1815"/>
      <c r="MLU2" s="1815"/>
      <c r="MLV2" s="1815"/>
      <c r="MLW2" s="1815"/>
      <c r="MLX2" s="1815"/>
      <c r="MLY2" s="1815"/>
      <c r="MLZ2" s="1815"/>
      <c r="MMA2" s="1815"/>
      <c r="MMB2" s="1815"/>
      <c r="MMC2" s="1815"/>
      <c r="MMD2" s="1815"/>
      <c r="MME2" s="1815"/>
      <c r="MMF2" s="1815"/>
      <c r="MMG2" s="1815"/>
      <c r="MMH2" s="1815"/>
      <c r="MMI2" s="1815"/>
      <c r="MMJ2" s="1815"/>
      <c r="MMK2" s="1815"/>
      <c r="MML2" s="1815"/>
      <c r="MMM2" s="1815"/>
      <c r="MMN2" s="1815"/>
      <c r="MMO2" s="1815"/>
      <c r="MMP2" s="1815"/>
      <c r="MMQ2" s="1815"/>
      <c r="MMR2" s="1815"/>
      <c r="MMS2" s="1815"/>
      <c r="MMT2" s="1815"/>
      <c r="MMU2" s="1815"/>
      <c r="MMV2" s="1815"/>
      <c r="MMW2" s="1815"/>
      <c r="MMX2" s="1815"/>
      <c r="MMY2" s="1815"/>
      <c r="MMZ2" s="1815"/>
      <c r="MNA2" s="1815"/>
      <c r="MNB2" s="1815"/>
      <c r="MNC2" s="1815"/>
      <c r="MND2" s="1815"/>
      <c r="MNE2" s="1815"/>
      <c r="MNF2" s="1815"/>
      <c r="MNG2" s="1815"/>
      <c r="MNH2" s="1815"/>
      <c r="MNI2" s="1815"/>
      <c r="MNJ2" s="1815"/>
      <c r="MNK2" s="1815"/>
      <c r="MNL2" s="1815"/>
      <c r="MNM2" s="1815"/>
      <c r="MNN2" s="1815"/>
      <c r="MNO2" s="1815"/>
      <c r="MNP2" s="1815"/>
      <c r="MNQ2" s="1815"/>
      <c r="MNR2" s="1815"/>
      <c r="MNS2" s="1815"/>
      <c r="MNT2" s="1815"/>
      <c r="MNU2" s="1815"/>
      <c r="MNV2" s="1815"/>
      <c r="MNW2" s="1815"/>
      <c r="MNX2" s="1815"/>
      <c r="MNY2" s="1815"/>
      <c r="MNZ2" s="1815"/>
      <c r="MOA2" s="1815"/>
      <c r="MOB2" s="1815"/>
      <c r="MOC2" s="1815"/>
      <c r="MOD2" s="1815"/>
      <c r="MOE2" s="1815"/>
      <c r="MOF2" s="1815"/>
      <c r="MOG2" s="1815"/>
      <c r="MOH2" s="1815"/>
      <c r="MOI2" s="1815"/>
      <c r="MOJ2" s="1815"/>
      <c r="MOK2" s="1815"/>
      <c r="MOL2" s="1815"/>
      <c r="MOM2" s="1815"/>
      <c r="MON2" s="1815"/>
      <c r="MOO2" s="1815"/>
      <c r="MOP2" s="1815"/>
      <c r="MOQ2" s="1815"/>
      <c r="MOR2" s="1815"/>
      <c r="MOS2" s="1815"/>
      <c r="MOT2" s="1815"/>
      <c r="MOU2" s="1815"/>
      <c r="MOV2" s="1815"/>
      <c r="MOW2" s="1815"/>
      <c r="MOX2" s="1815"/>
      <c r="MOY2" s="1815"/>
      <c r="MOZ2" s="1815"/>
      <c r="MPA2" s="1815"/>
      <c r="MPB2" s="1815"/>
      <c r="MPC2" s="1815"/>
      <c r="MPD2" s="1815"/>
      <c r="MPE2" s="1815"/>
      <c r="MPF2" s="1815"/>
      <c r="MPG2" s="1815"/>
      <c r="MPH2" s="1815"/>
      <c r="MPI2" s="1815"/>
      <c r="MPJ2" s="1815"/>
      <c r="MPK2" s="1815"/>
      <c r="MPL2" s="1815"/>
      <c r="MPM2" s="1815"/>
      <c r="MPN2" s="1815"/>
      <c r="MPO2" s="1815"/>
      <c r="MPP2" s="1815"/>
      <c r="MPQ2" s="1815"/>
      <c r="MPR2" s="1815"/>
      <c r="MPS2" s="1815"/>
      <c r="MPT2" s="1815"/>
      <c r="MPU2" s="1815"/>
      <c r="MPV2" s="1815"/>
      <c r="MPW2" s="1815"/>
      <c r="MPX2" s="1815"/>
      <c r="MPY2" s="1815"/>
      <c r="MPZ2" s="1815"/>
      <c r="MQA2" s="1815"/>
      <c r="MQB2" s="1815"/>
      <c r="MQC2" s="1815"/>
      <c r="MQD2" s="1815"/>
      <c r="MQE2" s="1815"/>
      <c r="MQF2" s="1815"/>
      <c r="MQG2" s="1815"/>
      <c r="MQH2" s="1815"/>
      <c r="MQI2" s="1815"/>
      <c r="MQJ2" s="1815"/>
      <c r="MQK2" s="1815"/>
      <c r="MQL2" s="1815"/>
      <c r="MQM2" s="1815"/>
      <c r="MQN2" s="1815"/>
      <c r="MQO2" s="1815"/>
      <c r="MQP2" s="1815"/>
      <c r="MQQ2" s="1815"/>
      <c r="MQR2" s="1815"/>
      <c r="MQS2" s="1815"/>
      <c r="MQT2" s="1815"/>
      <c r="MQU2" s="1815"/>
      <c r="MQV2" s="1815"/>
      <c r="MQW2" s="1815"/>
      <c r="MQX2" s="1815"/>
      <c r="MQY2" s="1815"/>
      <c r="MQZ2" s="1815"/>
      <c r="MRA2" s="1815"/>
      <c r="MRB2" s="1815"/>
      <c r="MRC2" s="1815"/>
      <c r="MRD2" s="1815"/>
      <c r="MRE2" s="1815"/>
      <c r="MRF2" s="1815"/>
      <c r="MRG2" s="1815"/>
      <c r="MRH2" s="1815"/>
      <c r="MRI2" s="1815"/>
      <c r="MRJ2" s="1815"/>
      <c r="MRK2" s="1815"/>
      <c r="MRL2" s="1815"/>
      <c r="MRM2" s="1815"/>
      <c r="MRN2" s="1815"/>
      <c r="MRO2" s="1815"/>
      <c r="MRP2" s="1815"/>
      <c r="MRQ2" s="1815"/>
      <c r="MRR2" s="1815"/>
      <c r="MRS2" s="1815"/>
      <c r="MRT2" s="1815"/>
      <c r="MRU2" s="1815"/>
      <c r="MRV2" s="1815"/>
      <c r="MRW2" s="1815"/>
      <c r="MRX2" s="1815"/>
      <c r="MRY2" s="1815"/>
      <c r="MRZ2" s="1815"/>
      <c r="MSA2" s="1815"/>
      <c r="MSB2" s="1815"/>
      <c r="MSC2" s="1815"/>
      <c r="MSD2" s="1815"/>
      <c r="MSE2" s="1815"/>
      <c r="MSF2" s="1815"/>
      <c r="MSG2" s="1815"/>
      <c r="MSH2" s="1815"/>
      <c r="MSI2" s="1815"/>
      <c r="MSJ2" s="1815"/>
      <c r="MSK2" s="1815"/>
      <c r="MSL2" s="1815"/>
      <c r="MSM2" s="1815"/>
      <c r="MSN2" s="1815"/>
      <c r="MSO2" s="1815"/>
      <c r="MSP2" s="1815"/>
      <c r="MSQ2" s="1815"/>
      <c r="MSR2" s="1815"/>
      <c r="MSS2" s="1815"/>
      <c r="MST2" s="1815"/>
      <c r="MSU2" s="1815"/>
      <c r="MSV2" s="1815"/>
      <c r="MSW2" s="1815"/>
      <c r="MSX2" s="1815"/>
      <c r="MSY2" s="1815"/>
      <c r="MSZ2" s="1815"/>
      <c r="MTA2" s="1815"/>
      <c r="MTB2" s="1815"/>
      <c r="MTC2" s="1815"/>
      <c r="MTD2" s="1815"/>
      <c r="MTE2" s="1815"/>
      <c r="MTF2" s="1815"/>
      <c r="MTG2" s="1815"/>
      <c r="MTH2" s="1815"/>
      <c r="MTI2" s="1815"/>
      <c r="MTJ2" s="1815"/>
      <c r="MTK2" s="1815"/>
      <c r="MTL2" s="1815"/>
      <c r="MTM2" s="1815"/>
      <c r="MTN2" s="1815"/>
      <c r="MTO2" s="1815"/>
      <c r="MTP2" s="1815"/>
      <c r="MTQ2" s="1815"/>
      <c r="MTR2" s="1815"/>
      <c r="MTS2" s="1815"/>
      <c r="MTT2" s="1815"/>
      <c r="MTU2" s="1815"/>
      <c r="MTV2" s="1815"/>
      <c r="MTW2" s="1815"/>
      <c r="MTX2" s="1815"/>
      <c r="MTY2" s="1815"/>
      <c r="MTZ2" s="1815"/>
      <c r="MUA2" s="1815"/>
      <c r="MUB2" s="1815"/>
      <c r="MUC2" s="1815"/>
      <c r="MUD2" s="1815"/>
      <c r="MUE2" s="1815"/>
      <c r="MUF2" s="1815"/>
      <c r="MUG2" s="1815"/>
      <c r="MUH2" s="1815"/>
      <c r="MUI2" s="1815"/>
      <c r="MUJ2" s="1815"/>
      <c r="MUK2" s="1815"/>
      <c r="MUL2" s="1815"/>
      <c r="MUM2" s="1815"/>
      <c r="MUN2" s="1815"/>
      <c r="MUO2" s="1815"/>
      <c r="MUP2" s="1815"/>
      <c r="MUQ2" s="1815"/>
      <c r="MUR2" s="1815"/>
      <c r="MUS2" s="1815"/>
      <c r="MUT2" s="1815"/>
      <c r="MUU2" s="1815"/>
      <c r="MUV2" s="1815"/>
      <c r="MUW2" s="1815"/>
      <c r="MUX2" s="1815"/>
      <c r="MUY2" s="1815"/>
      <c r="MUZ2" s="1815"/>
      <c r="MVA2" s="1815"/>
      <c r="MVB2" s="1815"/>
      <c r="MVC2" s="1815"/>
      <c r="MVD2" s="1815"/>
      <c r="MVE2" s="1815"/>
      <c r="MVF2" s="1815"/>
      <c r="MVG2" s="1815"/>
      <c r="MVH2" s="1815"/>
      <c r="MVI2" s="1815"/>
      <c r="MVJ2" s="1815"/>
      <c r="MVK2" s="1815"/>
      <c r="MVL2" s="1815"/>
      <c r="MVM2" s="1815"/>
      <c r="MVN2" s="1815"/>
      <c r="MVO2" s="1815"/>
      <c r="MVP2" s="1815"/>
      <c r="MVQ2" s="1815"/>
      <c r="MVR2" s="1815"/>
      <c r="MVS2" s="1815"/>
      <c r="MVT2" s="1815"/>
      <c r="MVU2" s="1815"/>
      <c r="MVV2" s="1815"/>
      <c r="MVW2" s="1815"/>
      <c r="MVX2" s="1815"/>
      <c r="MVY2" s="1815"/>
      <c r="MVZ2" s="1815"/>
      <c r="MWA2" s="1815"/>
      <c r="MWB2" s="1815"/>
      <c r="MWC2" s="1815"/>
      <c r="MWD2" s="1815"/>
      <c r="MWE2" s="1815"/>
      <c r="MWF2" s="1815"/>
      <c r="MWG2" s="1815"/>
      <c r="MWH2" s="1815"/>
      <c r="MWI2" s="1815"/>
      <c r="MWJ2" s="1815"/>
      <c r="MWK2" s="1815"/>
      <c r="MWL2" s="1815"/>
      <c r="MWM2" s="1815"/>
      <c r="MWN2" s="1815"/>
      <c r="MWO2" s="1815"/>
      <c r="MWP2" s="1815"/>
      <c r="MWQ2" s="1815"/>
      <c r="MWR2" s="1815"/>
      <c r="MWS2" s="1815"/>
      <c r="MWT2" s="1815"/>
      <c r="MWU2" s="1815"/>
      <c r="MWV2" s="1815"/>
      <c r="MWW2" s="1815"/>
      <c r="MWX2" s="1815"/>
      <c r="MWY2" s="1815"/>
      <c r="MWZ2" s="1815"/>
      <c r="MXA2" s="1815"/>
      <c r="MXB2" s="1815"/>
      <c r="MXC2" s="1815"/>
      <c r="MXD2" s="1815"/>
      <c r="MXE2" s="1815"/>
      <c r="MXF2" s="1815"/>
      <c r="MXG2" s="1815"/>
      <c r="MXH2" s="1815"/>
      <c r="MXI2" s="1815"/>
      <c r="MXJ2" s="1815"/>
      <c r="MXK2" s="1815"/>
      <c r="MXL2" s="1815"/>
      <c r="MXM2" s="1815"/>
      <c r="MXN2" s="1815"/>
      <c r="MXO2" s="1815"/>
      <c r="MXP2" s="1815"/>
      <c r="MXQ2" s="1815"/>
      <c r="MXR2" s="1815"/>
      <c r="MXS2" s="1815"/>
      <c r="MXT2" s="1815"/>
      <c r="MXU2" s="1815"/>
      <c r="MXV2" s="1815"/>
      <c r="MXW2" s="1815"/>
      <c r="MXX2" s="1815"/>
      <c r="MXY2" s="1815"/>
      <c r="MXZ2" s="1815"/>
      <c r="MYA2" s="1815"/>
      <c r="MYB2" s="1815"/>
      <c r="MYC2" s="1815"/>
      <c r="MYD2" s="1815"/>
      <c r="MYE2" s="1815"/>
      <c r="MYF2" s="1815"/>
      <c r="MYG2" s="1815"/>
      <c r="MYH2" s="1815"/>
      <c r="MYI2" s="1815"/>
      <c r="MYJ2" s="1815"/>
      <c r="MYK2" s="1815"/>
      <c r="MYL2" s="1815"/>
      <c r="MYM2" s="1815"/>
      <c r="MYN2" s="1815"/>
      <c r="MYO2" s="1815"/>
      <c r="MYP2" s="1815"/>
      <c r="MYQ2" s="1815"/>
      <c r="MYR2" s="1815"/>
      <c r="MYS2" s="1815"/>
      <c r="MYT2" s="1815"/>
      <c r="MYU2" s="1815"/>
      <c r="MYV2" s="1815"/>
      <c r="MYW2" s="1815"/>
      <c r="MYX2" s="1815"/>
      <c r="MYY2" s="1815"/>
      <c r="MYZ2" s="1815"/>
      <c r="MZA2" s="1815"/>
      <c r="MZB2" s="1815"/>
      <c r="MZC2" s="1815"/>
      <c r="MZD2" s="1815"/>
      <c r="MZE2" s="1815"/>
      <c r="MZF2" s="1815"/>
      <c r="MZG2" s="1815"/>
      <c r="MZH2" s="1815"/>
      <c r="MZI2" s="1815"/>
      <c r="MZJ2" s="1815"/>
      <c r="MZK2" s="1815"/>
      <c r="MZL2" s="1815"/>
      <c r="MZM2" s="1815"/>
      <c r="MZN2" s="1815"/>
      <c r="MZO2" s="1815"/>
      <c r="MZP2" s="1815"/>
      <c r="MZQ2" s="1815"/>
      <c r="MZR2" s="1815"/>
      <c r="MZS2" s="1815"/>
      <c r="MZT2" s="1815"/>
      <c r="MZU2" s="1815"/>
      <c r="MZV2" s="1815"/>
      <c r="MZW2" s="1815"/>
      <c r="MZX2" s="1815"/>
      <c r="MZY2" s="1815"/>
      <c r="MZZ2" s="1815"/>
      <c r="NAA2" s="1815"/>
      <c r="NAB2" s="1815"/>
      <c r="NAC2" s="1815"/>
      <c r="NAD2" s="1815"/>
      <c r="NAE2" s="1815"/>
      <c r="NAF2" s="1815"/>
      <c r="NAG2" s="1815"/>
      <c r="NAH2" s="1815"/>
      <c r="NAI2" s="1815"/>
      <c r="NAJ2" s="1815"/>
      <c r="NAK2" s="1815"/>
      <c r="NAL2" s="1815"/>
      <c r="NAM2" s="1815"/>
      <c r="NAN2" s="1815"/>
      <c r="NAO2" s="1815"/>
      <c r="NAP2" s="1815"/>
      <c r="NAQ2" s="1815"/>
      <c r="NAR2" s="1815"/>
      <c r="NAS2" s="1815"/>
      <c r="NAT2" s="1815"/>
      <c r="NAU2" s="1815"/>
      <c r="NAV2" s="1815"/>
      <c r="NAW2" s="1815"/>
      <c r="NAX2" s="1815"/>
      <c r="NAY2" s="1815"/>
      <c r="NAZ2" s="1815"/>
      <c r="NBA2" s="1815"/>
      <c r="NBB2" s="1815"/>
      <c r="NBC2" s="1815"/>
      <c r="NBD2" s="1815"/>
      <c r="NBE2" s="1815"/>
      <c r="NBF2" s="1815"/>
      <c r="NBG2" s="1815"/>
      <c r="NBH2" s="1815"/>
      <c r="NBI2" s="1815"/>
      <c r="NBJ2" s="1815"/>
      <c r="NBK2" s="1815"/>
      <c r="NBL2" s="1815"/>
      <c r="NBM2" s="1815"/>
      <c r="NBN2" s="1815"/>
      <c r="NBO2" s="1815"/>
      <c r="NBP2" s="1815"/>
      <c r="NBQ2" s="1815"/>
      <c r="NBR2" s="1815"/>
      <c r="NBS2" s="1815"/>
      <c r="NBT2" s="1815"/>
      <c r="NBU2" s="1815"/>
      <c r="NBV2" s="1815"/>
      <c r="NBW2" s="1815"/>
      <c r="NBX2" s="1815"/>
      <c r="NBY2" s="1815"/>
      <c r="NBZ2" s="1815"/>
      <c r="NCA2" s="1815"/>
      <c r="NCB2" s="1815"/>
      <c r="NCC2" s="1815"/>
      <c r="NCD2" s="1815"/>
      <c r="NCE2" s="1815"/>
      <c r="NCF2" s="1815"/>
      <c r="NCG2" s="1815"/>
      <c r="NCH2" s="1815"/>
      <c r="NCI2" s="1815"/>
      <c r="NCJ2" s="1815"/>
      <c r="NCK2" s="1815"/>
      <c r="NCL2" s="1815"/>
      <c r="NCM2" s="1815"/>
      <c r="NCN2" s="1815"/>
      <c r="NCO2" s="1815"/>
      <c r="NCP2" s="1815"/>
      <c r="NCQ2" s="1815"/>
      <c r="NCR2" s="1815"/>
      <c r="NCS2" s="1815"/>
      <c r="NCT2" s="1815"/>
      <c r="NCU2" s="1815"/>
      <c r="NCV2" s="1815"/>
      <c r="NCW2" s="1815"/>
      <c r="NCX2" s="1815"/>
      <c r="NCY2" s="1815"/>
      <c r="NCZ2" s="1815"/>
      <c r="NDA2" s="1815"/>
      <c r="NDB2" s="1815"/>
      <c r="NDC2" s="1815"/>
      <c r="NDD2" s="1815"/>
      <c r="NDE2" s="1815"/>
      <c r="NDF2" s="1815"/>
      <c r="NDG2" s="1815"/>
      <c r="NDH2" s="1815"/>
      <c r="NDI2" s="1815"/>
      <c r="NDJ2" s="1815"/>
      <c r="NDK2" s="1815"/>
      <c r="NDL2" s="1815"/>
      <c r="NDM2" s="1815"/>
      <c r="NDN2" s="1815"/>
      <c r="NDO2" s="1815"/>
      <c r="NDP2" s="1815"/>
      <c r="NDQ2" s="1815"/>
      <c r="NDR2" s="1815"/>
      <c r="NDS2" s="1815"/>
      <c r="NDT2" s="1815"/>
      <c r="NDU2" s="1815"/>
      <c r="NDV2" s="1815"/>
      <c r="NDW2" s="1815"/>
      <c r="NDX2" s="1815"/>
      <c r="NDY2" s="1815"/>
      <c r="NDZ2" s="1815"/>
      <c r="NEA2" s="1815"/>
      <c r="NEB2" s="1815"/>
      <c r="NEC2" s="1815"/>
      <c r="NED2" s="1815"/>
      <c r="NEE2" s="1815"/>
      <c r="NEF2" s="1815"/>
      <c r="NEG2" s="1815"/>
      <c r="NEH2" s="1815"/>
      <c r="NEI2" s="1815"/>
      <c r="NEJ2" s="1815"/>
      <c r="NEK2" s="1815"/>
      <c r="NEL2" s="1815"/>
      <c r="NEM2" s="1815"/>
      <c r="NEN2" s="1815"/>
      <c r="NEO2" s="1815"/>
      <c r="NEP2" s="1815"/>
      <c r="NEQ2" s="1815"/>
      <c r="NER2" s="1815"/>
      <c r="NES2" s="1815"/>
      <c r="NET2" s="1815"/>
      <c r="NEU2" s="1815"/>
      <c r="NEV2" s="1815"/>
      <c r="NEW2" s="1815"/>
      <c r="NEX2" s="1815"/>
      <c r="NEY2" s="1815"/>
      <c r="NEZ2" s="1815"/>
      <c r="NFA2" s="1815"/>
      <c r="NFB2" s="1815"/>
      <c r="NFC2" s="1815"/>
      <c r="NFD2" s="1815"/>
      <c r="NFE2" s="1815"/>
      <c r="NFF2" s="1815"/>
      <c r="NFG2" s="1815"/>
      <c r="NFH2" s="1815"/>
      <c r="NFI2" s="1815"/>
      <c r="NFJ2" s="1815"/>
      <c r="NFK2" s="1815"/>
      <c r="NFL2" s="1815"/>
      <c r="NFM2" s="1815"/>
      <c r="NFN2" s="1815"/>
      <c r="NFO2" s="1815"/>
      <c r="NFP2" s="1815"/>
      <c r="NFQ2" s="1815"/>
      <c r="NFR2" s="1815"/>
      <c r="NFS2" s="1815"/>
      <c r="NFT2" s="1815"/>
      <c r="NFU2" s="1815"/>
      <c r="NFV2" s="1815"/>
      <c r="NFW2" s="1815"/>
      <c r="NFX2" s="1815"/>
      <c r="NFY2" s="1815"/>
      <c r="NFZ2" s="1815"/>
      <c r="NGA2" s="1815"/>
      <c r="NGB2" s="1815"/>
      <c r="NGC2" s="1815"/>
      <c r="NGD2" s="1815"/>
      <c r="NGE2" s="1815"/>
      <c r="NGF2" s="1815"/>
      <c r="NGG2" s="1815"/>
      <c r="NGH2" s="1815"/>
      <c r="NGI2" s="1815"/>
      <c r="NGJ2" s="1815"/>
      <c r="NGK2" s="1815"/>
      <c r="NGL2" s="1815"/>
      <c r="NGM2" s="1815"/>
      <c r="NGN2" s="1815"/>
      <c r="NGO2" s="1815"/>
      <c r="NGP2" s="1815"/>
      <c r="NGQ2" s="1815"/>
      <c r="NGR2" s="1815"/>
      <c r="NGS2" s="1815"/>
      <c r="NGT2" s="1815"/>
      <c r="NGU2" s="1815"/>
      <c r="NGV2" s="1815"/>
      <c r="NGW2" s="1815"/>
      <c r="NGX2" s="1815"/>
      <c r="NGY2" s="1815"/>
      <c r="NGZ2" s="1815"/>
      <c r="NHA2" s="1815"/>
      <c r="NHB2" s="1815"/>
      <c r="NHC2" s="1815"/>
      <c r="NHD2" s="1815"/>
      <c r="NHE2" s="1815"/>
      <c r="NHF2" s="1815"/>
      <c r="NHG2" s="1815"/>
      <c r="NHH2" s="1815"/>
      <c r="NHI2" s="1815"/>
      <c r="NHJ2" s="1815"/>
      <c r="NHK2" s="1815"/>
      <c r="NHL2" s="1815"/>
      <c r="NHM2" s="1815"/>
      <c r="NHN2" s="1815"/>
      <c r="NHO2" s="1815"/>
      <c r="NHP2" s="1815"/>
      <c r="NHQ2" s="1815"/>
      <c r="NHR2" s="1815"/>
      <c r="NHS2" s="1815"/>
      <c r="NHT2" s="1815"/>
      <c r="NHU2" s="1815"/>
      <c r="NHV2" s="1815"/>
      <c r="NHW2" s="1815"/>
      <c r="NHX2" s="1815"/>
      <c r="NHY2" s="1815"/>
      <c r="NHZ2" s="1815"/>
      <c r="NIA2" s="1815"/>
      <c r="NIB2" s="1815"/>
      <c r="NIC2" s="1815"/>
      <c r="NID2" s="1815"/>
      <c r="NIE2" s="1815"/>
      <c r="NIF2" s="1815"/>
      <c r="NIG2" s="1815"/>
      <c r="NIH2" s="1815"/>
      <c r="NII2" s="1815"/>
      <c r="NIJ2" s="1815"/>
      <c r="NIK2" s="1815"/>
      <c r="NIL2" s="1815"/>
      <c r="NIM2" s="1815"/>
      <c r="NIN2" s="1815"/>
      <c r="NIO2" s="1815"/>
      <c r="NIP2" s="1815"/>
      <c r="NIQ2" s="1815"/>
      <c r="NIR2" s="1815"/>
      <c r="NIS2" s="1815"/>
      <c r="NIT2" s="1815"/>
      <c r="NIU2" s="1815"/>
      <c r="NIV2" s="1815"/>
      <c r="NIW2" s="1815"/>
      <c r="NIX2" s="1815"/>
      <c r="NIY2" s="1815"/>
      <c r="NIZ2" s="1815"/>
      <c r="NJA2" s="1815"/>
      <c r="NJB2" s="1815"/>
      <c r="NJC2" s="1815"/>
      <c r="NJD2" s="1815"/>
      <c r="NJE2" s="1815"/>
      <c r="NJF2" s="1815"/>
      <c r="NJG2" s="1815"/>
      <c r="NJH2" s="1815"/>
      <c r="NJI2" s="1815"/>
      <c r="NJJ2" s="1815"/>
      <c r="NJK2" s="1815"/>
      <c r="NJL2" s="1815"/>
      <c r="NJM2" s="1815"/>
      <c r="NJN2" s="1815"/>
      <c r="NJO2" s="1815"/>
      <c r="NJP2" s="1815"/>
      <c r="NJQ2" s="1815"/>
      <c r="NJR2" s="1815"/>
      <c r="NJS2" s="1815"/>
      <c r="NJT2" s="1815"/>
      <c r="NJU2" s="1815"/>
      <c r="NJV2" s="1815"/>
      <c r="NJW2" s="1815"/>
      <c r="NJX2" s="1815"/>
      <c r="NJY2" s="1815"/>
      <c r="NJZ2" s="1815"/>
      <c r="NKA2" s="1815"/>
      <c r="NKB2" s="1815"/>
      <c r="NKC2" s="1815"/>
      <c r="NKD2" s="1815"/>
      <c r="NKE2" s="1815"/>
      <c r="NKF2" s="1815"/>
      <c r="NKG2" s="1815"/>
      <c r="NKH2" s="1815"/>
      <c r="NKI2" s="1815"/>
      <c r="NKJ2" s="1815"/>
      <c r="NKK2" s="1815"/>
      <c r="NKL2" s="1815"/>
      <c r="NKM2" s="1815"/>
      <c r="NKN2" s="1815"/>
      <c r="NKO2" s="1815"/>
      <c r="NKP2" s="1815"/>
      <c r="NKQ2" s="1815"/>
      <c r="NKR2" s="1815"/>
      <c r="NKS2" s="1815"/>
      <c r="NKT2" s="1815"/>
      <c r="NKU2" s="1815"/>
      <c r="NKV2" s="1815"/>
      <c r="NKW2" s="1815"/>
      <c r="NKX2" s="1815"/>
      <c r="NKY2" s="1815"/>
      <c r="NKZ2" s="1815"/>
      <c r="NLA2" s="1815"/>
      <c r="NLB2" s="1815"/>
      <c r="NLC2" s="1815"/>
      <c r="NLD2" s="1815"/>
      <c r="NLE2" s="1815"/>
      <c r="NLF2" s="1815"/>
      <c r="NLG2" s="1815"/>
      <c r="NLH2" s="1815"/>
      <c r="NLI2" s="1815"/>
      <c r="NLJ2" s="1815"/>
      <c r="NLK2" s="1815"/>
      <c r="NLL2" s="1815"/>
      <c r="NLM2" s="1815"/>
      <c r="NLN2" s="1815"/>
      <c r="NLO2" s="1815"/>
      <c r="NLP2" s="1815"/>
      <c r="NLQ2" s="1815"/>
      <c r="NLR2" s="1815"/>
      <c r="NLS2" s="1815"/>
      <c r="NLT2" s="1815"/>
      <c r="NLU2" s="1815"/>
      <c r="NLV2" s="1815"/>
      <c r="NLW2" s="1815"/>
      <c r="NLX2" s="1815"/>
      <c r="NLY2" s="1815"/>
      <c r="NLZ2" s="1815"/>
      <c r="NMA2" s="1815"/>
      <c r="NMB2" s="1815"/>
      <c r="NMC2" s="1815"/>
      <c r="NMD2" s="1815"/>
      <c r="NME2" s="1815"/>
      <c r="NMF2" s="1815"/>
      <c r="NMG2" s="1815"/>
      <c r="NMH2" s="1815"/>
      <c r="NMI2" s="1815"/>
      <c r="NMJ2" s="1815"/>
      <c r="NMK2" s="1815"/>
      <c r="NML2" s="1815"/>
      <c r="NMM2" s="1815"/>
      <c r="NMN2" s="1815"/>
      <c r="NMO2" s="1815"/>
      <c r="NMP2" s="1815"/>
      <c r="NMQ2" s="1815"/>
      <c r="NMR2" s="1815"/>
      <c r="NMS2" s="1815"/>
      <c r="NMT2" s="1815"/>
      <c r="NMU2" s="1815"/>
      <c r="NMV2" s="1815"/>
      <c r="NMW2" s="1815"/>
      <c r="NMX2" s="1815"/>
      <c r="NMY2" s="1815"/>
      <c r="NMZ2" s="1815"/>
      <c r="NNA2" s="1815"/>
      <c r="NNB2" s="1815"/>
      <c r="NNC2" s="1815"/>
      <c r="NND2" s="1815"/>
      <c r="NNE2" s="1815"/>
      <c r="NNF2" s="1815"/>
      <c r="NNG2" s="1815"/>
      <c r="NNH2" s="1815"/>
      <c r="NNI2" s="1815"/>
      <c r="NNJ2" s="1815"/>
      <c r="NNK2" s="1815"/>
      <c r="NNL2" s="1815"/>
      <c r="NNM2" s="1815"/>
      <c r="NNN2" s="1815"/>
      <c r="NNO2" s="1815"/>
      <c r="NNP2" s="1815"/>
      <c r="NNQ2" s="1815"/>
      <c r="NNR2" s="1815"/>
      <c r="NNS2" s="1815"/>
      <c r="NNT2" s="1815"/>
      <c r="NNU2" s="1815"/>
      <c r="NNV2" s="1815"/>
      <c r="NNW2" s="1815"/>
      <c r="NNX2" s="1815"/>
      <c r="NNY2" s="1815"/>
      <c r="NNZ2" s="1815"/>
      <c r="NOA2" s="1815"/>
      <c r="NOB2" s="1815"/>
      <c r="NOC2" s="1815"/>
      <c r="NOD2" s="1815"/>
      <c r="NOE2" s="1815"/>
      <c r="NOF2" s="1815"/>
      <c r="NOG2" s="1815"/>
      <c r="NOH2" s="1815"/>
      <c r="NOI2" s="1815"/>
      <c r="NOJ2" s="1815"/>
      <c r="NOK2" s="1815"/>
      <c r="NOL2" s="1815"/>
      <c r="NOM2" s="1815"/>
      <c r="NON2" s="1815"/>
      <c r="NOO2" s="1815"/>
      <c r="NOP2" s="1815"/>
      <c r="NOQ2" s="1815"/>
      <c r="NOR2" s="1815"/>
      <c r="NOS2" s="1815"/>
      <c r="NOT2" s="1815"/>
      <c r="NOU2" s="1815"/>
      <c r="NOV2" s="1815"/>
      <c r="NOW2" s="1815"/>
      <c r="NOX2" s="1815"/>
      <c r="NOY2" s="1815"/>
      <c r="NOZ2" s="1815"/>
      <c r="NPA2" s="1815"/>
      <c r="NPB2" s="1815"/>
      <c r="NPC2" s="1815"/>
      <c r="NPD2" s="1815"/>
      <c r="NPE2" s="1815"/>
      <c r="NPF2" s="1815"/>
      <c r="NPG2" s="1815"/>
      <c r="NPH2" s="1815"/>
      <c r="NPI2" s="1815"/>
      <c r="NPJ2" s="1815"/>
      <c r="NPK2" s="1815"/>
      <c r="NPL2" s="1815"/>
      <c r="NPM2" s="1815"/>
      <c r="NPN2" s="1815"/>
      <c r="NPO2" s="1815"/>
      <c r="NPP2" s="1815"/>
      <c r="NPQ2" s="1815"/>
      <c r="NPR2" s="1815"/>
      <c r="NPS2" s="1815"/>
      <c r="NPT2" s="1815"/>
      <c r="NPU2" s="1815"/>
      <c r="NPV2" s="1815"/>
      <c r="NPW2" s="1815"/>
      <c r="NPX2" s="1815"/>
      <c r="NPY2" s="1815"/>
      <c r="NPZ2" s="1815"/>
      <c r="NQA2" s="1815"/>
      <c r="NQB2" s="1815"/>
      <c r="NQC2" s="1815"/>
      <c r="NQD2" s="1815"/>
      <c r="NQE2" s="1815"/>
      <c r="NQF2" s="1815"/>
      <c r="NQG2" s="1815"/>
      <c r="NQH2" s="1815"/>
      <c r="NQI2" s="1815"/>
      <c r="NQJ2" s="1815"/>
      <c r="NQK2" s="1815"/>
      <c r="NQL2" s="1815"/>
      <c r="NQM2" s="1815"/>
      <c r="NQN2" s="1815"/>
      <c r="NQO2" s="1815"/>
      <c r="NQP2" s="1815"/>
      <c r="NQQ2" s="1815"/>
      <c r="NQR2" s="1815"/>
      <c r="NQS2" s="1815"/>
      <c r="NQT2" s="1815"/>
      <c r="NQU2" s="1815"/>
      <c r="NQV2" s="1815"/>
      <c r="NQW2" s="1815"/>
      <c r="NQX2" s="1815"/>
      <c r="NQY2" s="1815"/>
      <c r="NQZ2" s="1815"/>
      <c r="NRA2" s="1815"/>
      <c r="NRB2" s="1815"/>
      <c r="NRC2" s="1815"/>
      <c r="NRD2" s="1815"/>
      <c r="NRE2" s="1815"/>
      <c r="NRF2" s="1815"/>
      <c r="NRG2" s="1815"/>
      <c r="NRH2" s="1815"/>
      <c r="NRI2" s="1815"/>
      <c r="NRJ2" s="1815"/>
      <c r="NRK2" s="1815"/>
      <c r="NRL2" s="1815"/>
      <c r="NRM2" s="1815"/>
      <c r="NRN2" s="1815"/>
      <c r="NRO2" s="1815"/>
      <c r="NRP2" s="1815"/>
      <c r="NRQ2" s="1815"/>
      <c r="NRR2" s="1815"/>
      <c r="NRS2" s="1815"/>
      <c r="NRT2" s="1815"/>
      <c r="NRU2" s="1815"/>
      <c r="NRV2" s="1815"/>
      <c r="NRW2" s="1815"/>
      <c r="NRX2" s="1815"/>
      <c r="NRY2" s="1815"/>
      <c r="NRZ2" s="1815"/>
      <c r="NSA2" s="1815"/>
      <c r="NSB2" s="1815"/>
      <c r="NSC2" s="1815"/>
      <c r="NSD2" s="1815"/>
      <c r="NSE2" s="1815"/>
      <c r="NSF2" s="1815"/>
      <c r="NSG2" s="1815"/>
      <c r="NSH2" s="1815"/>
      <c r="NSI2" s="1815"/>
      <c r="NSJ2" s="1815"/>
      <c r="NSK2" s="1815"/>
      <c r="NSL2" s="1815"/>
      <c r="NSM2" s="1815"/>
      <c r="NSN2" s="1815"/>
      <c r="NSO2" s="1815"/>
      <c r="NSP2" s="1815"/>
      <c r="NSQ2" s="1815"/>
      <c r="NSR2" s="1815"/>
      <c r="NSS2" s="1815"/>
      <c r="NST2" s="1815"/>
      <c r="NSU2" s="1815"/>
      <c r="NSV2" s="1815"/>
      <c r="NSW2" s="1815"/>
      <c r="NSX2" s="1815"/>
      <c r="NSY2" s="1815"/>
      <c r="NSZ2" s="1815"/>
      <c r="NTA2" s="1815"/>
      <c r="NTB2" s="1815"/>
      <c r="NTC2" s="1815"/>
      <c r="NTD2" s="1815"/>
      <c r="NTE2" s="1815"/>
      <c r="NTF2" s="1815"/>
      <c r="NTG2" s="1815"/>
      <c r="NTH2" s="1815"/>
      <c r="NTI2" s="1815"/>
      <c r="NTJ2" s="1815"/>
      <c r="NTK2" s="1815"/>
      <c r="NTL2" s="1815"/>
      <c r="NTM2" s="1815"/>
      <c r="NTN2" s="1815"/>
      <c r="NTO2" s="1815"/>
      <c r="NTP2" s="1815"/>
      <c r="NTQ2" s="1815"/>
      <c r="NTR2" s="1815"/>
      <c r="NTS2" s="1815"/>
      <c r="NTT2" s="1815"/>
      <c r="NTU2" s="1815"/>
      <c r="NTV2" s="1815"/>
      <c r="NTW2" s="1815"/>
      <c r="NTX2" s="1815"/>
      <c r="NTY2" s="1815"/>
      <c r="NTZ2" s="1815"/>
      <c r="NUA2" s="1815"/>
      <c r="NUB2" s="1815"/>
      <c r="NUC2" s="1815"/>
      <c r="NUD2" s="1815"/>
      <c r="NUE2" s="1815"/>
      <c r="NUF2" s="1815"/>
      <c r="NUG2" s="1815"/>
      <c r="NUH2" s="1815"/>
      <c r="NUI2" s="1815"/>
      <c r="NUJ2" s="1815"/>
      <c r="NUK2" s="1815"/>
      <c r="NUL2" s="1815"/>
      <c r="NUM2" s="1815"/>
      <c r="NUN2" s="1815"/>
      <c r="NUO2" s="1815"/>
      <c r="NUP2" s="1815"/>
      <c r="NUQ2" s="1815"/>
      <c r="NUR2" s="1815"/>
      <c r="NUS2" s="1815"/>
      <c r="NUT2" s="1815"/>
      <c r="NUU2" s="1815"/>
      <c r="NUV2" s="1815"/>
      <c r="NUW2" s="1815"/>
      <c r="NUX2" s="1815"/>
      <c r="NUY2" s="1815"/>
      <c r="NUZ2" s="1815"/>
      <c r="NVA2" s="1815"/>
      <c r="NVB2" s="1815"/>
      <c r="NVC2" s="1815"/>
      <c r="NVD2" s="1815"/>
      <c r="NVE2" s="1815"/>
      <c r="NVF2" s="1815"/>
      <c r="NVG2" s="1815"/>
      <c r="NVH2" s="1815"/>
      <c r="NVI2" s="1815"/>
      <c r="NVJ2" s="1815"/>
      <c r="NVK2" s="1815"/>
      <c r="NVL2" s="1815"/>
      <c r="NVM2" s="1815"/>
      <c r="NVN2" s="1815"/>
      <c r="NVO2" s="1815"/>
      <c r="NVP2" s="1815"/>
      <c r="NVQ2" s="1815"/>
      <c r="NVR2" s="1815"/>
      <c r="NVS2" s="1815"/>
      <c r="NVT2" s="1815"/>
      <c r="NVU2" s="1815"/>
      <c r="NVV2" s="1815"/>
      <c r="NVW2" s="1815"/>
      <c r="NVX2" s="1815"/>
      <c r="NVY2" s="1815"/>
      <c r="NVZ2" s="1815"/>
      <c r="NWA2" s="1815"/>
      <c r="NWB2" s="1815"/>
      <c r="NWC2" s="1815"/>
      <c r="NWD2" s="1815"/>
      <c r="NWE2" s="1815"/>
      <c r="NWF2" s="1815"/>
      <c r="NWG2" s="1815"/>
      <c r="NWH2" s="1815"/>
      <c r="NWI2" s="1815"/>
      <c r="NWJ2" s="1815"/>
      <c r="NWK2" s="1815"/>
      <c r="NWL2" s="1815"/>
      <c r="NWM2" s="1815"/>
      <c r="NWN2" s="1815"/>
      <c r="NWO2" s="1815"/>
      <c r="NWP2" s="1815"/>
      <c r="NWQ2" s="1815"/>
      <c r="NWR2" s="1815"/>
      <c r="NWS2" s="1815"/>
      <c r="NWT2" s="1815"/>
      <c r="NWU2" s="1815"/>
      <c r="NWV2" s="1815"/>
      <c r="NWW2" s="1815"/>
      <c r="NWX2" s="1815"/>
      <c r="NWY2" s="1815"/>
      <c r="NWZ2" s="1815"/>
      <c r="NXA2" s="1815"/>
      <c r="NXB2" s="1815"/>
      <c r="NXC2" s="1815"/>
      <c r="NXD2" s="1815"/>
      <c r="NXE2" s="1815"/>
      <c r="NXF2" s="1815"/>
      <c r="NXG2" s="1815"/>
      <c r="NXH2" s="1815"/>
      <c r="NXI2" s="1815"/>
      <c r="NXJ2" s="1815"/>
      <c r="NXK2" s="1815"/>
      <c r="NXL2" s="1815"/>
      <c r="NXM2" s="1815"/>
      <c r="NXN2" s="1815"/>
      <c r="NXO2" s="1815"/>
      <c r="NXP2" s="1815"/>
      <c r="NXQ2" s="1815"/>
      <c r="NXR2" s="1815"/>
      <c r="NXS2" s="1815"/>
      <c r="NXT2" s="1815"/>
      <c r="NXU2" s="1815"/>
      <c r="NXV2" s="1815"/>
      <c r="NXW2" s="1815"/>
      <c r="NXX2" s="1815"/>
      <c r="NXY2" s="1815"/>
      <c r="NXZ2" s="1815"/>
      <c r="NYA2" s="1815"/>
      <c r="NYB2" s="1815"/>
      <c r="NYC2" s="1815"/>
      <c r="NYD2" s="1815"/>
      <c r="NYE2" s="1815"/>
      <c r="NYF2" s="1815"/>
      <c r="NYG2" s="1815"/>
      <c r="NYH2" s="1815"/>
      <c r="NYI2" s="1815"/>
      <c r="NYJ2" s="1815"/>
      <c r="NYK2" s="1815"/>
      <c r="NYL2" s="1815"/>
      <c r="NYM2" s="1815"/>
      <c r="NYN2" s="1815"/>
      <c r="NYO2" s="1815"/>
      <c r="NYP2" s="1815"/>
      <c r="NYQ2" s="1815"/>
      <c r="NYR2" s="1815"/>
      <c r="NYS2" s="1815"/>
      <c r="NYT2" s="1815"/>
      <c r="NYU2" s="1815"/>
      <c r="NYV2" s="1815"/>
      <c r="NYW2" s="1815"/>
      <c r="NYX2" s="1815"/>
      <c r="NYY2" s="1815"/>
      <c r="NYZ2" s="1815"/>
      <c r="NZA2" s="1815"/>
      <c r="NZB2" s="1815"/>
      <c r="NZC2" s="1815"/>
      <c r="NZD2" s="1815"/>
      <c r="NZE2" s="1815"/>
      <c r="NZF2" s="1815"/>
      <c r="NZG2" s="1815"/>
      <c r="NZH2" s="1815"/>
      <c r="NZI2" s="1815"/>
      <c r="NZJ2" s="1815"/>
      <c r="NZK2" s="1815"/>
      <c r="NZL2" s="1815"/>
      <c r="NZM2" s="1815"/>
      <c r="NZN2" s="1815"/>
      <c r="NZO2" s="1815"/>
      <c r="NZP2" s="1815"/>
      <c r="NZQ2" s="1815"/>
      <c r="NZR2" s="1815"/>
      <c r="NZS2" s="1815"/>
      <c r="NZT2" s="1815"/>
      <c r="NZU2" s="1815"/>
      <c r="NZV2" s="1815"/>
      <c r="NZW2" s="1815"/>
      <c r="NZX2" s="1815"/>
      <c r="NZY2" s="1815"/>
      <c r="NZZ2" s="1815"/>
      <c r="OAA2" s="1815"/>
      <c r="OAB2" s="1815"/>
      <c r="OAC2" s="1815"/>
      <c r="OAD2" s="1815"/>
      <c r="OAE2" s="1815"/>
      <c r="OAF2" s="1815"/>
      <c r="OAG2" s="1815"/>
      <c r="OAH2" s="1815"/>
      <c r="OAI2" s="1815"/>
      <c r="OAJ2" s="1815"/>
      <c r="OAK2" s="1815"/>
      <c r="OAL2" s="1815"/>
      <c r="OAM2" s="1815"/>
      <c r="OAN2" s="1815"/>
      <c r="OAO2" s="1815"/>
      <c r="OAP2" s="1815"/>
      <c r="OAQ2" s="1815"/>
      <c r="OAR2" s="1815"/>
      <c r="OAS2" s="1815"/>
      <c r="OAT2" s="1815"/>
      <c r="OAU2" s="1815"/>
      <c r="OAV2" s="1815"/>
      <c r="OAW2" s="1815"/>
      <c r="OAX2" s="1815"/>
      <c r="OAY2" s="1815"/>
      <c r="OAZ2" s="1815"/>
      <c r="OBA2" s="1815"/>
      <c r="OBB2" s="1815"/>
      <c r="OBC2" s="1815"/>
      <c r="OBD2" s="1815"/>
      <c r="OBE2" s="1815"/>
      <c r="OBF2" s="1815"/>
      <c r="OBG2" s="1815"/>
      <c r="OBH2" s="1815"/>
      <c r="OBI2" s="1815"/>
      <c r="OBJ2" s="1815"/>
      <c r="OBK2" s="1815"/>
      <c r="OBL2" s="1815"/>
      <c r="OBM2" s="1815"/>
      <c r="OBN2" s="1815"/>
      <c r="OBO2" s="1815"/>
      <c r="OBP2" s="1815"/>
      <c r="OBQ2" s="1815"/>
      <c r="OBR2" s="1815"/>
      <c r="OBS2" s="1815"/>
      <c r="OBT2" s="1815"/>
      <c r="OBU2" s="1815"/>
      <c r="OBV2" s="1815"/>
      <c r="OBW2" s="1815"/>
      <c r="OBX2" s="1815"/>
      <c r="OBY2" s="1815"/>
      <c r="OBZ2" s="1815"/>
      <c r="OCA2" s="1815"/>
      <c r="OCB2" s="1815"/>
      <c r="OCC2" s="1815"/>
      <c r="OCD2" s="1815"/>
      <c r="OCE2" s="1815"/>
      <c r="OCF2" s="1815"/>
      <c r="OCG2" s="1815"/>
      <c r="OCH2" s="1815"/>
      <c r="OCI2" s="1815"/>
      <c r="OCJ2" s="1815"/>
      <c r="OCK2" s="1815"/>
      <c r="OCL2" s="1815"/>
      <c r="OCM2" s="1815"/>
      <c r="OCN2" s="1815"/>
      <c r="OCO2" s="1815"/>
      <c r="OCP2" s="1815"/>
      <c r="OCQ2" s="1815"/>
      <c r="OCR2" s="1815"/>
      <c r="OCS2" s="1815"/>
      <c r="OCT2" s="1815"/>
      <c r="OCU2" s="1815"/>
      <c r="OCV2" s="1815"/>
      <c r="OCW2" s="1815"/>
      <c r="OCX2" s="1815"/>
      <c r="OCY2" s="1815"/>
      <c r="OCZ2" s="1815"/>
      <c r="ODA2" s="1815"/>
      <c r="ODB2" s="1815"/>
      <c r="ODC2" s="1815"/>
      <c r="ODD2" s="1815"/>
      <c r="ODE2" s="1815"/>
      <c r="ODF2" s="1815"/>
      <c r="ODG2" s="1815"/>
      <c r="ODH2" s="1815"/>
      <c r="ODI2" s="1815"/>
      <c r="ODJ2" s="1815"/>
      <c r="ODK2" s="1815"/>
      <c r="ODL2" s="1815"/>
      <c r="ODM2" s="1815"/>
      <c r="ODN2" s="1815"/>
      <c r="ODO2" s="1815"/>
      <c r="ODP2" s="1815"/>
      <c r="ODQ2" s="1815"/>
      <c r="ODR2" s="1815"/>
      <c r="ODS2" s="1815"/>
      <c r="ODT2" s="1815"/>
      <c r="ODU2" s="1815"/>
      <c r="ODV2" s="1815"/>
      <c r="ODW2" s="1815"/>
      <c r="ODX2" s="1815"/>
      <c r="ODY2" s="1815"/>
      <c r="ODZ2" s="1815"/>
      <c r="OEA2" s="1815"/>
      <c r="OEB2" s="1815"/>
      <c r="OEC2" s="1815"/>
      <c r="OED2" s="1815"/>
      <c r="OEE2" s="1815"/>
      <c r="OEF2" s="1815"/>
      <c r="OEG2" s="1815"/>
      <c r="OEH2" s="1815"/>
      <c r="OEI2" s="1815"/>
      <c r="OEJ2" s="1815"/>
      <c r="OEK2" s="1815"/>
      <c r="OEL2" s="1815"/>
      <c r="OEM2" s="1815"/>
      <c r="OEN2" s="1815"/>
      <c r="OEO2" s="1815"/>
      <c r="OEP2" s="1815"/>
      <c r="OEQ2" s="1815"/>
      <c r="OER2" s="1815"/>
      <c r="OES2" s="1815"/>
      <c r="OET2" s="1815"/>
      <c r="OEU2" s="1815"/>
      <c r="OEV2" s="1815"/>
      <c r="OEW2" s="1815"/>
      <c r="OEX2" s="1815"/>
      <c r="OEY2" s="1815"/>
      <c r="OEZ2" s="1815"/>
      <c r="OFA2" s="1815"/>
      <c r="OFB2" s="1815"/>
      <c r="OFC2" s="1815"/>
      <c r="OFD2" s="1815"/>
      <c r="OFE2" s="1815"/>
      <c r="OFF2" s="1815"/>
      <c r="OFG2" s="1815"/>
      <c r="OFH2" s="1815"/>
      <c r="OFI2" s="1815"/>
      <c r="OFJ2" s="1815"/>
      <c r="OFK2" s="1815"/>
      <c r="OFL2" s="1815"/>
      <c r="OFM2" s="1815"/>
      <c r="OFN2" s="1815"/>
      <c r="OFO2" s="1815"/>
      <c r="OFP2" s="1815"/>
      <c r="OFQ2" s="1815"/>
      <c r="OFR2" s="1815"/>
      <c r="OFS2" s="1815"/>
      <c r="OFT2" s="1815"/>
      <c r="OFU2" s="1815"/>
      <c r="OFV2" s="1815"/>
      <c r="OFW2" s="1815"/>
      <c r="OFX2" s="1815"/>
      <c r="OFY2" s="1815"/>
      <c r="OFZ2" s="1815"/>
      <c r="OGA2" s="1815"/>
      <c r="OGB2" s="1815"/>
      <c r="OGC2" s="1815"/>
      <c r="OGD2" s="1815"/>
      <c r="OGE2" s="1815"/>
      <c r="OGF2" s="1815"/>
      <c r="OGG2" s="1815"/>
      <c r="OGH2" s="1815"/>
      <c r="OGI2" s="1815"/>
      <c r="OGJ2" s="1815"/>
      <c r="OGK2" s="1815"/>
      <c r="OGL2" s="1815"/>
      <c r="OGM2" s="1815"/>
      <c r="OGN2" s="1815"/>
      <c r="OGO2" s="1815"/>
      <c r="OGP2" s="1815"/>
      <c r="OGQ2" s="1815"/>
      <c r="OGR2" s="1815"/>
      <c r="OGS2" s="1815"/>
      <c r="OGT2" s="1815"/>
      <c r="OGU2" s="1815"/>
      <c r="OGV2" s="1815"/>
      <c r="OGW2" s="1815"/>
      <c r="OGX2" s="1815"/>
      <c r="OGY2" s="1815"/>
      <c r="OGZ2" s="1815"/>
      <c r="OHA2" s="1815"/>
      <c r="OHB2" s="1815"/>
      <c r="OHC2" s="1815"/>
      <c r="OHD2" s="1815"/>
      <c r="OHE2" s="1815"/>
      <c r="OHF2" s="1815"/>
      <c r="OHG2" s="1815"/>
      <c r="OHH2" s="1815"/>
      <c r="OHI2" s="1815"/>
      <c r="OHJ2" s="1815"/>
      <c r="OHK2" s="1815"/>
      <c r="OHL2" s="1815"/>
      <c r="OHM2" s="1815"/>
      <c r="OHN2" s="1815"/>
      <c r="OHO2" s="1815"/>
      <c r="OHP2" s="1815"/>
      <c r="OHQ2" s="1815"/>
      <c r="OHR2" s="1815"/>
      <c r="OHS2" s="1815"/>
      <c r="OHT2" s="1815"/>
      <c r="OHU2" s="1815"/>
      <c r="OHV2" s="1815"/>
      <c r="OHW2" s="1815"/>
      <c r="OHX2" s="1815"/>
      <c r="OHY2" s="1815"/>
      <c r="OHZ2" s="1815"/>
      <c r="OIA2" s="1815"/>
      <c r="OIB2" s="1815"/>
      <c r="OIC2" s="1815"/>
      <c r="OID2" s="1815"/>
      <c r="OIE2" s="1815"/>
      <c r="OIF2" s="1815"/>
      <c r="OIG2" s="1815"/>
      <c r="OIH2" s="1815"/>
      <c r="OII2" s="1815"/>
      <c r="OIJ2" s="1815"/>
      <c r="OIK2" s="1815"/>
      <c r="OIL2" s="1815"/>
      <c r="OIM2" s="1815"/>
      <c r="OIN2" s="1815"/>
      <c r="OIO2" s="1815"/>
      <c r="OIP2" s="1815"/>
      <c r="OIQ2" s="1815"/>
      <c r="OIR2" s="1815"/>
      <c r="OIS2" s="1815"/>
      <c r="OIT2" s="1815"/>
      <c r="OIU2" s="1815"/>
      <c r="OIV2" s="1815"/>
      <c r="OIW2" s="1815"/>
      <c r="OIX2" s="1815"/>
      <c r="OIY2" s="1815"/>
      <c r="OIZ2" s="1815"/>
      <c r="OJA2" s="1815"/>
      <c r="OJB2" s="1815"/>
      <c r="OJC2" s="1815"/>
      <c r="OJD2" s="1815"/>
      <c r="OJE2" s="1815"/>
      <c r="OJF2" s="1815"/>
      <c r="OJG2" s="1815"/>
      <c r="OJH2" s="1815"/>
      <c r="OJI2" s="1815"/>
      <c r="OJJ2" s="1815"/>
      <c r="OJK2" s="1815"/>
      <c r="OJL2" s="1815"/>
      <c r="OJM2" s="1815"/>
      <c r="OJN2" s="1815"/>
      <c r="OJO2" s="1815"/>
      <c r="OJP2" s="1815"/>
      <c r="OJQ2" s="1815"/>
      <c r="OJR2" s="1815"/>
      <c r="OJS2" s="1815"/>
      <c r="OJT2" s="1815"/>
      <c r="OJU2" s="1815"/>
      <c r="OJV2" s="1815"/>
      <c r="OJW2" s="1815"/>
      <c r="OJX2" s="1815"/>
      <c r="OJY2" s="1815"/>
      <c r="OJZ2" s="1815"/>
      <c r="OKA2" s="1815"/>
      <c r="OKB2" s="1815"/>
      <c r="OKC2" s="1815"/>
      <c r="OKD2" s="1815"/>
      <c r="OKE2" s="1815"/>
      <c r="OKF2" s="1815"/>
      <c r="OKG2" s="1815"/>
      <c r="OKH2" s="1815"/>
      <c r="OKI2" s="1815"/>
      <c r="OKJ2" s="1815"/>
      <c r="OKK2" s="1815"/>
      <c r="OKL2" s="1815"/>
      <c r="OKM2" s="1815"/>
      <c r="OKN2" s="1815"/>
      <c r="OKO2" s="1815"/>
      <c r="OKP2" s="1815"/>
      <c r="OKQ2" s="1815"/>
      <c r="OKR2" s="1815"/>
      <c r="OKS2" s="1815"/>
      <c r="OKT2" s="1815"/>
      <c r="OKU2" s="1815"/>
      <c r="OKV2" s="1815"/>
      <c r="OKW2" s="1815"/>
      <c r="OKX2" s="1815"/>
      <c r="OKY2" s="1815"/>
      <c r="OKZ2" s="1815"/>
      <c r="OLA2" s="1815"/>
      <c r="OLB2" s="1815"/>
      <c r="OLC2" s="1815"/>
      <c r="OLD2" s="1815"/>
      <c r="OLE2" s="1815"/>
      <c r="OLF2" s="1815"/>
      <c r="OLG2" s="1815"/>
      <c r="OLH2" s="1815"/>
      <c r="OLI2" s="1815"/>
      <c r="OLJ2" s="1815"/>
      <c r="OLK2" s="1815"/>
      <c r="OLL2" s="1815"/>
      <c r="OLM2" s="1815"/>
      <c r="OLN2" s="1815"/>
      <c r="OLO2" s="1815"/>
      <c r="OLP2" s="1815"/>
      <c r="OLQ2" s="1815"/>
      <c r="OLR2" s="1815"/>
      <c r="OLS2" s="1815"/>
      <c r="OLT2" s="1815"/>
      <c r="OLU2" s="1815"/>
      <c r="OLV2" s="1815"/>
      <c r="OLW2" s="1815"/>
      <c r="OLX2" s="1815"/>
      <c r="OLY2" s="1815"/>
      <c r="OLZ2" s="1815"/>
      <c r="OMA2" s="1815"/>
      <c r="OMB2" s="1815"/>
      <c r="OMC2" s="1815"/>
      <c r="OMD2" s="1815"/>
      <c r="OME2" s="1815"/>
      <c r="OMF2" s="1815"/>
      <c r="OMG2" s="1815"/>
      <c r="OMH2" s="1815"/>
      <c r="OMI2" s="1815"/>
      <c r="OMJ2" s="1815"/>
      <c r="OMK2" s="1815"/>
      <c r="OML2" s="1815"/>
      <c r="OMM2" s="1815"/>
      <c r="OMN2" s="1815"/>
      <c r="OMO2" s="1815"/>
      <c r="OMP2" s="1815"/>
      <c r="OMQ2" s="1815"/>
      <c r="OMR2" s="1815"/>
      <c r="OMS2" s="1815"/>
      <c r="OMT2" s="1815"/>
      <c r="OMU2" s="1815"/>
      <c r="OMV2" s="1815"/>
      <c r="OMW2" s="1815"/>
      <c r="OMX2" s="1815"/>
      <c r="OMY2" s="1815"/>
      <c r="OMZ2" s="1815"/>
      <c r="ONA2" s="1815"/>
      <c r="ONB2" s="1815"/>
      <c r="ONC2" s="1815"/>
      <c r="OND2" s="1815"/>
      <c r="ONE2" s="1815"/>
      <c r="ONF2" s="1815"/>
      <c r="ONG2" s="1815"/>
      <c r="ONH2" s="1815"/>
      <c r="ONI2" s="1815"/>
      <c r="ONJ2" s="1815"/>
      <c r="ONK2" s="1815"/>
      <c r="ONL2" s="1815"/>
      <c r="ONM2" s="1815"/>
      <c r="ONN2" s="1815"/>
      <c r="ONO2" s="1815"/>
      <c r="ONP2" s="1815"/>
      <c r="ONQ2" s="1815"/>
      <c r="ONR2" s="1815"/>
      <c r="ONS2" s="1815"/>
      <c r="ONT2" s="1815"/>
      <c r="ONU2" s="1815"/>
      <c r="ONV2" s="1815"/>
      <c r="ONW2" s="1815"/>
      <c r="ONX2" s="1815"/>
      <c r="ONY2" s="1815"/>
      <c r="ONZ2" s="1815"/>
      <c r="OOA2" s="1815"/>
      <c r="OOB2" s="1815"/>
      <c r="OOC2" s="1815"/>
      <c r="OOD2" s="1815"/>
      <c r="OOE2" s="1815"/>
      <c r="OOF2" s="1815"/>
      <c r="OOG2" s="1815"/>
      <c r="OOH2" s="1815"/>
      <c r="OOI2" s="1815"/>
      <c r="OOJ2" s="1815"/>
      <c r="OOK2" s="1815"/>
      <c r="OOL2" s="1815"/>
      <c r="OOM2" s="1815"/>
      <c r="OON2" s="1815"/>
      <c r="OOO2" s="1815"/>
      <c r="OOP2" s="1815"/>
      <c r="OOQ2" s="1815"/>
      <c r="OOR2" s="1815"/>
      <c r="OOS2" s="1815"/>
      <c r="OOT2" s="1815"/>
      <c r="OOU2" s="1815"/>
      <c r="OOV2" s="1815"/>
      <c r="OOW2" s="1815"/>
      <c r="OOX2" s="1815"/>
      <c r="OOY2" s="1815"/>
      <c r="OOZ2" s="1815"/>
      <c r="OPA2" s="1815"/>
      <c r="OPB2" s="1815"/>
      <c r="OPC2" s="1815"/>
      <c r="OPD2" s="1815"/>
      <c r="OPE2" s="1815"/>
      <c r="OPF2" s="1815"/>
      <c r="OPG2" s="1815"/>
      <c r="OPH2" s="1815"/>
      <c r="OPI2" s="1815"/>
      <c r="OPJ2" s="1815"/>
      <c r="OPK2" s="1815"/>
      <c r="OPL2" s="1815"/>
      <c r="OPM2" s="1815"/>
      <c r="OPN2" s="1815"/>
      <c r="OPO2" s="1815"/>
      <c r="OPP2" s="1815"/>
      <c r="OPQ2" s="1815"/>
      <c r="OPR2" s="1815"/>
      <c r="OPS2" s="1815"/>
      <c r="OPT2" s="1815"/>
      <c r="OPU2" s="1815"/>
      <c r="OPV2" s="1815"/>
      <c r="OPW2" s="1815"/>
      <c r="OPX2" s="1815"/>
      <c r="OPY2" s="1815"/>
      <c r="OPZ2" s="1815"/>
      <c r="OQA2" s="1815"/>
      <c r="OQB2" s="1815"/>
      <c r="OQC2" s="1815"/>
      <c r="OQD2" s="1815"/>
      <c r="OQE2" s="1815"/>
      <c r="OQF2" s="1815"/>
      <c r="OQG2" s="1815"/>
      <c r="OQH2" s="1815"/>
      <c r="OQI2" s="1815"/>
      <c r="OQJ2" s="1815"/>
      <c r="OQK2" s="1815"/>
      <c r="OQL2" s="1815"/>
      <c r="OQM2" s="1815"/>
      <c r="OQN2" s="1815"/>
      <c r="OQO2" s="1815"/>
      <c r="OQP2" s="1815"/>
      <c r="OQQ2" s="1815"/>
      <c r="OQR2" s="1815"/>
      <c r="OQS2" s="1815"/>
      <c r="OQT2" s="1815"/>
      <c r="OQU2" s="1815"/>
      <c r="OQV2" s="1815"/>
      <c r="OQW2" s="1815"/>
      <c r="OQX2" s="1815"/>
      <c r="OQY2" s="1815"/>
      <c r="OQZ2" s="1815"/>
      <c r="ORA2" s="1815"/>
      <c r="ORB2" s="1815"/>
      <c r="ORC2" s="1815"/>
      <c r="ORD2" s="1815"/>
      <c r="ORE2" s="1815"/>
      <c r="ORF2" s="1815"/>
      <c r="ORG2" s="1815"/>
      <c r="ORH2" s="1815"/>
      <c r="ORI2" s="1815"/>
      <c r="ORJ2" s="1815"/>
      <c r="ORK2" s="1815"/>
      <c r="ORL2" s="1815"/>
      <c r="ORM2" s="1815"/>
      <c r="ORN2" s="1815"/>
      <c r="ORO2" s="1815"/>
      <c r="ORP2" s="1815"/>
      <c r="ORQ2" s="1815"/>
      <c r="ORR2" s="1815"/>
      <c r="ORS2" s="1815"/>
      <c r="ORT2" s="1815"/>
      <c r="ORU2" s="1815"/>
      <c r="ORV2" s="1815"/>
      <c r="ORW2" s="1815"/>
      <c r="ORX2" s="1815"/>
      <c r="ORY2" s="1815"/>
      <c r="ORZ2" s="1815"/>
      <c r="OSA2" s="1815"/>
      <c r="OSB2" s="1815"/>
      <c r="OSC2" s="1815"/>
      <c r="OSD2" s="1815"/>
      <c r="OSE2" s="1815"/>
      <c r="OSF2" s="1815"/>
      <c r="OSG2" s="1815"/>
      <c r="OSH2" s="1815"/>
      <c r="OSI2" s="1815"/>
      <c r="OSJ2" s="1815"/>
      <c r="OSK2" s="1815"/>
      <c r="OSL2" s="1815"/>
      <c r="OSM2" s="1815"/>
      <c r="OSN2" s="1815"/>
      <c r="OSO2" s="1815"/>
      <c r="OSP2" s="1815"/>
      <c r="OSQ2" s="1815"/>
      <c r="OSR2" s="1815"/>
      <c r="OSS2" s="1815"/>
      <c r="OST2" s="1815"/>
      <c r="OSU2" s="1815"/>
      <c r="OSV2" s="1815"/>
      <c r="OSW2" s="1815"/>
      <c r="OSX2" s="1815"/>
      <c r="OSY2" s="1815"/>
      <c r="OSZ2" s="1815"/>
      <c r="OTA2" s="1815"/>
      <c r="OTB2" s="1815"/>
      <c r="OTC2" s="1815"/>
      <c r="OTD2" s="1815"/>
      <c r="OTE2" s="1815"/>
      <c r="OTF2" s="1815"/>
      <c r="OTG2" s="1815"/>
      <c r="OTH2" s="1815"/>
      <c r="OTI2" s="1815"/>
      <c r="OTJ2" s="1815"/>
      <c r="OTK2" s="1815"/>
      <c r="OTL2" s="1815"/>
      <c r="OTM2" s="1815"/>
      <c r="OTN2" s="1815"/>
      <c r="OTO2" s="1815"/>
      <c r="OTP2" s="1815"/>
      <c r="OTQ2" s="1815"/>
      <c r="OTR2" s="1815"/>
      <c r="OTS2" s="1815"/>
      <c r="OTT2" s="1815"/>
      <c r="OTU2" s="1815"/>
      <c r="OTV2" s="1815"/>
      <c r="OTW2" s="1815"/>
      <c r="OTX2" s="1815"/>
      <c r="OTY2" s="1815"/>
      <c r="OTZ2" s="1815"/>
      <c r="OUA2" s="1815"/>
      <c r="OUB2" s="1815"/>
      <c r="OUC2" s="1815"/>
      <c r="OUD2" s="1815"/>
      <c r="OUE2" s="1815"/>
      <c r="OUF2" s="1815"/>
      <c r="OUG2" s="1815"/>
      <c r="OUH2" s="1815"/>
      <c r="OUI2" s="1815"/>
      <c r="OUJ2" s="1815"/>
      <c r="OUK2" s="1815"/>
      <c r="OUL2" s="1815"/>
      <c r="OUM2" s="1815"/>
      <c r="OUN2" s="1815"/>
      <c r="OUO2" s="1815"/>
      <c r="OUP2" s="1815"/>
      <c r="OUQ2" s="1815"/>
      <c r="OUR2" s="1815"/>
      <c r="OUS2" s="1815"/>
      <c r="OUT2" s="1815"/>
      <c r="OUU2" s="1815"/>
      <c r="OUV2" s="1815"/>
      <c r="OUW2" s="1815"/>
      <c r="OUX2" s="1815"/>
      <c r="OUY2" s="1815"/>
      <c r="OUZ2" s="1815"/>
      <c r="OVA2" s="1815"/>
      <c r="OVB2" s="1815"/>
      <c r="OVC2" s="1815"/>
      <c r="OVD2" s="1815"/>
      <c r="OVE2" s="1815"/>
      <c r="OVF2" s="1815"/>
      <c r="OVG2" s="1815"/>
      <c r="OVH2" s="1815"/>
      <c r="OVI2" s="1815"/>
      <c r="OVJ2" s="1815"/>
      <c r="OVK2" s="1815"/>
      <c r="OVL2" s="1815"/>
      <c r="OVM2" s="1815"/>
      <c r="OVN2" s="1815"/>
      <c r="OVO2" s="1815"/>
      <c r="OVP2" s="1815"/>
      <c r="OVQ2" s="1815"/>
      <c r="OVR2" s="1815"/>
      <c r="OVS2" s="1815"/>
      <c r="OVT2" s="1815"/>
      <c r="OVU2" s="1815"/>
      <c r="OVV2" s="1815"/>
      <c r="OVW2" s="1815"/>
      <c r="OVX2" s="1815"/>
      <c r="OVY2" s="1815"/>
      <c r="OVZ2" s="1815"/>
      <c r="OWA2" s="1815"/>
      <c r="OWB2" s="1815"/>
      <c r="OWC2" s="1815"/>
      <c r="OWD2" s="1815"/>
      <c r="OWE2" s="1815"/>
      <c r="OWF2" s="1815"/>
      <c r="OWG2" s="1815"/>
      <c r="OWH2" s="1815"/>
      <c r="OWI2" s="1815"/>
      <c r="OWJ2" s="1815"/>
      <c r="OWK2" s="1815"/>
      <c r="OWL2" s="1815"/>
      <c r="OWM2" s="1815"/>
      <c r="OWN2" s="1815"/>
      <c r="OWO2" s="1815"/>
      <c r="OWP2" s="1815"/>
      <c r="OWQ2" s="1815"/>
      <c r="OWR2" s="1815"/>
      <c r="OWS2" s="1815"/>
      <c r="OWT2" s="1815"/>
      <c r="OWU2" s="1815"/>
      <c r="OWV2" s="1815"/>
      <c r="OWW2" s="1815"/>
      <c r="OWX2" s="1815"/>
      <c r="OWY2" s="1815"/>
      <c r="OWZ2" s="1815"/>
      <c r="OXA2" s="1815"/>
      <c r="OXB2" s="1815"/>
      <c r="OXC2" s="1815"/>
      <c r="OXD2" s="1815"/>
      <c r="OXE2" s="1815"/>
      <c r="OXF2" s="1815"/>
      <c r="OXG2" s="1815"/>
      <c r="OXH2" s="1815"/>
      <c r="OXI2" s="1815"/>
      <c r="OXJ2" s="1815"/>
      <c r="OXK2" s="1815"/>
      <c r="OXL2" s="1815"/>
      <c r="OXM2" s="1815"/>
      <c r="OXN2" s="1815"/>
      <c r="OXO2" s="1815"/>
      <c r="OXP2" s="1815"/>
      <c r="OXQ2" s="1815"/>
      <c r="OXR2" s="1815"/>
      <c r="OXS2" s="1815"/>
      <c r="OXT2" s="1815"/>
      <c r="OXU2" s="1815"/>
      <c r="OXV2" s="1815"/>
      <c r="OXW2" s="1815"/>
      <c r="OXX2" s="1815"/>
      <c r="OXY2" s="1815"/>
      <c r="OXZ2" s="1815"/>
      <c r="OYA2" s="1815"/>
      <c r="OYB2" s="1815"/>
      <c r="OYC2" s="1815"/>
      <c r="OYD2" s="1815"/>
      <c r="OYE2" s="1815"/>
      <c r="OYF2" s="1815"/>
      <c r="OYG2" s="1815"/>
      <c r="OYH2" s="1815"/>
      <c r="OYI2" s="1815"/>
      <c r="OYJ2" s="1815"/>
      <c r="OYK2" s="1815"/>
      <c r="OYL2" s="1815"/>
      <c r="OYM2" s="1815"/>
      <c r="OYN2" s="1815"/>
      <c r="OYO2" s="1815"/>
      <c r="OYP2" s="1815"/>
      <c r="OYQ2" s="1815"/>
      <c r="OYR2" s="1815"/>
      <c r="OYS2" s="1815"/>
      <c r="OYT2" s="1815"/>
      <c r="OYU2" s="1815"/>
      <c r="OYV2" s="1815"/>
      <c r="OYW2" s="1815"/>
      <c r="OYX2" s="1815"/>
      <c r="OYY2" s="1815"/>
      <c r="OYZ2" s="1815"/>
      <c r="OZA2" s="1815"/>
      <c r="OZB2" s="1815"/>
      <c r="OZC2" s="1815"/>
      <c r="OZD2" s="1815"/>
      <c r="OZE2" s="1815"/>
      <c r="OZF2" s="1815"/>
      <c r="OZG2" s="1815"/>
      <c r="OZH2" s="1815"/>
      <c r="OZI2" s="1815"/>
      <c r="OZJ2" s="1815"/>
      <c r="OZK2" s="1815"/>
      <c r="OZL2" s="1815"/>
      <c r="OZM2" s="1815"/>
      <c r="OZN2" s="1815"/>
      <c r="OZO2" s="1815"/>
      <c r="OZP2" s="1815"/>
      <c r="OZQ2" s="1815"/>
      <c r="OZR2" s="1815"/>
      <c r="OZS2" s="1815"/>
      <c r="OZT2" s="1815"/>
      <c r="OZU2" s="1815"/>
      <c r="OZV2" s="1815"/>
      <c r="OZW2" s="1815"/>
      <c r="OZX2" s="1815"/>
      <c r="OZY2" s="1815"/>
      <c r="OZZ2" s="1815"/>
      <c r="PAA2" s="1815"/>
      <c r="PAB2" s="1815"/>
      <c r="PAC2" s="1815"/>
      <c r="PAD2" s="1815"/>
      <c r="PAE2" s="1815"/>
      <c r="PAF2" s="1815"/>
      <c r="PAG2" s="1815"/>
      <c r="PAH2" s="1815"/>
      <c r="PAI2" s="1815"/>
      <c r="PAJ2" s="1815"/>
      <c r="PAK2" s="1815"/>
      <c r="PAL2" s="1815"/>
      <c r="PAM2" s="1815"/>
      <c r="PAN2" s="1815"/>
      <c r="PAO2" s="1815"/>
      <c r="PAP2" s="1815"/>
      <c r="PAQ2" s="1815"/>
      <c r="PAR2" s="1815"/>
      <c r="PAS2" s="1815"/>
      <c r="PAT2" s="1815"/>
      <c r="PAU2" s="1815"/>
      <c r="PAV2" s="1815"/>
      <c r="PAW2" s="1815"/>
      <c r="PAX2" s="1815"/>
      <c r="PAY2" s="1815"/>
      <c r="PAZ2" s="1815"/>
      <c r="PBA2" s="1815"/>
      <c r="PBB2" s="1815"/>
      <c r="PBC2" s="1815"/>
      <c r="PBD2" s="1815"/>
      <c r="PBE2" s="1815"/>
      <c r="PBF2" s="1815"/>
      <c r="PBG2" s="1815"/>
      <c r="PBH2" s="1815"/>
      <c r="PBI2" s="1815"/>
      <c r="PBJ2" s="1815"/>
      <c r="PBK2" s="1815"/>
      <c r="PBL2" s="1815"/>
      <c r="PBM2" s="1815"/>
      <c r="PBN2" s="1815"/>
      <c r="PBO2" s="1815"/>
      <c r="PBP2" s="1815"/>
      <c r="PBQ2" s="1815"/>
      <c r="PBR2" s="1815"/>
      <c r="PBS2" s="1815"/>
      <c r="PBT2" s="1815"/>
      <c r="PBU2" s="1815"/>
      <c r="PBV2" s="1815"/>
      <c r="PBW2" s="1815"/>
      <c r="PBX2" s="1815"/>
      <c r="PBY2" s="1815"/>
      <c r="PBZ2" s="1815"/>
      <c r="PCA2" s="1815"/>
      <c r="PCB2" s="1815"/>
      <c r="PCC2" s="1815"/>
      <c r="PCD2" s="1815"/>
      <c r="PCE2" s="1815"/>
      <c r="PCF2" s="1815"/>
      <c r="PCG2" s="1815"/>
      <c r="PCH2" s="1815"/>
      <c r="PCI2" s="1815"/>
      <c r="PCJ2" s="1815"/>
      <c r="PCK2" s="1815"/>
      <c r="PCL2" s="1815"/>
      <c r="PCM2" s="1815"/>
      <c r="PCN2" s="1815"/>
      <c r="PCO2" s="1815"/>
      <c r="PCP2" s="1815"/>
      <c r="PCQ2" s="1815"/>
      <c r="PCR2" s="1815"/>
      <c r="PCS2" s="1815"/>
      <c r="PCT2" s="1815"/>
      <c r="PCU2" s="1815"/>
      <c r="PCV2" s="1815"/>
      <c r="PCW2" s="1815"/>
      <c r="PCX2" s="1815"/>
      <c r="PCY2" s="1815"/>
      <c r="PCZ2" s="1815"/>
      <c r="PDA2" s="1815"/>
      <c r="PDB2" s="1815"/>
      <c r="PDC2" s="1815"/>
      <c r="PDD2" s="1815"/>
      <c r="PDE2" s="1815"/>
      <c r="PDF2" s="1815"/>
      <c r="PDG2" s="1815"/>
      <c r="PDH2" s="1815"/>
      <c r="PDI2" s="1815"/>
      <c r="PDJ2" s="1815"/>
      <c r="PDK2" s="1815"/>
      <c r="PDL2" s="1815"/>
      <c r="PDM2" s="1815"/>
      <c r="PDN2" s="1815"/>
      <c r="PDO2" s="1815"/>
      <c r="PDP2" s="1815"/>
      <c r="PDQ2" s="1815"/>
      <c r="PDR2" s="1815"/>
      <c r="PDS2" s="1815"/>
      <c r="PDT2" s="1815"/>
      <c r="PDU2" s="1815"/>
      <c r="PDV2" s="1815"/>
      <c r="PDW2" s="1815"/>
      <c r="PDX2" s="1815"/>
      <c r="PDY2" s="1815"/>
      <c r="PDZ2" s="1815"/>
      <c r="PEA2" s="1815"/>
      <c r="PEB2" s="1815"/>
      <c r="PEC2" s="1815"/>
      <c r="PED2" s="1815"/>
      <c r="PEE2" s="1815"/>
      <c r="PEF2" s="1815"/>
      <c r="PEG2" s="1815"/>
      <c r="PEH2" s="1815"/>
      <c r="PEI2" s="1815"/>
      <c r="PEJ2" s="1815"/>
      <c r="PEK2" s="1815"/>
      <c r="PEL2" s="1815"/>
      <c r="PEM2" s="1815"/>
      <c r="PEN2" s="1815"/>
      <c r="PEO2" s="1815"/>
      <c r="PEP2" s="1815"/>
      <c r="PEQ2" s="1815"/>
      <c r="PER2" s="1815"/>
      <c r="PES2" s="1815"/>
      <c r="PET2" s="1815"/>
      <c r="PEU2" s="1815"/>
      <c r="PEV2" s="1815"/>
      <c r="PEW2" s="1815"/>
      <c r="PEX2" s="1815"/>
      <c r="PEY2" s="1815"/>
      <c r="PEZ2" s="1815"/>
      <c r="PFA2" s="1815"/>
      <c r="PFB2" s="1815"/>
      <c r="PFC2" s="1815"/>
      <c r="PFD2" s="1815"/>
      <c r="PFE2" s="1815"/>
      <c r="PFF2" s="1815"/>
      <c r="PFG2" s="1815"/>
      <c r="PFH2" s="1815"/>
      <c r="PFI2" s="1815"/>
      <c r="PFJ2" s="1815"/>
      <c r="PFK2" s="1815"/>
      <c r="PFL2" s="1815"/>
      <c r="PFM2" s="1815"/>
      <c r="PFN2" s="1815"/>
      <c r="PFO2" s="1815"/>
      <c r="PFP2" s="1815"/>
      <c r="PFQ2" s="1815"/>
      <c r="PFR2" s="1815"/>
      <c r="PFS2" s="1815"/>
      <c r="PFT2" s="1815"/>
      <c r="PFU2" s="1815"/>
      <c r="PFV2" s="1815"/>
      <c r="PFW2" s="1815"/>
      <c r="PFX2" s="1815"/>
      <c r="PFY2" s="1815"/>
      <c r="PFZ2" s="1815"/>
      <c r="PGA2" s="1815"/>
      <c r="PGB2" s="1815"/>
      <c r="PGC2" s="1815"/>
      <c r="PGD2" s="1815"/>
      <c r="PGE2" s="1815"/>
      <c r="PGF2" s="1815"/>
      <c r="PGG2" s="1815"/>
      <c r="PGH2" s="1815"/>
      <c r="PGI2" s="1815"/>
      <c r="PGJ2" s="1815"/>
      <c r="PGK2" s="1815"/>
      <c r="PGL2" s="1815"/>
      <c r="PGM2" s="1815"/>
      <c r="PGN2" s="1815"/>
      <c r="PGO2" s="1815"/>
      <c r="PGP2" s="1815"/>
      <c r="PGQ2" s="1815"/>
      <c r="PGR2" s="1815"/>
      <c r="PGS2" s="1815"/>
      <c r="PGT2" s="1815"/>
      <c r="PGU2" s="1815"/>
      <c r="PGV2" s="1815"/>
      <c r="PGW2" s="1815"/>
      <c r="PGX2" s="1815"/>
      <c r="PGY2" s="1815"/>
      <c r="PGZ2" s="1815"/>
      <c r="PHA2" s="1815"/>
      <c r="PHB2" s="1815"/>
      <c r="PHC2" s="1815"/>
      <c r="PHD2" s="1815"/>
      <c r="PHE2" s="1815"/>
      <c r="PHF2" s="1815"/>
      <c r="PHG2" s="1815"/>
      <c r="PHH2" s="1815"/>
      <c r="PHI2" s="1815"/>
      <c r="PHJ2" s="1815"/>
      <c r="PHK2" s="1815"/>
      <c r="PHL2" s="1815"/>
      <c r="PHM2" s="1815"/>
      <c r="PHN2" s="1815"/>
      <c r="PHO2" s="1815"/>
      <c r="PHP2" s="1815"/>
      <c r="PHQ2" s="1815"/>
      <c r="PHR2" s="1815"/>
      <c r="PHS2" s="1815"/>
      <c r="PHT2" s="1815"/>
      <c r="PHU2" s="1815"/>
      <c r="PHV2" s="1815"/>
      <c r="PHW2" s="1815"/>
      <c r="PHX2" s="1815"/>
      <c r="PHY2" s="1815"/>
      <c r="PHZ2" s="1815"/>
      <c r="PIA2" s="1815"/>
      <c r="PIB2" s="1815"/>
      <c r="PIC2" s="1815"/>
      <c r="PID2" s="1815"/>
      <c r="PIE2" s="1815"/>
      <c r="PIF2" s="1815"/>
      <c r="PIG2" s="1815"/>
      <c r="PIH2" s="1815"/>
      <c r="PII2" s="1815"/>
      <c r="PIJ2" s="1815"/>
      <c r="PIK2" s="1815"/>
      <c r="PIL2" s="1815"/>
      <c r="PIM2" s="1815"/>
      <c r="PIN2" s="1815"/>
      <c r="PIO2" s="1815"/>
      <c r="PIP2" s="1815"/>
      <c r="PIQ2" s="1815"/>
      <c r="PIR2" s="1815"/>
      <c r="PIS2" s="1815"/>
      <c r="PIT2" s="1815"/>
      <c r="PIU2" s="1815"/>
      <c r="PIV2" s="1815"/>
      <c r="PIW2" s="1815"/>
      <c r="PIX2" s="1815"/>
      <c r="PIY2" s="1815"/>
      <c r="PIZ2" s="1815"/>
      <c r="PJA2" s="1815"/>
      <c r="PJB2" s="1815"/>
      <c r="PJC2" s="1815"/>
      <c r="PJD2" s="1815"/>
      <c r="PJE2" s="1815"/>
      <c r="PJF2" s="1815"/>
      <c r="PJG2" s="1815"/>
      <c r="PJH2" s="1815"/>
      <c r="PJI2" s="1815"/>
      <c r="PJJ2" s="1815"/>
      <c r="PJK2" s="1815"/>
      <c r="PJL2" s="1815"/>
      <c r="PJM2" s="1815"/>
      <c r="PJN2" s="1815"/>
      <c r="PJO2" s="1815"/>
      <c r="PJP2" s="1815"/>
      <c r="PJQ2" s="1815"/>
      <c r="PJR2" s="1815"/>
      <c r="PJS2" s="1815"/>
      <c r="PJT2" s="1815"/>
      <c r="PJU2" s="1815"/>
      <c r="PJV2" s="1815"/>
      <c r="PJW2" s="1815"/>
      <c r="PJX2" s="1815"/>
      <c r="PJY2" s="1815"/>
      <c r="PJZ2" s="1815"/>
      <c r="PKA2" s="1815"/>
      <c r="PKB2" s="1815"/>
      <c r="PKC2" s="1815"/>
      <c r="PKD2" s="1815"/>
      <c r="PKE2" s="1815"/>
      <c r="PKF2" s="1815"/>
      <c r="PKG2" s="1815"/>
      <c r="PKH2" s="1815"/>
      <c r="PKI2" s="1815"/>
      <c r="PKJ2" s="1815"/>
      <c r="PKK2" s="1815"/>
      <c r="PKL2" s="1815"/>
      <c r="PKM2" s="1815"/>
      <c r="PKN2" s="1815"/>
      <c r="PKO2" s="1815"/>
      <c r="PKP2" s="1815"/>
      <c r="PKQ2" s="1815"/>
      <c r="PKR2" s="1815"/>
      <c r="PKS2" s="1815"/>
      <c r="PKT2" s="1815"/>
      <c r="PKU2" s="1815"/>
      <c r="PKV2" s="1815"/>
      <c r="PKW2" s="1815"/>
      <c r="PKX2" s="1815"/>
      <c r="PKY2" s="1815"/>
      <c r="PKZ2" s="1815"/>
      <c r="PLA2" s="1815"/>
      <c r="PLB2" s="1815"/>
      <c r="PLC2" s="1815"/>
      <c r="PLD2" s="1815"/>
      <c r="PLE2" s="1815"/>
      <c r="PLF2" s="1815"/>
      <c r="PLG2" s="1815"/>
      <c r="PLH2" s="1815"/>
      <c r="PLI2" s="1815"/>
      <c r="PLJ2" s="1815"/>
      <c r="PLK2" s="1815"/>
      <c r="PLL2" s="1815"/>
      <c r="PLM2" s="1815"/>
      <c r="PLN2" s="1815"/>
      <c r="PLO2" s="1815"/>
      <c r="PLP2" s="1815"/>
      <c r="PLQ2" s="1815"/>
      <c r="PLR2" s="1815"/>
      <c r="PLS2" s="1815"/>
      <c r="PLT2" s="1815"/>
      <c r="PLU2" s="1815"/>
      <c r="PLV2" s="1815"/>
      <c r="PLW2" s="1815"/>
      <c r="PLX2" s="1815"/>
      <c r="PLY2" s="1815"/>
      <c r="PLZ2" s="1815"/>
      <c r="PMA2" s="1815"/>
      <c r="PMB2" s="1815"/>
      <c r="PMC2" s="1815"/>
      <c r="PMD2" s="1815"/>
      <c r="PME2" s="1815"/>
      <c r="PMF2" s="1815"/>
      <c r="PMG2" s="1815"/>
      <c r="PMH2" s="1815"/>
      <c r="PMI2" s="1815"/>
      <c r="PMJ2" s="1815"/>
      <c r="PMK2" s="1815"/>
      <c r="PML2" s="1815"/>
      <c r="PMM2" s="1815"/>
      <c r="PMN2" s="1815"/>
      <c r="PMO2" s="1815"/>
      <c r="PMP2" s="1815"/>
      <c r="PMQ2" s="1815"/>
      <c r="PMR2" s="1815"/>
      <c r="PMS2" s="1815"/>
      <c r="PMT2" s="1815"/>
      <c r="PMU2" s="1815"/>
      <c r="PMV2" s="1815"/>
      <c r="PMW2" s="1815"/>
      <c r="PMX2" s="1815"/>
      <c r="PMY2" s="1815"/>
      <c r="PMZ2" s="1815"/>
      <c r="PNA2" s="1815"/>
      <c r="PNB2" s="1815"/>
      <c r="PNC2" s="1815"/>
      <c r="PND2" s="1815"/>
      <c r="PNE2" s="1815"/>
      <c r="PNF2" s="1815"/>
      <c r="PNG2" s="1815"/>
      <c r="PNH2" s="1815"/>
      <c r="PNI2" s="1815"/>
      <c r="PNJ2" s="1815"/>
      <c r="PNK2" s="1815"/>
      <c r="PNL2" s="1815"/>
      <c r="PNM2" s="1815"/>
      <c r="PNN2" s="1815"/>
      <c r="PNO2" s="1815"/>
      <c r="PNP2" s="1815"/>
      <c r="PNQ2" s="1815"/>
      <c r="PNR2" s="1815"/>
      <c r="PNS2" s="1815"/>
      <c r="PNT2" s="1815"/>
      <c r="PNU2" s="1815"/>
      <c r="PNV2" s="1815"/>
      <c r="PNW2" s="1815"/>
      <c r="PNX2" s="1815"/>
      <c r="PNY2" s="1815"/>
      <c r="PNZ2" s="1815"/>
      <c r="POA2" s="1815"/>
      <c r="POB2" s="1815"/>
      <c r="POC2" s="1815"/>
      <c r="POD2" s="1815"/>
      <c r="POE2" s="1815"/>
      <c r="POF2" s="1815"/>
      <c r="POG2" s="1815"/>
      <c r="POH2" s="1815"/>
      <c r="POI2" s="1815"/>
      <c r="POJ2" s="1815"/>
      <c r="POK2" s="1815"/>
      <c r="POL2" s="1815"/>
      <c r="POM2" s="1815"/>
      <c r="PON2" s="1815"/>
      <c r="POO2" s="1815"/>
      <c r="POP2" s="1815"/>
      <c r="POQ2" s="1815"/>
      <c r="POR2" s="1815"/>
      <c r="POS2" s="1815"/>
      <c r="POT2" s="1815"/>
      <c r="POU2" s="1815"/>
      <c r="POV2" s="1815"/>
      <c r="POW2" s="1815"/>
      <c r="POX2" s="1815"/>
      <c r="POY2" s="1815"/>
      <c r="POZ2" s="1815"/>
      <c r="PPA2" s="1815"/>
      <c r="PPB2" s="1815"/>
      <c r="PPC2" s="1815"/>
      <c r="PPD2" s="1815"/>
      <c r="PPE2" s="1815"/>
      <c r="PPF2" s="1815"/>
      <c r="PPG2" s="1815"/>
      <c r="PPH2" s="1815"/>
      <c r="PPI2" s="1815"/>
      <c r="PPJ2" s="1815"/>
      <c r="PPK2" s="1815"/>
      <c r="PPL2" s="1815"/>
      <c r="PPM2" s="1815"/>
      <c r="PPN2" s="1815"/>
      <c r="PPO2" s="1815"/>
      <c r="PPP2" s="1815"/>
      <c r="PPQ2" s="1815"/>
      <c r="PPR2" s="1815"/>
      <c r="PPS2" s="1815"/>
      <c r="PPT2" s="1815"/>
      <c r="PPU2" s="1815"/>
      <c r="PPV2" s="1815"/>
      <c r="PPW2" s="1815"/>
      <c r="PPX2" s="1815"/>
      <c r="PPY2" s="1815"/>
      <c r="PPZ2" s="1815"/>
      <c r="PQA2" s="1815"/>
      <c r="PQB2" s="1815"/>
      <c r="PQC2" s="1815"/>
      <c r="PQD2" s="1815"/>
      <c r="PQE2" s="1815"/>
      <c r="PQF2" s="1815"/>
      <c r="PQG2" s="1815"/>
      <c r="PQH2" s="1815"/>
      <c r="PQI2" s="1815"/>
      <c r="PQJ2" s="1815"/>
      <c r="PQK2" s="1815"/>
      <c r="PQL2" s="1815"/>
      <c r="PQM2" s="1815"/>
      <c r="PQN2" s="1815"/>
      <c r="PQO2" s="1815"/>
      <c r="PQP2" s="1815"/>
      <c r="PQQ2" s="1815"/>
      <c r="PQR2" s="1815"/>
      <c r="PQS2" s="1815"/>
      <c r="PQT2" s="1815"/>
      <c r="PQU2" s="1815"/>
      <c r="PQV2" s="1815"/>
      <c r="PQW2" s="1815"/>
      <c r="PQX2" s="1815"/>
      <c r="PQY2" s="1815"/>
      <c r="PQZ2" s="1815"/>
      <c r="PRA2" s="1815"/>
      <c r="PRB2" s="1815"/>
      <c r="PRC2" s="1815"/>
      <c r="PRD2" s="1815"/>
      <c r="PRE2" s="1815"/>
      <c r="PRF2" s="1815"/>
      <c r="PRG2" s="1815"/>
      <c r="PRH2" s="1815"/>
      <c r="PRI2" s="1815"/>
      <c r="PRJ2" s="1815"/>
      <c r="PRK2" s="1815"/>
      <c r="PRL2" s="1815"/>
      <c r="PRM2" s="1815"/>
      <c r="PRN2" s="1815"/>
      <c r="PRO2" s="1815"/>
      <c r="PRP2" s="1815"/>
      <c r="PRQ2" s="1815"/>
      <c r="PRR2" s="1815"/>
      <c r="PRS2" s="1815"/>
      <c r="PRT2" s="1815"/>
      <c r="PRU2" s="1815"/>
      <c r="PRV2" s="1815"/>
      <c r="PRW2" s="1815"/>
      <c r="PRX2" s="1815"/>
      <c r="PRY2" s="1815"/>
      <c r="PRZ2" s="1815"/>
      <c r="PSA2" s="1815"/>
      <c r="PSB2" s="1815"/>
      <c r="PSC2" s="1815"/>
      <c r="PSD2" s="1815"/>
      <c r="PSE2" s="1815"/>
      <c r="PSF2" s="1815"/>
      <c r="PSG2" s="1815"/>
      <c r="PSH2" s="1815"/>
      <c r="PSI2" s="1815"/>
      <c r="PSJ2" s="1815"/>
      <c r="PSK2" s="1815"/>
      <c r="PSL2" s="1815"/>
      <c r="PSM2" s="1815"/>
      <c r="PSN2" s="1815"/>
      <c r="PSO2" s="1815"/>
      <c r="PSP2" s="1815"/>
      <c r="PSQ2" s="1815"/>
      <c r="PSR2" s="1815"/>
      <c r="PSS2" s="1815"/>
      <c r="PST2" s="1815"/>
      <c r="PSU2" s="1815"/>
      <c r="PSV2" s="1815"/>
      <c r="PSW2" s="1815"/>
      <c r="PSX2" s="1815"/>
      <c r="PSY2" s="1815"/>
      <c r="PSZ2" s="1815"/>
      <c r="PTA2" s="1815"/>
      <c r="PTB2" s="1815"/>
      <c r="PTC2" s="1815"/>
      <c r="PTD2" s="1815"/>
      <c r="PTE2" s="1815"/>
      <c r="PTF2" s="1815"/>
      <c r="PTG2" s="1815"/>
      <c r="PTH2" s="1815"/>
      <c r="PTI2" s="1815"/>
      <c r="PTJ2" s="1815"/>
      <c r="PTK2" s="1815"/>
      <c r="PTL2" s="1815"/>
      <c r="PTM2" s="1815"/>
      <c r="PTN2" s="1815"/>
      <c r="PTO2" s="1815"/>
      <c r="PTP2" s="1815"/>
      <c r="PTQ2" s="1815"/>
      <c r="PTR2" s="1815"/>
      <c r="PTS2" s="1815"/>
      <c r="PTT2" s="1815"/>
      <c r="PTU2" s="1815"/>
      <c r="PTV2" s="1815"/>
      <c r="PTW2" s="1815"/>
      <c r="PTX2" s="1815"/>
      <c r="PTY2" s="1815"/>
      <c r="PTZ2" s="1815"/>
      <c r="PUA2" s="1815"/>
      <c r="PUB2" s="1815"/>
      <c r="PUC2" s="1815"/>
      <c r="PUD2" s="1815"/>
      <c r="PUE2" s="1815"/>
      <c r="PUF2" s="1815"/>
      <c r="PUG2" s="1815"/>
      <c r="PUH2" s="1815"/>
      <c r="PUI2" s="1815"/>
      <c r="PUJ2" s="1815"/>
      <c r="PUK2" s="1815"/>
      <c r="PUL2" s="1815"/>
      <c r="PUM2" s="1815"/>
      <c r="PUN2" s="1815"/>
      <c r="PUO2" s="1815"/>
      <c r="PUP2" s="1815"/>
      <c r="PUQ2" s="1815"/>
      <c r="PUR2" s="1815"/>
      <c r="PUS2" s="1815"/>
      <c r="PUT2" s="1815"/>
      <c r="PUU2" s="1815"/>
      <c r="PUV2" s="1815"/>
      <c r="PUW2" s="1815"/>
      <c r="PUX2" s="1815"/>
      <c r="PUY2" s="1815"/>
      <c r="PUZ2" s="1815"/>
      <c r="PVA2" s="1815"/>
      <c r="PVB2" s="1815"/>
      <c r="PVC2" s="1815"/>
      <c r="PVD2" s="1815"/>
      <c r="PVE2" s="1815"/>
      <c r="PVF2" s="1815"/>
      <c r="PVG2" s="1815"/>
      <c r="PVH2" s="1815"/>
      <c r="PVI2" s="1815"/>
      <c r="PVJ2" s="1815"/>
      <c r="PVK2" s="1815"/>
      <c r="PVL2" s="1815"/>
      <c r="PVM2" s="1815"/>
      <c r="PVN2" s="1815"/>
      <c r="PVO2" s="1815"/>
      <c r="PVP2" s="1815"/>
      <c r="PVQ2" s="1815"/>
      <c r="PVR2" s="1815"/>
      <c r="PVS2" s="1815"/>
      <c r="PVT2" s="1815"/>
      <c r="PVU2" s="1815"/>
      <c r="PVV2" s="1815"/>
      <c r="PVW2" s="1815"/>
      <c r="PVX2" s="1815"/>
      <c r="PVY2" s="1815"/>
      <c r="PVZ2" s="1815"/>
      <c r="PWA2" s="1815"/>
      <c r="PWB2" s="1815"/>
      <c r="PWC2" s="1815"/>
      <c r="PWD2" s="1815"/>
      <c r="PWE2" s="1815"/>
      <c r="PWF2" s="1815"/>
      <c r="PWG2" s="1815"/>
      <c r="PWH2" s="1815"/>
      <c r="PWI2" s="1815"/>
      <c r="PWJ2" s="1815"/>
      <c r="PWK2" s="1815"/>
      <c r="PWL2" s="1815"/>
      <c r="PWM2" s="1815"/>
      <c r="PWN2" s="1815"/>
      <c r="PWO2" s="1815"/>
      <c r="PWP2" s="1815"/>
      <c r="PWQ2" s="1815"/>
      <c r="PWR2" s="1815"/>
      <c r="PWS2" s="1815"/>
      <c r="PWT2" s="1815"/>
      <c r="PWU2" s="1815"/>
      <c r="PWV2" s="1815"/>
      <c r="PWW2" s="1815"/>
      <c r="PWX2" s="1815"/>
      <c r="PWY2" s="1815"/>
      <c r="PWZ2" s="1815"/>
      <c r="PXA2" s="1815"/>
      <c r="PXB2" s="1815"/>
      <c r="PXC2" s="1815"/>
      <c r="PXD2" s="1815"/>
      <c r="PXE2" s="1815"/>
      <c r="PXF2" s="1815"/>
      <c r="PXG2" s="1815"/>
      <c r="PXH2" s="1815"/>
      <c r="PXI2" s="1815"/>
      <c r="PXJ2" s="1815"/>
      <c r="PXK2" s="1815"/>
      <c r="PXL2" s="1815"/>
      <c r="PXM2" s="1815"/>
      <c r="PXN2" s="1815"/>
      <c r="PXO2" s="1815"/>
      <c r="PXP2" s="1815"/>
      <c r="PXQ2" s="1815"/>
      <c r="PXR2" s="1815"/>
      <c r="PXS2" s="1815"/>
      <c r="PXT2" s="1815"/>
      <c r="PXU2" s="1815"/>
      <c r="PXV2" s="1815"/>
      <c r="PXW2" s="1815"/>
      <c r="PXX2" s="1815"/>
      <c r="PXY2" s="1815"/>
      <c r="PXZ2" s="1815"/>
      <c r="PYA2" s="1815"/>
      <c r="PYB2" s="1815"/>
      <c r="PYC2" s="1815"/>
      <c r="PYD2" s="1815"/>
      <c r="PYE2" s="1815"/>
      <c r="PYF2" s="1815"/>
      <c r="PYG2" s="1815"/>
      <c r="PYH2" s="1815"/>
      <c r="PYI2" s="1815"/>
      <c r="PYJ2" s="1815"/>
      <c r="PYK2" s="1815"/>
      <c r="PYL2" s="1815"/>
      <c r="PYM2" s="1815"/>
      <c r="PYN2" s="1815"/>
      <c r="PYO2" s="1815"/>
      <c r="PYP2" s="1815"/>
      <c r="PYQ2" s="1815"/>
      <c r="PYR2" s="1815"/>
      <c r="PYS2" s="1815"/>
      <c r="PYT2" s="1815"/>
      <c r="PYU2" s="1815"/>
      <c r="PYV2" s="1815"/>
      <c r="PYW2" s="1815"/>
      <c r="PYX2" s="1815"/>
      <c r="PYY2" s="1815"/>
      <c r="PYZ2" s="1815"/>
      <c r="PZA2" s="1815"/>
      <c r="PZB2" s="1815"/>
      <c r="PZC2" s="1815"/>
      <c r="PZD2" s="1815"/>
      <c r="PZE2" s="1815"/>
      <c r="PZF2" s="1815"/>
      <c r="PZG2" s="1815"/>
      <c r="PZH2" s="1815"/>
      <c r="PZI2" s="1815"/>
      <c r="PZJ2" s="1815"/>
      <c r="PZK2" s="1815"/>
      <c r="PZL2" s="1815"/>
      <c r="PZM2" s="1815"/>
      <c r="PZN2" s="1815"/>
      <c r="PZO2" s="1815"/>
      <c r="PZP2" s="1815"/>
      <c r="PZQ2" s="1815"/>
      <c r="PZR2" s="1815"/>
      <c r="PZS2" s="1815"/>
      <c r="PZT2" s="1815"/>
      <c r="PZU2" s="1815"/>
      <c r="PZV2" s="1815"/>
      <c r="PZW2" s="1815"/>
      <c r="PZX2" s="1815"/>
      <c r="PZY2" s="1815"/>
      <c r="PZZ2" s="1815"/>
      <c r="QAA2" s="1815"/>
      <c r="QAB2" s="1815"/>
      <c r="QAC2" s="1815"/>
      <c r="QAD2" s="1815"/>
      <c r="QAE2" s="1815"/>
      <c r="QAF2" s="1815"/>
      <c r="QAG2" s="1815"/>
      <c r="QAH2" s="1815"/>
      <c r="QAI2" s="1815"/>
      <c r="QAJ2" s="1815"/>
      <c r="QAK2" s="1815"/>
      <c r="QAL2" s="1815"/>
      <c r="QAM2" s="1815"/>
      <c r="QAN2" s="1815"/>
      <c r="QAO2" s="1815"/>
      <c r="QAP2" s="1815"/>
      <c r="QAQ2" s="1815"/>
      <c r="QAR2" s="1815"/>
      <c r="QAS2" s="1815"/>
      <c r="QAT2" s="1815"/>
      <c r="QAU2" s="1815"/>
      <c r="QAV2" s="1815"/>
      <c r="QAW2" s="1815"/>
      <c r="QAX2" s="1815"/>
      <c r="QAY2" s="1815"/>
      <c r="QAZ2" s="1815"/>
      <c r="QBA2" s="1815"/>
      <c r="QBB2" s="1815"/>
      <c r="QBC2" s="1815"/>
      <c r="QBD2" s="1815"/>
      <c r="QBE2" s="1815"/>
      <c r="QBF2" s="1815"/>
      <c r="QBG2" s="1815"/>
      <c r="QBH2" s="1815"/>
      <c r="QBI2" s="1815"/>
      <c r="QBJ2" s="1815"/>
      <c r="QBK2" s="1815"/>
      <c r="QBL2" s="1815"/>
      <c r="QBM2" s="1815"/>
      <c r="QBN2" s="1815"/>
      <c r="QBO2" s="1815"/>
      <c r="QBP2" s="1815"/>
      <c r="QBQ2" s="1815"/>
      <c r="QBR2" s="1815"/>
      <c r="QBS2" s="1815"/>
      <c r="QBT2" s="1815"/>
      <c r="QBU2" s="1815"/>
      <c r="QBV2" s="1815"/>
      <c r="QBW2" s="1815"/>
      <c r="QBX2" s="1815"/>
      <c r="QBY2" s="1815"/>
      <c r="QBZ2" s="1815"/>
      <c r="QCA2" s="1815"/>
      <c r="QCB2" s="1815"/>
      <c r="QCC2" s="1815"/>
      <c r="QCD2" s="1815"/>
      <c r="QCE2" s="1815"/>
      <c r="QCF2" s="1815"/>
      <c r="QCG2" s="1815"/>
      <c r="QCH2" s="1815"/>
      <c r="QCI2" s="1815"/>
      <c r="QCJ2" s="1815"/>
      <c r="QCK2" s="1815"/>
      <c r="QCL2" s="1815"/>
      <c r="QCM2" s="1815"/>
      <c r="QCN2" s="1815"/>
      <c r="QCO2" s="1815"/>
      <c r="QCP2" s="1815"/>
      <c r="QCQ2" s="1815"/>
      <c r="QCR2" s="1815"/>
      <c r="QCS2" s="1815"/>
      <c r="QCT2" s="1815"/>
      <c r="QCU2" s="1815"/>
      <c r="QCV2" s="1815"/>
      <c r="QCW2" s="1815"/>
      <c r="QCX2" s="1815"/>
      <c r="QCY2" s="1815"/>
      <c r="QCZ2" s="1815"/>
      <c r="QDA2" s="1815"/>
      <c r="QDB2" s="1815"/>
      <c r="QDC2" s="1815"/>
      <c r="QDD2" s="1815"/>
      <c r="QDE2" s="1815"/>
      <c r="QDF2" s="1815"/>
      <c r="QDG2" s="1815"/>
      <c r="QDH2" s="1815"/>
      <c r="QDI2" s="1815"/>
      <c r="QDJ2" s="1815"/>
      <c r="QDK2" s="1815"/>
      <c r="QDL2" s="1815"/>
      <c r="QDM2" s="1815"/>
      <c r="QDN2" s="1815"/>
      <c r="QDO2" s="1815"/>
      <c r="QDP2" s="1815"/>
      <c r="QDQ2" s="1815"/>
      <c r="QDR2" s="1815"/>
      <c r="QDS2" s="1815"/>
      <c r="QDT2" s="1815"/>
      <c r="QDU2" s="1815"/>
      <c r="QDV2" s="1815"/>
      <c r="QDW2" s="1815"/>
      <c r="QDX2" s="1815"/>
      <c r="QDY2" s="1815"/>
      <c r="QDZ2" s="1815"/>
      <c r="QEA2" s="1815"/>
      <c r="QEB2" s="1815"/>
      <c r="QEC2" s="1815"/>
      <c r="QED2" s="1815"/>
      <c r="QEE2" s="1815"/>
      <c r="QEF2" s="1815"/>
      <c r="QEG2" s="1815"/>
      <c r="QEH2" s="1815"/>
      <c r="QEI2" s="1815"/>
      <c r="QEJ2" s="1815"/>
      <c r="QEK2" s="1815"/>
      <c r="QEL2" s="1815"/>
      <c r="QEM2" s="1815"/>
      <c r="QEN2" s="1815"/>
      <c r="QEO2" s="1815"/>
      <c r="QEP2" s="1815"/>
      <c r="QEQ2" s="1815"/>
      <c r="QER2" s="1815"/>
      <c r="QES2" s="1815"/>
      <c r="QET2" s="1815"/>
      <c r="QEU2" s="1815"/>
      <c r="QEV2" s="1815"/>
      <c r="QEW2" s="1815"/>
      <c r="QEX2" s="1815"/>
      <c r="QEY2" s="1815"/>
      <c r="QEZ2" s="1815"/>
      <c r="QFA2" s="1815"/>
      <c r="QFB2" s="1815"/>
      <c r="QFC2" s="1815"/>
      <c r="QFD2" s="1815"/>
      <c r="QFE2" s="1815"/>
      <c r="QFF2" s="1815"/>
      <c r="QFG2" s="1815"/>
      <c r="QFH2" s="1815"/>
      <c r="QFI2" s="1815"/>
      <c r="QFJ2" s="1815"/>
      <c r="QFK2" s="1815"/>
      <c r="QFL2" s="1815"/>
      <c r="QFM2" s="1815"/>
      <c r="QFN2" s="1815"/>
      <c r="QFO2" s="1815"/>
      <c r="QFP2" s="1815"/>
      <c r="QFQ2" s="1815"/>
      <c r="QFR2" s="1815"/>
      <c r="QFS2" s="1815"/>
      <c r="QFT2" s="1815"/>
      <c r="QFU2" s="1815"/>
      <c r="QFV2" s="1815"/>
      <c r="QFW2" s="1815"/>
      <c r="QFX2" s="1815"/>
      <c r="QFY2" s="1815"/>
      <c r="QFZ2" s="1815"/>
      <c r="QGA2" s="1815"/>
      <c r="QGB2" s="1815"/>
      <c r="QGC2" s="1815"/>
      <c r="QGD2" s="1815"/>
      <c r="QGE2" s="1815"/>
      <c r="QGF2" s="1815"/>
      <c r="QGG2" s="1815"/>
      <c r="QGH2" s="1815"/>
      <c r="QGI2" s="1815"/>
      <c r="QGJ2" s="1815"/>
      <c r="QGK2" s="1815"/>
      <c r="QGL2" s="1815"/>
      <c r="QGM2" s="1815"/>
      <c r="QGN2" s="1815"/>
      <c r="QGO2" s="1815"/>
      <c r="QGP2" s="1815"/>
      <c r="QGQ2" s="1815"/>
      <c r="QGR2" s="1815"/>
      <c r="QGS2" s="1815"/>
      <c r="QGT2" s="1815"/>
      <c r="QGU2" s="1815"/>
      <c r="QGV2" s="1815"/>
      <c r="QGW2" s="1815"/>
      <c r="QGX2" s="1815"/>
      <c r="QGY2" s="1815"/>
      <c r="QGZ2" s="1815"/>
      <c r="QHA2" s="1815"/>
      <c r="QHB2" s="1815"/>
      <c r="QHC2" s="1815"/>
      <c r="QHD2" s="1815"/>
      <c r="QHE2" s="1815"/>
      <c r="QHF2" s="1815"/>
      <c r="QHG2" s="1815"/>
      <c r="QHH2" s="1815"/>
      <c r="QHI2" s="1815"/>
      <c r="QHJ2" s="1815"/>
      <c r="QHK2" s="1815"/>
      <c r="QHL2" s="1815"/>
      <c r="QHM2" s="1815"/>
      <c r="QHN2" s="1815"/>
      <c r="QHO2" s="1815"/>
      <c r="QHP2" s="1815"/>
      <c r="QHQ2" s="1815"/>
      <c r="QHR2" s="1815"/>
      <c r="QHS2" s="1815"/>
      <c r="QHT2" s="1815"/>
      <c r="QHU2" s="1815"/>
      <c r="QHV2" s="1815"/>
      <c r="QHW2" s="1815"/>
      <c r="QHX2" s="1815"/>
      <c r="QHY2" s="1815"/>
      <c r="QHZ2" s="1815"/>
      <c r="QIA2" s="1815"/>
      <c r="QIB2" s="1815"/>
      <c r="QIC2" s="1815"/>
      <c r="QID2" s="1815"/>
      <c r="QIE2" s="1815"/>
      <c r="QIF2" s="1815"/>
      <c r="QIG2" s="1815"/>
      <c r="QIH2" s="1815"/>
      <c r="QII2" s="1815"/>
      <c r="QIJ2" s="1815"/>
      <c r="QIK2" s="1815"/>
      <c r="QIL2" s="1815"/>
      <c r="QIM2" s="1815"/>
      <c r="QIN2" s="1815"/>
      <c r="QIO2" s="1815"/>
      <c r="QIP2" s="1815"/>
      <c r="QIQ2" s="1815"/>
      <c r="QIR2" s="1815"/>
      <c r="QIS2" s="1815"/>
      <c r="QIT2" s="1815"/>
      <c r="QIU2" s="1815"/>
      <c r="QIV2" s="1815"/>
      <c r="QIW2" s="1815"/>
      <c r="QIX2" s="1815"/>
      <c r="QIY2" s="1815"/>
      <c r="QIZ2" s="1815"/>
      <c r="QJA2" s="1815"/>
      <c r="QJB2" s="1815"/>
      <c r="QJC2" s="1815"/>
      <c r="QJD2" s="1815"/>
      <c r="QJE2" s="1815"/>
      <c r="QJF2" s="1815"/>
      <c r="QJG2" s="1815"/>
      <c r="QJH2" s="1815"/>
      <c r="QJI2" s="1815"/>
      <c r="QJJ2" s="1815"/>
      <c r="QJK2" s="1815"/>
      <c r="QJL2" s="1815"/>
      <c r="QJM2" s="1815"/>
      <c r="QJN2" s="1815"/>
      <c r="QJO2" s="1815"/>
      <c r="QJP2" s="1815"/>
      <c r="QJQ2" s="1815"/>
      <c r="QJR2" s="1815"/>
      <c r="QJS2" s="1815"/>
      <c r="QJT2" s="1815"/>
      <c r="QJU2" s="1815"/>
      <c r="QJV2" s="1815"/>
      <c r="QJW2" s="1815"/>
      <c r="QJX2" s="1815"/>
      <c r="QJY2" s="1815"/>
      <c r="QJZ2" s="1815"/>
      <c r="QKA2" s="1815"/>
      <c r="QKB2" s="1815"/>
      <c r="QKC2" s="1815"/>
      <c r="QKD2" s="1815"/>
      <c r="QKE2" s="1815"/>
      <c r="QKF2" s="1815"/>
      <c r="QKG2" s="1815"/>
      <c r="QKH2" s="1815"/>
      <c r="QKI2" s="1815"/>
      <c r="QKJ2" s="1815"/>
      <c r="QKK2" s="1815"/>
      <c r="QKL2" s="1815"/>
      <c r="QKM2" s="1815"/>
      <c r="QKN2" s="1815"/>
      <c r="QKO2" s="1815"/>
      <c r="QKP2" s="1815"/>
      <c r="QKQ2" s="1815"/>
      <c r="QKR2" s="1815"/>
      <c r="QKS2" s="1815"/>
      <c r="QKT2" s="1815"/>
      <c r="QKU2" s="1815"/>
      <c r="QKV2" s="1815"/>
      <c r="QKW2" s="1815"/>
      <c r="QKX2" s="1815"/>
      <c r="QKY2" s="1815"/>
      <c r="QKZ2" s="1815"/>
      <c r="QLA2" s="1815"/>
      <c r="QLB2" s="1815"/>
      <c r="QLC2" s="1815"/>
      <c r="QLD2" s="1815"/>
      <c r="QLE2" s="1815"/>
      <c r="QLF2" s="1815"/>
      <c r="QLG2" s="1815"/>
      <c r="QLH2" s="1815"/>
      <c r="QLI2" s="1815"/>
      <c r="QLJ2" s="1815"/>
      <c r="QLK2" s="1815"/>
      <c r="QLL2" s="1815"/>
      <c r="QLM2" s="1815"/>
      <c r="QLN2" s="1815"/>
      <c r="QLO2" s="1815"/>
      <c r="QLP2" s="1815"/>
      <c r="QLQ2" s="1815"/>
      <c r="QLR2" s="1815"/>
      <c r="QLS2" s="1815"/>
      <c r="QLT2" s="1815"/>
      <c r="QLU2" s="1815"/>
      <c r="QLV2" s="1815"/>
      <c r="QLW2" s="1815"/>
      <c r="QLX2" s="1815"/>
      <c r="QLY2" s="1815"/>
      <c r="QLZ2" s="1815"/>
      <c r="QMA2" s="1815"/>
      <c r="QMB2" s="1815"/>
      <c r="QMC2" s="1815"/>
      <c r="QMD2" s="1815"/>
      <c r="QME2" s="1815"/>
      <c r="QMF2" s="1815"/>
      <c r="QMG2" s="1815"/>
      <c r="QMH2" s="1815"/>
      <c r="QMI2" s="1815"/>
      <c r="QMJ2" s="1815"/>
      <c r="QMK2" s="1815"/>
      <c r="QML2" s="1815"/>
      <c r="QMM2" s="1815"/>
      <c r="QMN2" s="1815"/>
      <c r="QMO2" s="1815"/>
      <c r="QMP2" s="1815"/>
      <c r="QMQ2" s="1815"/>
      <c r="QMR2" s="1815"/>
      <c r="QMS2" s="1815"/>
      <c r="QMT2" s="1815"/>
      <c r="QMU2" s="1815"/>
      <c r="QMV2" s="1815"/>
      <c r="QMW2" s="1815"/>
      <c r="QMX2" s="1815"/>
      <c r="QMY2" s="1815"/>
      <c r="QMZ2" s="1815"/>
      <c r="QNA2" s="1815"/>
      <c r="QNB2" s="1815"/>
      <c r="QNC2" s="1815"/>
      <c r="QND2" s="1815"/>
      <c r="QNE2" s="1815"/>
      <c r="QNF2" s="1815"/>
      <c r="QNG2" s="1815"/>
      <c r="QNH2" s="1815"/>
      <c r="QNI2" s="1815"/>
      <c r="QNJ2" s="1815"/>
      <c r="QNK2" s="1815"/>
      <c r="QNL2" s="1815"/>
      <c r="QNM2" s="1815"/>
      <c r="QNN2" s="1815"/>
      <c r="QNO2" s="1815"/>
      <c r="QNP2" s="1815"/>
      <c r="QNQ2" s="1815"/>
      <c r="QNR2" s="1815"/>
      <c r="QNS2" s="1815"/>
      <c r="QNT2" s="1815"/>
      <c r="QNU2" s="1815"/>
      <c r="QNV2" s="1815"/>
      <c r="QNW2" s="1815"/>
      <c r="QNX2" s="1815"/>
      <c r="QNY2" s="1815"/>
      <c r="QNZ2" s="1815"/>
      <c r="QOA2" s="1815"/>
      <c r="QOB2" s="1815"/>
      <c r="QOC2" s="1815"/>
      <c r="QOD2" s="1815"/>
      <c r="QOE2" s="1815"/>
      <c r="QOF2" s="1815"/>
      <c r="QOG2" s="1815"/>
      <c r="QOH2" s="1815"/>
      <c r="QOI2" s="1815"/>
      <c r="QOJ2" s="1815"/>
      <c r="QOK2" s="1815"/>
      <c r="QOL2" s="1815"/>
      <c r="QOM2" s="1815"/>
      <c r="QON2" s="1815"/>
      <c r="QOO2" s="1815"/>
      <c r="QOP2" s="1815"/>
      <c r="QOQ2" s="1815"/>
      <c r="QOR2" s="1815"/>
      <c r="QOS2" s="1815"/>
      <c r="QOT2" s="1815"/>
      <c r="QOU2" s="1815"/>
      <c r="QOV2" s="1815"/>
      <c r="QOW2" s="1815"/>
      <c r="QOX2" s="1815"/>
      <c r="QOY2" s="1815"/>
      <c r="QOZ2" s="1815"/>
      <c r="QPA2" s="1815"/>
      <c r="QPB2" s="1815"/>
      <c r="QPC2" s="1815"/>
      <c r="QPD2" s="1815"/>
      <c r="QPE2" s="1815"/>
      <c r="QPF2" s="1815"/>
      <c r="QPG2" s="1815"/>
      <c r="QPH2" s="1815"/>
      <c r="QPI2" s="1815"/>
      <c r="QPJ2" s="1815"/>
      <c r="QPK2" s="1815"/>
      <c r="QPL2" s="1815"/>
      <c r="QPM2" s="1815"/>
      <c r="QPN2" s="1815"/>
      <c r="QPO2" s="1815"/>
      <c r="QPP2" s="1815"/>
      <c r="QPQ2" s="1815"/>
      <c r="QPR2" s="1815"/>
      <c r="QPS2" s="1815"/>
      <c r="QPT2" s="1815"/>
      <c r="QPU2" s="1815"/>
      <c r="QPV2" s="1815"/>
      <c r="QPW2" s="1815"/>
      <c r="QPX2" s="1815"/>
      <c r="QPY2" s="1815"/>
      <c r="QPZ2" s="1815"/>
      <c r="QQA2" s="1815"/>
      <c r="QQB2" s="1815"/>
      <c r="QQC2" s="1815"/>
      <c r="QQD2" s="1815"/>
      <c r="QQE2" s="1815"/>
      <c r="QQF2" s="1815"/>
      <c r="QQG2" s="1815"/>
      <c r="QQH2" s="1815"/>
      <c r="QQI2" s="1815"/>
      <c r="QQJ2" s="1815"/>
      <c r="QQK2" s="1815"/>
      <c r="QQL2" s="1815"/>
      <c r="QQM2" s="1815"/>
      <c r="QQN2" s="1815"/>
      <c r="QQO2" s="1815"/>
      <c r="QQP2" s="1815"/>
      <c r="QQQ2" s="1815"/>
      <c r="QQR2" s="1815"/>
      <c r="QQS2" s="1815"/>
      <c r="QQT2" s="1815"/>
      <c r="QQU2" s="1815"/>
      <c r="QQV2" s="1815"/>
      <c r="QQW2" s="1815"/>
      <c r="QQX2" s="1815"/>
      <c r="QQY2" s="1815"/>
      <c r="QQZ2" s="1815"/>
      <c r="QRA2" s="1815"/>
      <c r="QRB2" s="1815"/>
      <c r="QRC2" s="1815"/>
      <c r="QRD2" s="1815"/>
      <c r="QRE2" s="1815"/>
      <c r="QRF2" s="1815"/>
      <c r="QRG2" s="1815"/>
      <c r="QRH2" s="1815"/>
      <c r="QRI2" s="1815"/>
      <c r="QRJ2" s="1815"/>
      <c r="QRK2" s="1815"/>
      <c r="QRL2" s="1815"/>
      <c r="QRM2" s="1815"/>
      <c r="QRN2" s="1815"/>
      <c r="QRO2" s="1815"/>
      <c r="QRP2" s="1815"/>
      <c r="QRQ2" s="1815"/>
      <c r="QRR2" s="1815"/>
      <c r="QRS2" s="1815"/>
      <c r="QRT2" s="1815"/>
      <c r="QRU2" s="1815"/>
      <c r="QRV2" s="1815"/>
      <c r="QRW2" s="1815"/>
      <c r="QRX2" s="1815"/>
      <c r="QRY2" s="1815"/>
      <c r="QRZ2" s="1815"/>
      <c r="QSA2" s="1815"/>
      <c r="QSB2" s="1815"/>
      <c r="QSC2" s="1815"/>
      <c r="QSD2" s="1815"/>
      <c r="QSE2" s="1815"/>
      <c r="QSF2" s="1815"/>
      <c r="QSG2" s="1815"/>
      <c r="QSH2" s="1815"/>
      <c r="QSI2" s="1815"/>
      <c r="QSJ2" s="1815"/>
      <c r="QSK2" s="1815"/>
      <c r="QSL2" s="1815"/>
      <c r="QSM2" s="1815"/>
      <c r="QSN2" s="1815"/>
      <c r="QSO2" s="1815"/>
      <c r="QSP2" s="1815"/>
      <c r="QSQ2" s="1815"/>
      <c r="QSR2" s="1815"/>
      <c r="QSS2" s="1815"/>
      <c r="QST2" s="1815"/>
      <c r="QSU2" s="1815"/>
      <c r="QSV2" s="1815"/>
      <c r="QSW2" s="1815"/>
      <c r="QSX2" s="1815"/>
      <c r="QSY2" s="1815"/>
      <c r="QSZ2" s="1815"/>
      <c r="QTA2" s="1815"/>
      <c r="QTB2" s="1815"/>
      <c r="QTC2" s="1815"/>
      <c r="QTD2" s="1815"/>
      <c r="QTE2" s="1815"/>
      <c r="QTF2" s="1815"/>
      <c r="QTG2" s="1815"/>
      <c r="QTH2" s="1815"/>
      <c r="QTI2" s="1815"/>
      <c r="QTJ2" s="1815"/>
      <c r="QTK2" s="1815"/>
      <c r="QTL2" s="1815"/>
      <c r="QTM2" s="1815"/>
      <c r="QTN2" s="1815"/>
      <c r="QTO2" s="1815"/>
      <c r="QTP2" s="1815"/>
      <c r="QTQ2" s="1815"/>
      <c r="QTR2" s="1815"/>
      <c r="QTS2" s="1815"/>
      <c r="QTT2" s="1815"/>
      <c r="QTU2" s="1815"/>
      <c r="QTV2" s="1815"/>
      <c r="QTW2" s="1815"/>
      <c r="QTX2" s="1815"/>
      <c r="QTY2" s="1815"/>
      <c r="QTZ2" s="1815"/>
      <c r="QUA2" s="1815"/>
      <c r="QUB2" s="1815"/>
      <c r="QUC2" s="1815"/>
      <c r="QUD2" s="1815"/>
      <c r="QUE2" s="1815"/>
      <c r="QUF2" s="1815"/>
      <c r="QUG2" s="1815"/>
      <c r="QUH2" s="1815"/>
      <c r="QUI2" s="1815"/>
      <c r="QUJ2" s="1815"/>
      <c r="QUK2" s="1815"/>
      <c r="QUL2" s="1815"/>
      <c r="QUM2" s="1815"/>
      <c r="QUN2" s="1815"/>
      <c r="QUO2" s="1815"/>
      <c r="QUP2" s="1815"/>
      <c r="QUQ2" s="1815"/>
      <c r="QUR2" s="1815"/>
      <c r="QUS2" s="1815"/>
      <c r="QUT2" s="1815"/>
      <c r="QUU2" s="1815"/>
      <c r="QUV2" s="1815"/>
      <c r="QUW2" s="1815"/>
      <c r="QUX2" s="1815"/>
      <c r="QUY2" s="1815"/>
      <c r="QUZ2" s="1815"/>
      <c r="QVA2" s="1815"/>
      <c r="QVB2" s="1815"/>
      <c r="QVC2" s="1815"/>
      <c r="QVD2" s="1815"/>
      <c r="QVE2" s="1815"/>
      <c r="QVF2" s="1815"/>
      <c r="QVG2" s="1815"/>
      <c r="QVH2" s="1815"/>
      <c r="QVI2" s="1815"/>
      <c r="QVJ2" s="1815"/>
      <c r="QVK2" s="1815"/>
      <c r="QVL2" s="1815"/>
      <c r="QVM2" s="1815"/>
      <c r="QVN2" s="1815"/>
      <c r="QVO2" s="1815"/>
      <c r="QVP2" s="1815"/>
      <c r="QVQ2" s="1815"/>
      <c r="QVR2" s="1815"/>
      <c r="QVS2" s="1815"/>
      <c r="QVT2" s="1815"/>
      <c r="QVU2" s="1815"/>
      <c r="QVV2" s="1815"/>
      <c r="QVW2" s="1815"/>
      <c r="QVX2" s="1815"/>
      <c r="QVY2" s="1815"/>
      <c r="QVZ2" s="1815"/>
      <c r="QWA2" s="1815"/>
      <c r="QWB2" s="1815"/>
      <c r="QWC2" s="1815"/>
      <c r="QWD2" s="1815"/>
      <c r="QWE2" s="1815"/>
      <c r="QWF2" s="1815"/>
      <c r="QWG2" s="1815"/>
      <c r="QWH2" s="1815"/>
      <c r="QWI2" s="1815"/>
      <c r="QWJ2" s="1815"/>
      <c r="QWK2" s="1815"/>
      <c r="QWL2" s="1815"/>
      <c r="QWM2" s="1815"/>
      <c r="QWN2" s="1815"/>
      <c r="QWO2" s="1815"/>
      <c r="QWP2" s="1815"/>
      <c r="QWQ2" s="1815"/>
      <c r="QWR2" s="1815"/>
      <c r="QWS2" s="1815"/>
      <c r="QWT2" s="1815"/>
      <c r="QWU2" s="1815"/>
      <c r="QWV2" s="1815"/>
      <c r="QWW2" s="1815"/>
      <c r="QWX2" s="1815"/>
      <c r="QWY2" s="1815"/>
      <c r="QWZ2" s="1815"/>
      <c r="QXA2" s="1815"/>
      <c r="QXB2" s="1815"/>
      <c r="QXC2" s="1815"/>
      <c r="QXD2" s="1815"/>
      <c r="QXE2" s="1815"/>
      <c r="QXF2" s="1815"/>
      <c r="QXG2" s="1815"/>
      <c r="QXH2" s="1815"/>
      <c r="QXI2" s="1815"/>
      <c r="QXJ2" s="1815"/>
      <c r="QXK2" s="1815"/>
      <c r="QXL2" s="1815"/>
      <c r="QXM2" s="1815"/>
      <c r="QXN2" s="1815"/>
      <c r="QXO2" s="1815"/>
      <c r="QXP2" s="1815"/>
      <c r="QXQ2" s="1815"/>
      <c r="QXR2" s="1815"/>
      <c r="QXS2" s="1815"/>
      <c r="QXT2" s="1815"/>
      <c r="QXU2" s="1815"/>
      <c r="QXV2" s="1815"/>
      <c r="QXW2" s="1815"/>
      <c r="QXX2" s="1815"/>
      <c r="QXY2" s="1815"/>
      <c r="QXZ2" s="1815"/>
      <c r="QYA2" s="1815"/>
      <c r="QYB2" s="1815"/>
      <c r="QYC2" s="1815"/>
      <c r="QYD2" s="1815"/>
      <c r="QYE2" s="1815"/>
      <c r="QYF2" s="1815"/>
      <c r="QYG2" s="1815"/>
      <c r="QYH2" s="1815"/>
      <c r="QYI2" s="1815"/>
      <c r="QYJ2" s="1815"/>
      <c r="QYK2" s="1815"/>
      <c r="QYL2" s="1815"/>
      <c r="QYM2" s="1815"/>
      <c r="QYN2" s="1815"/>
      <c r="QYO2" s="1815"/>
      <c r="QYP2" s="1815"/>
      <c r="QYQ2" s="1815"/>
      <c r="QYR2" s="1815"/>
      <c r="QYS2" s="1815"/>
      <c r="QYT2" s="1815"/>
      <c r="QYU2" s="1815"/>
      <c r="QYV2" s="1815"/>
      <c r="QYW2" s="1815"/>
      <c r="QYX2" s="1815"/>
      <c r="QYY2" s="1815"/>
      <c r="QYZ2" s="1815"/>
      <c r="QZA2" s="1815"/>
      <c r="QZB2" s="1815"/>
      <c r="QZC2" s="1815"/>
      <c r="QZD2" s="1815"/>
      <c r="QZE2" s="1815"/>
      <c r="QZF2" s="1815"/>
      <c r="QZG2" s="1815"/>
      <c r="QZH2" s="1815"/>
      <c r="QZI2" s="1815"/>
      <c r="QZJ2" s="1815"/>
      <c r="QZK2" s="1815"/>
      <c r="QZL2" s="1815"/>
      <c r="QZM2" s="1815"/>
      <c r="QZN2" s="1815"/>
      <c r="QZO2" s="1815"/>
      <c r="QZP2" s="1815"/>
      <c r="QZQ2" s="1815"/>
      <c r="QZR2" s="1815"/>
      <c r="QZS2" s="1815"/>
      <c r="QZT2" s="1815"/>
      <c r="QZU2" s="1815"/>
      <c r="QZV2" s="1815"/>
      <c r="QZW2" s="1815"/>
      <c r="QZX2" s="1815"/>
      <c r="QZY2" s="1815"/>
      <c r="QZZ2" s="1815"/>
      <c r="RAA2" s="1815"/>
      <c r="RAB2" s="1815"/>
      <c r="RAC2" s="1815"/>
      <c r="RAD2" s="1815"/>
      <c r="RAE2" s="1815"/>
      <c r="RAF2" s="1815"/>
      <c r="RAG2" s="1815"/>
      <c r="RAH2" s="1815"/>
      <c r="RAI2" s="1815"/>
      <c r="RAJ2" s="1815"/>
      <c r="RAK2" s="1815"/>
      <c r="RAL2" s="1815"/>
      <c r="RAM2" s="1815"/>
      <c r="RAN2" s="1815"/>
      <c r="RAO2" s="1815"/>
      <c r="RAP2" s="1815"/>
      <c r="RAQ2" s="1815"/>
      <c r="RAR2" s="1815"/>
      <c r="RAS2" s="1815"/>
      <c r="RAT2" s="1815"/>
      <c r="RAU2" s="1815"/>
      <c r="RAV2" s="1815"/>
      <c r="RAW2" s="1815"/>
      <c r="RAX2" s="1815"/>
      <c r="RAY2" s="1815"/>
      <c r="RAZ2" s="1815"/>
      <c r="RBA2" s="1815"/>
      <c r="RBB2" s="1815"/>
      <c r="RBC2" s="1815"/>
      <c r="RBD2" s="1815"/>
      <c r="RBE2" s="1815"/>
      <c r="RBF2" s="1815"/>
      <c r="RBG2" s="1815"/>
      <c r="RBH2" s="1815"/>
      <c r="RBI2" s="1815"/>
      <c r="RBJ2" s="1815"/>
      <c r="RBK2" s="1815"/>
      <c r="RBL2" s="1815"/>
      <c r="RBM2" s="1815"/>
      <c r="RBN2" s="1815"/>
      <c r="RBO2" s="1815"/>
      <c r="RBP2" s="1815"/>
      <c r="RBQ2" s="1815"/>
      <c r="RBR2" s="1815"/>
      <c r="RBS2" s="1815"/>
      <c r="RBT2" s="1815"/>
      <c r="RBU2" s="1815"/>
      <c r="RBV2" s="1815"/>
      <c r="RBW2" s="1815"/>
      <c r="RBX2" s="1815"/>
      <c r="RBY2" s="1815"/>
      <c r="RBZ2" s="1815"/>
      <c r="RCA2" s="1815"/>
      <c r="RCB2" s="1815"/>
      <c r="RCC2" s="1815"/>
      <c r="RCD2" s="1815"/>
      <c r="RCE2" s="1815"/>
      <c r="RCF2" s="1815"/>
      <c r="RCG2" s="1815"/>
      <c r="RCH2" s="1815"/>
      <c r="RCI2" s="1815"/>
      <c r="RCJ2" s="1815"/>
      <c r="RCK2" s="1815"/>
      <c r="RCL2" s="1815"/>
      <c r="RCM2" s="1815"/>
      <c r="RCN2" s="1815"/>
      <c r="RCO2" s="1815"/>
      <c r="RCP2" s="1815"/>
      <c r="RCQ2" s="1815"/>
      <c r="RCR2" s="1815"/>
      <c r="RCS2" s="1815"/>
      <c r="RCT2" s="1815"/>
      <c r="RCU2" s="1815"/>
      <c r="RCV2" s="1815"/>
      <c r="RCW2" s="1815"/>
      <c r="RCX2" s="1815"/>
      <c r="RCY2" s="1815"/>
      <c r="RCZ2" s="1815"/>
      <c r="RDA2" s="1815"/>
      <c r="RDB2" s="1815"/>
      <c r="RDC2" s="1815"/>
      <c r="RDD2" s="1815"/>
      <c r="RDE2" s="1815"/>
      <c r="RDF2" s="1815"/>
      <c r="RDG2" s="1815"/>
      <c r="RDH2" s="1815"/>
      <c r="RDI2" s="1815"/>
      <c r="RDJ2" s="1815"/>
      <c r="RDK2" s="1815"/>
      <c r="RDL2" s="1815"/>
      <c r="RDM2" s="1815"/>
      <c r="RDN2" s="1815"/>
      <c r="RDO2" s="1815"/>
      <c r="RDP2" s="1815"/>
      <c r="RDQ2" s="1815"/>
      <c r="RDR2" s="1815"/>
      <c r="RDS2" s="1815"/>
      <c r="RDT2" s="1815"/>
      <c r="RDU2" s="1815"/>
      <c r="RDV2" s="1815"/>
      <c r="RDW2" s="1815"/>
      <c r="RDX2" s="1815"/>
      <c r="RDY2" s="1815"/>
      <c r="RDZ2" s="1815"/>
      <c r="REA2" s="1815"/>
      <c r="REB2" s="1815"/>
      <c r="REC2" s="1815"/>
      <c r="RED2" s="1815"/>
      <c r="REE2" s="1815"/>
      <c r="REF2" s="1815"/>
      <c r="REG2" s="1815"/>
      <c r="REH2" s="1815"/>
      <c r="REI2" s="1815"/>
      <c r="REJ2" s="1815"/>
      <c r="REK2" s="1815"/>
      <c r="REL2" s="1815"/>
      <c r="REM2" s="1815"/>
      <c r="REN2" s="1815"/>
      <c r="REO2" s="1815"/>
      <c r="REP2" s="1815"/>
      <c r="REQ2" s="1815"/>
      <c r="RER2" s="1815"/>
      <c r="RES2" s="1815"/>
      <c r="RET2" s="1815"/>
      <c r="REU2" s="1815"/>
      <c r="REV2" s="1815"/>
      <c r="REW2" s="1815"/>
      <c r="REX2" s="1815"/>
      <c r="REY2" s="1815"/>
      <c r="REZ2" s="1815"/>
      <c r="RFA2" s="1815"/>
      <c r="RFB2" s="1815"/>
      <c r="RFC2" s="1815"/>
      <c r="RFD2" s="1815"/>
      <c r="RFE2" s="1815"/>
      <c r="RFF2" s="1815"/>
      <c r="RFG2" s="1815"/>
      <c r="RFH2" s="1815"/>
      <c r="RFI2" s="1815"/>
      <c r="RFJ2" s="1815"/>
      <c r="RFK2" s="1815"/>
      <c r="RFL2" s="1815"/>
      <c r="RFM2" s="1815"/>
      <c r="RFN2" s="1815"/>
      <c r="RFO2" s="1815"/>
      <c r="RFP2" s="1815"/>
      <c r="RFQ2" s="1815"/>
      <c r="RFR2" s="1815"/>
      <c r="RFS2" s="1815"/>
      <c r="RFT2" s="1815"/>
      <c r="RFU2" s="1815"/>
      <c r="RFV2" s="1815"/>
      <c r="RFW2" s="1815"/>
      <c r="RFX2" s="1815"/>
      <c r="RFY2" s="1815"/>
      <c r="RFZ2" s="1815"/>
      <c r="RGA2" s="1815"/>
      <c r="RGB2" s="1815"/>
      <c r="RGC2" s="1815"/>
      <c r="RGD2" s="1815"/>
      <c r="RGE2" s="1815"/>
      <c r="RGF2" s="1815"/>
      <c r="RGG2" s="1815"/>
      <c r="RGH2" s="1815"/>
      <c r="RGI2" s="1815"/>
      <c r="RGJ2" s="1815"/>
      <c r="RGK2" s="1815"/>
      <c r="RGL2" s="1815"/>
      <c r="RGM2" s="1815"/>
      <c r="RGN2" s="1815"/>
      <c r="RGO2" s="1815"/>
      <c r="RGP2" s="1815"/>
      <c r="RGQ2" s="1815"/>
      <c r="RGR2" s="1815"/>
      <c r="RGS2" s="1815"/>
      <c r="RGT2" s="1815"/>
      <c r="RGU2" s="1815"/>
      <c r="RGV2" s="1815"/>
      <c r="RGW2" s="1815"/>
      <c r="RGX2" s="1815"/>
      <c r="RGY2" s="1815"/>
      <c r="RGZ2" s="1815"/>
      <c r="RHA2" s="1815"/>
      <c r="RHB2" s="1815"/>
      <c r="RHC2" s="1815"/>
      <c r="RHD2" s="1815"/>
      <c r="RHE2" s="1815"/>
      <c r="RHF2" s="1815"/>
      <c r="RHG2" s="1815"/>
      <c r="RHH2" s="1815"/>
      <c r="RHI2" s="1815"/>
      <c r="RHJ2" s="1815"/>
      <c r="RHK2" s="1815"/>
      <c r="RHL2" s="1815"/>
      <c r="RHM2" s="1815"/>
      <c r="RHN2" s="1815"/>
      <c r="RHO2" s="1815"/>
      <c r="RHP2" s="1815"/>
      <c r="RHQ2" s="1815"/>
      <c r="RHR2" s="1815"/>
      <c r="RHS2" s="1815"/>
      <c r="RHT2" s="1815"/>
      <c r="RHU2" s="1815"/>
      <c r="RHV2" s="1815"/>
      <c r="RHW2" s="1815"/>
      <c r="RHX2" s="1815"/>
      <c r="RHY2" s="1815"/>
      <c r="RHZ2" s="1815"/>
      <c r="RIA2" s="1815"/>
      <c r="RIB2" s="1815"/>
      <c r="RIC2" s="1815"/>
      <c r="RID2" s="1815"/>
      <c r="RIE2" s="1815"/>
      <c r="RIF2" s="1815"/>
      <c r="RIG2" s="1815"/>
      <c r="RIH2" s="1815"/>
      <c r="RII2" s="1815"/>
      <c r="RIJ2" s="1815"/>
      <c r="RIK2" s="1815"/>
      <c r="RIL2" s="1815"/>
      <c r="RIM2" s="1815"/>
      <c r="RIN2" s="1815"/>
      <c r="RIO2" s="1815"/>
      <c r="RIP2" s="1815"/>
      <c r="RIQ2" s="1815"/>
      <c r="RIR2" s="1815"/>
      <c r="RIS2" s="1815"/>
      <c r="RIT2" s="1815"/>
      <c r="RIU2" s="1815"/>
      <c r="RIV2" s="1815"/>
      <c r="RIW2" s="1815"/>
      <c r="RIX2" s="1815"/>
      <c r="RIY2" s="1815"/>
      <c r="RIZ2" s="1815"/>
      <c r="RJA2" s="1815"/>
      <c r="RJB2" s="1815"/>
      <c r="RJC2" s="1815"/>
      <c r="RJD2" s="1815"/>
      <c r="RJE2" s="1815"/>
      <c r="RJF2" s="1815"/>
      <c r="RJG2" s="1815"/>
      <c r="RJH2" s="1815"/>
      <c r="RJI2" s="1815"/>
      <c r="RJJ2" s="1815"/>
      <c r="RJK2" s="1815"/>
      <c r="RJL2" s="1815"/>
      <c r="RJM2" s="1815"/>
      <c r="RJN2" s="1815"/>
      <c r="RJO2" s="1815"/>
      <c r="RJP2" s="1815"/>
      <c r="RJQ2" s="1815"/>
      <c r="RJR2" s="1815"/>
      <c r="RJS2" s="1815"/>
      <c r="RJT2" s="1815"/>
      <c r="RJU2" s="1815"/>
      <c r="RJV2" s="1815"/>
      <c r="RJW2" s="1815"/>
      <c r="RJX2" s="1815"/>
      <c r="RJY2" s="1815"/>
      <c r="RJZ2" s="1815"/>
      <c r="RKA2" s="1815"/>
      <c r="RKB2" s="1815"/>
      <c r="RKC2" s="1815"/>
      <c r="RKD2" s="1815"/>
      <c r="RKE2" s="1815"/>
      <c r="RKF2" s="1815"/>
      <c r="RKG2" s="1815"/>
      <c r="RKH2" s="1815"/>
      <c r="RKI2" s="1815"/>
      <c r="RKJ2" s="1815"/>
      <c r="RKK2" s="1815"/>
      <c r="RKL2" s="1815"/>
      <c r="RKM2" s="1815"/>
      <c r="RKN2" s="1815"/>
      <c r="RKO2" s="1815"/>
      <c r="RKP2" s="1815"/>
      <c r="RKQ2" s="1815"/>
      <c r="RKR2" s="1815"/>
      <c r="RKS2" s="1815"/>
      <c r="RKT2" s="1815"/>
      <c r="RKU2" s="1815"/>
      <c r="RKV2" s="1815"/>
      <c r="RKW2" s="1815"/>
      <c r="RKX2" s="1815"/>
      <c r="RKY2" s="1815"/>
      <c r="RKZ2" s="1815"/>
      <c r="RLA2" s="1815"/>
      <c r="RLB2" s="1815"/>
      <c r="RLC2" s="1815"/>
      <c r="RLD2" s="1815"/>
      <c r="RLE2" s="1815"/>
      <c r="RLF2" s="1815"/>
      <c r="RLG2" s="1815"/>
      <c r="RLH2" s="1815"/>
      <c r="RLI2" s="1815"/>
      <c r="RLJ2" s="1815"/>
      <c r="RLK2" s="1815"/>
      <c r="RLL2" s="1815"/>
      <c r="RLM2" s="1815"/>
      <c r="RLN2" s="1815"/>
      <c r="RLO2" s="1815"/>
      <c r="RLP2" s="1815"/>
      <c r="RLQ2" s="1815"/>
      <c r="RLR2" s="1815"/>
      <c r="RLS2" s="1815"/>
      <c r="RLT2" s="1815"/>
      <c r="RLU2" s="1815"/>
      <c r="RLV2" s="1815"/>
      <c r="RLW2" s="1815"/>
      <c r="RLX2" s="1815"/>
      <c r="RLY2" s="1815"/>
      <c r="RLZ2" s="1815"/>
      <c r="RMA2" s="1815"/>
      <c r="RMB2" s="1815"/>
      <c r="RMC2" s="1815"/>
      <c r="RMD2" s="1815"/>
      <c r="RME2" s="1815"/>
      <c r="RMF2" s="1815"/>
      <c r="RMG2" s="1815"/>
      <c r="RMH2" s="1815"/>
      <c r="RMI2" s="1815"/>
      <c r="RMJ2" s="1815"/>
      <c r="RMK2" s="1815"/>
      <c r="RML2" s="1815"/>
      <c r="RMM2" s="1815"/>
      <c r="RMN2" s="1815"/>
      <c r="RMO2" s="1815"/>
      <c r="RMP2" s="1815"/>
      <c r="RMQ2" s="1815"/>
      <c r="RMR2" s="1815"/>
      <c r="RMS2" s="1815"/>
      <c r="RMT2" s="1815"/>
      <c r="RMU2" s="1815"/>
      <c r="RMV2" s="1815"/>
      <c r="RMW2" s="1815"/>
      <c r="RMX2" s="1815"/>
      <c r="RMY2" s="1815"/>
      <c r="RMZ2" s="1815"/>
      <c r="RNA2" s="1815"/>
      <c r="RNB2" s="1815"/>
      <c r="RNC2" s="1815"/>
      <c r="RND2" s="1815"/>
      <c r="RNE2" s="1815"/>
      <c r="RNF2" s="1815"/>
      <c r="RNG2" s="1815"/>
      <c r="RNH2" s="1815"/>
      <c r="RNI2" s="1815"/>
      <c r="RNJ2" s="1815"/>
      <c r="RNK2" s="1815"/>
      <c r="RNL2" s="1815"/>
      <c r="RNM2" s="1815"/>
      <c r="RNN2" s="1815"/>
      <c r="RNO2" s="1815"/>
      <c r="RNP2" s="1815"/>
      <c r="RNQ2" s="1815"/>
      <c r="RNR2" s="1815"/>
      <c r="RNS2" s="1815"/>
      <c r="RNT2" s="1815"/>
      <c r="RNU2" s="1815"/>
      <c r="RNV2" s="1815"/>
      <c r="RNW2" s="1815"/>
      <c r="RNX2" s="1815"/>
      <c r="RNY2" s="1815"/>
      <c r="RNZ2" s="1815"/>
      <c r="ROA2" s="1815"/>
      <c r="ROB2" s="1815"/>
      <c r="ROC2" s="1815"/>
      <c r="ROD2" s="1815"/>
      <c r="ROE2" s="1815"/>
      <c r="ROF2" s="1815"/>
      <c r="ROG2" s="1815"/>
      <c r="ROH2" s="1815"/>
      <c r="ROI2" s="1815"/>
      <c r="ROJ2" s="1815"/>
      <c r="ROK2" s="1815"/>
      <c r="ROL2" s="1815"/>
      <c r="ROM2" s="1815"/>
      <c r="RON2" s="1815"/>
      <c r="ROO2" s="1815"/>
      <c r="ROP2" s="1815"/>
      <c r="ROQ2" s="1815"/>
      <c r="ROR2" s="1815"/>
      <c r="ROS2" s="1815"/>
      <c r="ROT2" s="1815"/>
      <c r="ROU2" s="1815"/>
      <c r="ROV2" s="1815"/>
      <c r="ROW2" s="1815"/>
      <c r="ROX2" s="1815"/>
      <c r="ROY2" s="1815"/>
      <c r="ROZ2" s="1815"/>
      <c r="RPA2" s="1815"/>
      <c r="RPB2" s="1815"/>
      <c r="RPC2" s="1815"/>
      <c r="RPD2" s="1815"/>
      <c r="RPE2" s="1815"/>
      <c r="RPF2" s="1815"/>
      <c r="RPG2" s="1815"/>
      <c r="RPH2" s="1815"/>
      <c r="RPI2" s="1815"/>
      <c r="RPJ2" s="1815"/>
      <c r="RPK2" s="1815"/>
      <c r="RPL2" s="1815"/>
      <c r="RPM2" s="1815"/>
      <c r="RPN2" s="1815"/>
      <c r="RPO2" s="1815"/>
      <c r="RPP2" s="1815"/>
      <c r="RPQ2" s="1815"/>
      <c r="RPR2" s="1815"/>
      <c r="RPS2" s="1815"/>
      <c r="RPT2" s="1815"/>
      <c r="RPU2" s="1815"/>
      <c r="RPV2" s="1815"/>
      <c r="RPW2" s="1815"/>
      <c r="RPX2" s="1815"/>
      <c r="RPY2" s="1815"/>
      <c r="RPZ2" s="1815"/>
      <c r="RQA2" s="1815"/>
      <c r="RQB2" s="1815"/>
      <c r="RQC2" s="1815"/>
      <c r="RQD2" s="1815"/>
      <c r="RQE2" s="1815"/>
      <c r="RQF2" s="1815"/>
      <c r="RQG2" s="1815"/>
      <c r="RQH2" s="1815"/>
      <c r="RQI2" s="1815"/>
      <c r="RQJ2" s="1815"/>
      <c r="RQK2" s="1815"/>
      <c r="RQL2" s="1815"/>
      <c r="RQM2" s="1815"/>
      <c r="RQN2" s="1815"/>
      <c r="RQO2" s="1815"/>
      <c r="RQP2" s="1815"/>
      <c r="RQQ2" s="1815"/>
      <c r="RQR2" s="1815"/>
      <c r="RQS2" s="1815"/>
      <c r="RQT2" s="1815"/>
      <c r="RQU2" s="1815"/>
      <c r="RQV2" s="1815"/>
      <c r="RQW2" s="1815"/>
      <c r="RQX2" s="1815"/>
      <c r="RQY2" s="1815"/>
      <c r="RQZ2" s="1815"/>
      <c r="RRA2" s="1815"/>
      <c r="RRB2" s="1815"/>
      <c r="RRC2" s="1815"/>
      <c r="RRD2" s="1815"/>
      <c r="RRE2" s="1815"/>
      <c r="RRF2" s="1815"/>
      <c r="RRG2" s="1815"/>
      <c r="RRH2" s="1815"/>
      <c r="RRI2" s="1815"/>
      <c r="RRJ2" s="1815"/>
      <c r="RRK2" s="1815"/>
      <c r="RRL2" s="1815"/>
      <c r="RRM2" s="1815"/>
      <c r="RRN2" s="1815"/>
      <c r="RRO2" s="1815"/>
      <c r="RRP2" s="1815"/>
      <c r="RRQ2" s="1815"/>
      <c r="RRR2" s="1815"/>
      <c r="RRS2" s="1815"/>
      <c r="RRT2" s="1815"/>
      <c r="RRU2" s="1815"/>
      <c r="RRV2" s="1815"/>
      <c r="RRW2" s="1815"/>
      <c r="RRX2" s="1815"/>
      <c r="RRY2" s="1815"/>
      <c r="RRZ2" s="1815"/>
      <c r="RSA2" s="1815"/>
      <c r="RSB2" s="1815"/>
      <c r="RSC2" s="1815"/>
      <c r="RSD2" s="1815"/>
      <c r="RSE2" s="1815"/>
      <c r="RSF2" s="1815"/>
      <c r="RSG2" s="1815"/>
      <c r="RSH2" s="1815"/>
      <c r="RSI2" s="1815"/>
      <c r="RSJ2" s="1815"/>
      <c r="RSK2" s="1815"/>
      <c r="RSL2" s="1815"/>
      <c r="RSM2" s="1815"/>
      <c r="RSN2" s="1815"/>
      <c r="RSO2" s="1815"/>
      <c r="RSP2" s="1815"/>
      <c r="RSQ2" s="1815"/>
      <c r="RSR2" s="1815"/>
      <c r="RSS2" s="1815"/>
      <c r="RST2" s="1815"/>
      <c r="RSU2" s="1815"/>
      <c r="RSV2" s="1815"/>
      <c r="RSW2" s="1815"/>
      <c r="RSX2" s="1815"/>
      <c r="RSY2" s="1815"/>
      <c r="RSZ2" s="1815"/>
      <c r="RTA2" s="1815"/>
      <c r="RTB2" s="1815"/>
      <c r="RTC2" s="1815"/>
      <c r="RTD2" s="1815"/>
      <c r="RTE2" s="1815"/>
      <c r="RTF2" s="1815"/>
      <c r="RTG2" s="1815"/>
      <c r="RTH2" s="1815"/>
      <c r="RTI2" s="1815"/>
      <c r="RTJ2" s="1815"/>
      <c r="RTK2" s="1815"/>
      <c r="RTL2" s="1815"/>
      <c r="RTM2" s="1815"/>
      <c r="RTN2" s="1815"/>
      <c r="RTO2" s="1815"/>
      <c r="RTP2" s="1815"/>
      <c r="RTQ2" s="1815"/>
      <c r="RTR2" s="1815"/>
      <c r="RTS2" s="1815"/>
      <c r="RTT2" s="1815"/>
      <c r="RTU2" s="1815"/>
      <c r="RTV2" s="1815"/>
      <c r="RTW2" s="1815"/>
      <c r="RTX2" s="1815"/>
      <c r="RTY2" s="1815"/>
      <c r="RTZ2" s="1815"/>
      <c r="RUA2" s="1815"/>
      <c r="RUB2" s="1815"/>
      <c r="RUC2" s="1815"/>
      <c r="RUD2" s="1815"/>
      <c r="RUE2" s="1815"/>
      <c r="RUF2" s="1815"/>
      <c r="RUG2" s="1815"/>
      <c r="RUH2" s="1815"/>
      <c r="RUI2" s="1815"/>
      <c r="RUJ2" s="1815"/>
      <c r="RUK2" s="1815"/>
      <c r="RUL2" s="1815"/>
      <c r="RUM2" s="1815"/>
      <c r="RUN2" s="1815"/>
      <c r="RUO2" s="1815"/>
      <c r="RUP2" s="1815"/>
      <c r="RUQ2" s="1815"/>
      <c r="RUR2" s="1815"/>
      <c r="RUS2" s="1815"/>
      <c r="RUT2" s="1815"/>
      <c r="RUU2" s="1815"/>
      <c r="RUV2" s="1815"/>
      <c r="RUW2" s="1815"/>
      <c r="RUX2" s="1815"/>
      <c r="RUY2" s="1815"/>
      <c r="RUZ2" s="1815"/>
      <c r="RVA2" s="1815"/>
      <c r="RVB2" s="1815"/>
      <c r="RVC2" s="1815"/>
      <c r="RVD2" s="1815"/>
      <c r="RVE2" s="1815"/>
      <c r="RVF2" s="1815"/>
      <c r="RVG2" s="1815"/>
      <c r="RVH2" s="1815"/>
      <c r="RVI2" s="1815"/>
      <c r="RVJ2" s="1815"/>
      <c r="RVK2" s="1815"/>
      <c r="RVL2" s="1815"/>
      <c r="RVM2" s="1815"/>
      <c r="RVN2" s="1815"/>
      <c r="RVO2" s="1815"/>
      <c r="RVP2" s="1815"/>
      <c r="RVQ2" s="1815"/>
      <c r="RVR2" s="1815"/>
      <c r="RVS2" s="1815"/>
      <c r="RVT2" s="1815"/>
      <c r="RVU2" s="1815"/>
      <c r="RVV2" s="1815"/>
      <c r="RVW2" s="1815"/>
      <c r="RVX2" s="1815"/>
      <c r="RVY2" s="1815"/>
      <c r="RVZ2" s="1815"/>
      <c r="RWA2" s="1815"/>
      <c r="RWB2" s="1815"/>
      <c r="RWC2" s="1815"/>
      <c r="RWD2" s="1815"/>
      <c r="RWE2" s="1815"/>
      <c r="RWF2" s="1815"/>
      <c r="RWG2" s="1815"/>
      <c r="RWH2" s="1815"/>
      <c r="RWI2" s="1815"/>
      <c r="RWJ2" s="1815"/>
      <c r="RWK2" s="1815"/>
      <c r="RWL2" s="1815"/>
      <c r="RWM2" s="1815"/>
      <c r="RWN2" s="1815"/>
      <c r="RWO2" s="1815"/>
      <c r="RWP2" s="1815"/>
      <c r="RWQ2" s="1815"/>
      <c r="RWR2" s="1815"/>
      <c r="RWS2" s="1815"/>
      <c r="RWT2" s="1815"/>
      <c r="RWU2" s="1815"/>
      <c r="RWV2" s="1815"/>
      <c r="RWW2" s="1815"/>
      <c r="RWX2" s="1815"/>
      <c r="RWY2" s="1815"/>
      <c r="RWZ2" s="1815"/>
      <c r="RXA2" s="1815"/>
      <c r="RXB2" s="1815"/>
      <c r="RXC2" s="1815"/>
      <c r="RXD2" s="1815"/>
      <c r="RXE2" s="1815"/>
      <c r="RXF2" s="1815"/>
      <c r="RXG2" s="1815"/>
      <c r="RXH2" s="1815"/>
      <c r="RXI2" s="1815"/>
      <c r="RXJ2" s="1815"/>
      <c r="RXK2" s="1815"/>
      <c r="RXL2" s="1815"/>
      <c r="RXM2" s="1815"/>
      <c r="RXN2" s="1815"/>
      <c r="RXO2" s="1815"/>
      <c r="RXP2" s="1815"/>
      <c r="RXQ2" s="1815"/>
      <c r="RXR2" s="1815"/>
      <c r="RXS2" s="1815"/>
      <c r="RXT2" s="1815"/>
      <c r="RXU2" s="1815"/>
      <c r="RXV2" s="1815"/>
      <c r="RXW2" s="1815"/>
      <c r="RXX2" s="1815"/>
      <c r="RXY2" s="1815"/>
      <c r="RXZ2" s="1815"/>
      <c r="RYA2" s="1815"/>
      <c r="RYB2" s="1815"/>
      <c r="RYC2" s="1815"/>
      <c r="RYD2" s="1815"/>
      <c r="RYE2" s="1815"/>
      <c r="RYF2" s="1815"/>
      <c r="RYG2" s="1815"/>
      <c r="RYH2" s="1815"/>
      <c r="RYI2" s="1815"/>
      <c r="RYJ2" s="1815"/>
      <c r="RYK2" s="1815"/>
      <c r="RYL2" s="1815"/>
      <c r="RYM2" s="1815"/>
      <c r="RYN2" s="1815"/>
      <c r="RYO2" s="1815"/>
      <c r="RYP2" s="1815"/>
      <c r="RYQ2" s="1815"/>
      <c r="RYR2" s="1815"/>
      <c r="RYS2" s="1815"/>
      <c r="RYT2" s="1815"/>
      <c r="RYU2" s="1815"/>
      <c r="RYV2" s="1815"/>
      <c r="RYW2" s="1815"/>
      <c r="RYX2" s="1815"/>
      <c r="RYY2" s="1815"/>
      <c r="RYZ2" s="1815"/>
      <c r="RZA2" s="1815"/>
      <c r="RZB2" s="1815"/>
      <c r="RZC2" s="1815"/>
      <c r="RZD2" s="1815"/>
      <c r="RZE2" s="1815"/>
      <c r="RZF2" s="1815"/>
      <c r="RZG2" s="1815"/>
      <c r="RZH2" s="1815"/>
      <c r="RZI2" s="1815"/>
      <c r="RZJ2" s="1815"/>
      <c r="RZK2" s="1815"/>
      <c r="RZL2" s="1815"/>
      <c r="RZM2" s="1815"/>
      <c r="RZN2" s="1815"/>
      <c r="RZO2" s="1815"/>
      <c r="RZP2" s="1815"/>
      <c r="RZQ2" s="1815"/>
      <c r="RZR2" s="1815"/>
      <c r="RZS2" s="1815"/>
      <c r="RZT2" s="1815"/>
      <c r="RZU2" s="1815"/>
      <c r="RZV2" s="1815"/>
      <c r="RZW2" s="1815"/>
      <c r="RZX2" s="1815"/>
      <c r="RZY2" s="1815"/>
      <c r="RZZ2" s="1815"/>
      <c r="SAA2" s="1815"/>
      <c r="SAB2" s="1815"/>
      <c r="SAC2" s="1815"/>
      <c r="SAD2" s="1815"/>
      <c r="SAE2" s="1815"/>
      <c r="SAF2" s="1815"/>
      <c r="SAG2" s="1815"/>
      <c r="SAH2" s="1815"/>
      <c r="SAI2" s="1815"/>
      <c r="SAJ2" s="1815"/>
      <c r="SAK2" s="1815"/>
      <c r="SAL2" s="1815"/>
      <c r="SAM2" s="1815"/>
      <c r="SAN2" s="1815"/>
      <c r="SAO2" s="1815"/>
      <c r="SAP2" s="1815"/>
      <c r="SAQ2" s="1815"/>
      <c r="SAR2" s="1815"/>
      <c r="SAS2" s="1815"/>
      <c r="SAT2" s="1815"/>
      <c r="SAU2" s="1815"/>
      <c r="SAV2" s="1815"/>
      <c r="SAW2" s="1815"/>
      <c r="SAX2" s="1815"/>
      <c r="SAY2" s="1815"/>
      <c r="SAZ2" s="1815"/>
      <c r="SBA2" s="1815"/>
      <c r="SBB2" s="1815"/>
      <c r="SBC2" s="1815"/>
      <c r="SBD2" s="1815"/>
      <c r="SBE2" s="1815"/>
      <c r="SBF2" s="1815"/>
      <c r="SBG2" s="1815"/>
      <c r="SBH2" s="1815"/>
      <c r="SBI2" s="1815"/>
      <c r="SBJ2" s="1815"/>
      <c r="SBK2" s="1815"/>
      <c r="SBL2" s="1815"/>
      <c r="SBM2" s="1815"/>
      <c r="SBN2" s="1815"/>
      <c r="SBO2" s="1815"/>
      <c r="SBP2" s="1815"/>
      <c r="SBQ2" s="1815"/>
      <c r="SBR2" s="1815"/>
      <c r="SBS2" s="1815"/>
      <c r="SBT2" s="1815"/>
      <c r="SBU2" s="1815"/>
      <c r="SBV2" s="1815"/>
      <c r="SBW2" s="1815"/>
      <c r="SBX2" s="1815"/>
      <c r="SBY2" s="1815"/>
      <c r="SBZ2" s="1815"/>
      <c r="SCA2" s="1815"/>
      <c r="SCB2" s="1815"/>
      <c r="SCC2" s="1815"/>
      <c r="SCD2" s="1815"/>
      <c r="SCE2" s="1815"/>
      <c r="SCF2" s="1815"/>
      <c r="SCG2" s="1815"/>
      <c r="SCH2" s="1815"/>
      <c r="SCI2" s="1815"/>
      <c r="SCJ2" s="1815"/>
      <c r="SCK2" s="1815"/>
      <c r="SCL2" s="1815"/>
      <c r="SCM2" s="1815"/>
      <c r="SCN2" s="1815"/>
      <c r="SCO2" s="1815"/>
      <c r="SCP2" s="1815"/>
      <c r="SCQ2" s="1815"/>
      <c r="SCR2" s="1815"/>
      <c r="SCS2" s="1815"/>
      <c r="SCT2" s="1815"/>
      <c r="SCU2" s="1815"/>
      <c r="SCV2" s="1815"/>
      <c r="SCW2" s="1815"/>
      <c r="SCX2" s="1815"/>
      <c r="SCY2" s="1815"/>
      <c r="SCZ2" s="1815"/>
      <c r="SDA2" s="1815"/>
      <c r="SDB2" s="1815"/>
      <c r="SDC2" s="1815"/>
      <c r="SDD2" s="1815"/>
      <c r="SDE2" s="1815"/>
      <c r="SDF2" s="1815"/>
      <c r="SDG2" s="1815"/>
      <c r="SDH2" s="1815"/>
      <c r="SDI2" s="1815"/>
      <c r="SDJ2" s="1815"/>
      <c r="SDK2" s="1815"/>
      <c r="SDL2" s="1815"/>
      <c r="SDM2" s="1815"/>
      <c r="SDN2" s="1815"/>
      <c r="SDO2" s="1815"/>
      <c r="SDP2" s="1815"/>
      <c r="SDQ2" s="1815"/>
      <c r="SDR2" s="1815"/>
      <c r="SDS2" s="1815"/>
      <c r="SDT2" s="1815"/>
      <c r="SDU2" s="1815"/>
      <c r="SDV2" s="1815"/>
      <c r="SDW2" s="1815"/>
      <c r="SDX2" s="1815"/>
      <c r="SDY2" s="1815"/>
      <c r="SDZ2" s="1815"/>
      <c r="SEA2" s="1815"/>
      <c r="SEB2" s="1815"/>
      <c r="SEC2" s="1815"/>
      <c r="SED2" s="1815"/>
      <c r="SEE2" s="1815"/>
      <c r="SEF2" s="1815"/>
      <c r="SEG2" s="1815"/>
      <c r="SEH2" s="1815"/>
      <c r="SEI2" s="1815"/>
      <c r="SEJ2" s="1815"/>
      <c r="SEK2" s="1815"/>
      <c r="SEL2" s="1815"/>
      <c r="SEM2" s="1815"/>
      <c r="SEN2" s="1815"/>
      <c r="SEO2" s="1815"/>
      <c r="SEP2" s="1815"/>
      <c r="SEQ2" s="1815"/>
      <c r="SER2" s="1815"/>
      <c r="SES2" s="1815"/>
      <c r="SET2" s="1815"/>
      <c r="SEU2" s="1815"/>
      <c r="SEV2" s="1815"/>
      <c r="SEW2" s="1815"/>
      <c r="SEX2" s="1815"/>
      <c r="SEY2" s="1815"/>
      <c r="SEZ2" s="1815"/>
      <c r="SFA2" s="1815"/>
      <c r="SFB2" s="1815"/>
      <c r="SFC2" s="1815"/>
      <c r="SFD2" s="1815"/>
      <c r="SFE2" s="1815"/>
      <c r="SFF2" s="1815"/>
      <c r="SFG2" s="1815"/>
      <c r="SFH2" s="1815"/>
      <c r="SFI2" s="1815"/>
      <c r="SFJ2" s="1815"/>
      <c r="SFK2" s="1815"/>
      <c r="SFL2" s="1815"/>
      <c r="SFM2" s="1815"/>
      <c r="SFN2" s="1815"/>
      <c r="SFO2" s="1815"/>
      <c r="SFP2" s="1815"/>
      <c r="SFQ2" s="1815"/>
      <c r="SFR2" s="1815"/>
      <c r="SFS2" s="1815"/>
      <c r="SFT2" s="1815"/>
      <c r="SFU2" s="1815"/>
      <c r="SFV2" s="1815"/>
      <c r="SFW2" s="1815"/>
      <c r="SFX2" s="1815"/>
      <c r="SFY2" s="1815"/>
      <c r="SFZ2" s="1815"/>
      <c r="SGA2" s="1815"/>
      <c r="SGB2" s="1815"/>
      <c r="SGC2" s="1815"/>
      <c r="SGD2" s="1815"/>
      <c r="SGE2" s="1815"/>
      <c r="SGF2" s="1815"/>
      <c r="SGG2" s="1815"/>
      <c r="SGH2" s="1815"/>
      <c r="SGI2" s="1815"/>
      <c r="SGJ2" s="1815"/>
      <c r="SGK2" s="1815"/>
      <c r="SGL2" s="1815"/>
      <c r="SGM2" s="1815"/>
      <c r="SGN2" s="1815"/>
      <c r="SGO2" s="1815"/>
      <c r="SGP2" s="1815"/>
      <c r="SGQ2" s="1815"/>
      <c r="SGR2" s="1815"/>
      <c r="SGS2" s="1815"/>
      <c r="SGT2" s="1815"/>
      <c r="SGU2" s="1815"/>
      <c r="SGV2" s="1815"/>
      <c r="SGW2" s="1815"/>
      <c r="SGX2" s="1815"/>
      <c r="SGY2" s="1815"/>
      <c r="SGZ2" s="1815"/>
      <c r="SHA2" s="1815"/>
      <c r="SHB2" s="1815"/>
      <c r="SHC2" s="1815"/>
      <c r="SHD2" s="1815"/>
      <c r="SHE2" s="1815"/>
      <c r="SHF2" s="1815"/>
      <c r="SHG2" s="1815"/>
      <c r="SHH2" s="1815"/>
      <c r="SHI2" s="1815"/>
      <c r="SHJ2" s="1815"/>
      <c r="SHK2" s="1815"/>
      <c r="SHL2" s="1815"/>
      <c r="SHM2" s="1815"/>
      <c r="SHN2" s="1815"/>
      <c r="SHO2" s="1815"/>
      <c r="SHP2" s="1815"/>
      <c r="SHQ2" s="1815"/>
      <c r="SHR2" s="1815"/>
      <c r="SHS2" s="1815"/>
      <c r="SHT2" s="1815"/>
      <c r="SHU2" s="1815"/>
      <c r="SHV2" s="1815"/>
      <c r="SHW2" s="1815"/>
      <c r="SHX2" s="1815"/>
      <c r="SHY2" s="1815"/>
      <c r="SHZ2" s="1815"/>
      <c r="SIA2" s="1815"/>
      <c r="SIB2" s="1815"/>
      <c r="SIC2" s="1815"/>
      <c r="SID2" s="1815"/>
      <c r="SIE2" s="1815"/>
      <c r="SIF2" s="1815"/>
      <c r="SIG2" s="1815"/>
      <c r="SIH2" s="1815"/>
      <c r="SII2" s="1815"/>
      <c r="SIJ2" s="1815"/>
      <c r="SIK2" s="1815"/>
      <c r="SIL2" s="1815"/>
      <c r="SIM2" s="1815"/>
      <c r="SIN2" s="1815"/>
      <c r="SIO2" s="1815"/>
      <c r="SIP2" s="1815"/>
      <c r="SIQ2" s="1815"/>
      <c r="SIR2" s="1815"/>
      <c r="SIS2" s="1815"/>
      <c r="SIT2" s="1815"/>
      <c r="SIU2" s="1815"/>
      <c r="SIV2" s="1815"/>
      <c r="SIW2" s="1815"/>
      <c r="SIX2" s="1815"/>
      <c r="SIY2" s="1815"/>
      <c r="SIZ2" s="1815"/>
      <c r="SJA2" s="1815"/>
      <c r="SJB2" s="1815"/>
      <c r="SJC2" s="1815"/>
      <c r="SJD2" s="1815"/>
      <c r="SJE2" s="1815"/>
      <c r="SJF2" s="1815"/>
      <c r="SJG2" s="1815"/>
      <c r="SJH2" s="1815"/>
      <c r="SJI2" s="1815"/>
      <c r="SJJ2" s="1815"/>
      <c r="SJK2" s="1815"/>
      <c r="SJL2" s="1815"/>
      <c r="SJM2" s="1815"/>
      <c r="SJN2" s="1815"/>
      <c r="SJO2" s="1815"/>
      <c r="SJP2" s="1815"/>
      <c r="SJQ2" s="1815"/>
      <c r="SJR2" s="1815"/>
      <c r="SJS2" s="1815"/>
      <c r="SJT2" s="1815"/>
      <c r="SJU2" s="1815"/>
      <c r="SJV2" s="1815"/>
      <c r="SJW2" s="1815"/>
      <c r="SJX2" s="1815"/>
      <c r="SJY2" s="1815"/>
      <c r="SJZ2" s="1815"/>
      <c r="SKA2" s="1815"/>
      <c r="SKB2" s="1815"/>
      <c r="SKC2" s="1815"/>
      <c r="SKD2" s="1815"/>
      <c r="SKE2" s="1815"/>
      <c r="SKF2" s="1815"/>
      <c r="SKG2" s="1815"/>
      <c r="SKH2" s="1815"/>
      <c r="SKI2" s="1815"/>
      <c r="SKJ2" s="1815"/>
      <c r="SKK2" s="1815"/>
      <c r="SKL2" s="1815"/>
      <c r="SKM2" s="1815"/>
      <c r="SKN2" s="1815"/>
      <c r="SKO2" s="1815"/>
      <c r="SKP2" s="1815"/>
      <c r="SKQ2" s="1815"/>
      <c r="SKR2" s="1815"/>
      <c r="SKS2" s="1815"/>
      <c r="SKT2" s="1815"/>
      <c r="SKU2" s="1815"/>
      <c r="SKV2" s="1815"/>
      <c r="SKW2" s="1815"/>
      <c r="SKX2" s="1815"/>
      <c r="SKY2" s="1815"/>
      <c r="SKZ2" s="1815"/>
      <c r="SLA2" s="1815"/>
      <c r="SLB2" s="1815"/>
      <c r="SLC2" s="1815"/>
      <c r="SLD2" s="1815"/>
      <c r="SLE2" s="1815"/>
      <c r="SLF2" s="1815"/>
      <c r="SLG2" s="1815"/>
      <c r="SLH2" s="1815"/>
      <c r="SLI2" s="1815"/>
      <c r="SLJ2" s="1815"/>
      <c r="SLK2" s="1815"/>
      <c r="SLL2" s="1815"/>
      <c r="SLM2" s="1815"/>
      <c r="SLN2" s="1815"/>
      <c r="SLO2" s="1815"/>
      <c r="SLP2" s="1815"/>
      <c r="SLQ2" s="1815"/>
      <c r="SLR2" s="1815"/>
      <c r="SLS2" s="1815"/>
      <c r="SLT2" s="1815"/>
      <c r="SLU2" s="1815"/>
      <c r="SLV2" s="1815"/>
      <c r="SLW2" s="1815"/>
      <c r="SLX2" s="1815"/>
      <c r="SLY2" s="1815"/>
      <c r="SLZ2" s="1815"/>
      <c r="SMA2" s="1815"/>
      <c r="SMB2" s="1815"/>
      <c r="SMC2" s="1815"/>
      <c r="SMD2" s="1815"/>
      <c r="SME2" s="1815"/>
      <c r="SMF2" s="1815"/>
      <c r="SMG2" s="1815"/>
      <c r="SMH2" s="1815"/>
      <c r="SMI2" s="1815"/>
      <c r="SMJ2" s="1815"/>
      <c r="SMK2" s="1815"/>
      <c r="SML2" s="1815"/>
      <c r="SMM2" s="1815"/>
      <c r="SMN2" s="1815"/>
      <c r="SMO2" s="1815"/>
      <c r="SMP2" s="1815"/>
      <c r="SMQ2" s="1815"/>
      <c r="SMR2" s="1815"/>
      <c r="SMS2" s="1815"/>
      <c r="SMT2" s="1815"/>
      <c r="SMU2" s="1815"/>
      <c r="SMV2" s="1815"/>
      <c r="SMW2" s="1815"/>
      <c r="SMX2" s="1815"/>
      <c r="SMY2" s="1815"/>
      <c r="SMZ2" s="1815"/>
      <c r="SNA2" s="1815"/>
      <c r="SNB2" s="1815"/>
      <c r="SNC2" s="1815"/>
      <c r="SND2" s="1815"/>
      <c r="SNE2" s="1815"/>
      <c r="SNF2" s="1815"/>
      <c r="SNG2" s="1815"/>
      <c r="SNH2" s="1815"/>
      <c r="SNI2" s="1815"/>
      <c r="SNJ2" s="1815"/>
      <c r="SNK2" s="1815"/>
      <c r="SNL2" s="1815"/>
      <c r="SNM2" s="1815"/>
      <c r="SNN2" s="1815"/>
      <c r="SNO2" s="1815"/>
      <c r="SNP2" s="1815"/>
      <c r="SNQ2" s="1815"/>
      <c r="SNR2" s="1815"/>
      <c r="SNS2" s="1815"/>
      <c r="SNT2" s="1815"/>
      <c r="SNU2" s="1815"/>
      <c r="SNV2" s="1815"/>
      <c r="SNW2" s="1815"/>
      <c r="SNX2" s="1815"/>
      <c r="SNY2" s="1815"/>
      <c r="SNZ2" s="1815"/>
      <c r="SOA2" s="1815"/>
      <c r="SOB2" s="1815"/>
      <c r="SOC2" s="1815"/>
      <c r="SOD2" s="1815"/>
      <c r="SOE2" s="1815"/>
      <c r="SOF2" s="1815"/>
      <c r="SOG2" s="1815"/>
      <c r="SOH2" s="1815"/>
      <c r="SOI2" s="1815"/>
      <c r="SOJ2" s="1815"/>
      <c r="SOK2" s="1815"/>
      <c r="SOL2" s="1815"/>
      <c r="SOM2" s="1815"/>
      <c r="SON2" s="1815"/>
      <c r="SOO2" s="1815"/>
      <c r="SOP2" s="1815"/>
      <c r="SOQ2" s="1815"/>
      <c r="SOR2" s="1815"/>
      <c r="SOS2" s="1815"/>
      <c r="SOT2" s="1815"/>
      <c r="SOU2" s="1815"/>
      <c r="SOV2" s="1815"/>
      <c r="SOW2" s="1815"/>
      <c r="SOX2" s="1815"/>
      <c r="SOY2" s="1815"/>
      <c r="SOZ2" s="1815"/>
      <c r="SPA2" s="1815"/>
      <c r="SPB2" s="1815"/>
      <c r="SPC2" s="1815"/>
      <c r="SPD2" s="1815"/>
      <c r="SPE2" s="1815"/>
      <c r="SPF2" s="1815"/>
      <c r="SPG2" s="1815"/>
      <c r="SPH2" s="1815"/>
      <c r="SPI2" s="1815"/>
      <c r="SPJ2" s="1815"/>
      <c r="SPK2" s="1815"/>
      <c r="SPL2" s="1815"/>
      <c r="SPM2" s="1815"/>
      <c r="SPN2" s="1815"/>
      <c r="SPO2" s="1815"/>
      <c r="SPP2" s="1815"/>
      <c r="SPQ2" s="1815"/>
      <c r="SPR2" s="1815"/>
      <c r="SPS2" s="1815"/>
      <c r="SPT2" s="1815"/>
      <c r="SPU2" s="1815"/>
      <c r="SPV2" s="1815"/>
      <c r="SPW2" s="1815"/>
      <c r="SPX2" s="1815"/>
      <c r="SPY2" s="1815"/>
      <c r="SPZ2" s="1815"/>
      <c r="SQA2" s="1815"/>
      <c r="SQB2" s="1815"/>
      <c r="SQC2" s="1815"/>
      <c r="SQD2" s="1815"/>
      <c r="SQE2" s="1815"/>
      <c r="SQF2" s="1815"/>
      <c r="SQG2" s="1815"/>
      <c r="SQH2" s="1815"/>
      <c r="SQI2" s="1815"/>
      <c r="SQJ2" s="1815"/>
      <c r="SQK2" s="1815"/>
      <c r="SQL2" s="1815"/>
      <c r="SQM2" s="1815"/>
      <c r="SQN2" s="1815"/>
      <c r="SQO2" s="1815"/>
      <c r="SQP2" s="1815"/>
      <c r="SQQ2" s="1815"/>
      <c r="SQR2" s="1815"/>
      <c r="SQS2" s="1815"/>
      <c r="SQT2" s="1815"/>
      <c r="SQU2" s="1815"/>
      <c r="SQV2" s="1815"/>
      <c r="SQW2" s="1815"/>
      <c r="SQX2" s="1815"/>
      <c r="SQY2" s="1815"/>
      <c r="SQZ2" s="1815"/>
      <c r="SRA2" s="1815"/>
      <c r="SRB2" s="1815"/>
      <c r="SRC2" s="1815"/>
      <c r="SRD2" s="1815"/>
      <c r="SRE2" s="1815"/>
      <c r="SRF2" s="1815"/>
      <c r="SRG2" s="1815"/>
      <c r="SRH2" s="1815"/>
      <c r="SRI2" s="1815"/>
      <c r="SRJ2" s="1815"/>
      <c r="SRK2" s="1815"/>
      <c r="SRL2" s="1815"/>
      <c r="SRM2" s="1815"/>
      <c r="SRN2" s="1815"/>
      <c r="SRO2" s="1815"/>
      <c r="SRP2" s="1815"/>
      <c r="SRQ2" s="1815"/>
      <c r="SRR2" s="1815"/>
      <c r="SRS2" s="1815"/>
      <c r="SRT2" s="1815"/>
      <c r="SRU2" s="1815"/>
      <c r="SRV2" s="1815"/>
      <c r="SRW2" s="1815"/>
      <c r="SRX2" s="1815"/>
      <c r="SRY2" s="1815"/>
      <c r="SRZ2" s="1815"/>
      <c r="SSA2" s="1815"/>
      <c r="SSB2" s="1815"/>
      <c r="SSC2" s="1815"/>
      <c r="SSD2" s="1815"/>
      <c r="SSE2" s="1815"/>
      <c r="SSF2" s="1815"/>
      <c r="SSG2" s="1815"/>
      <c r="SSH2" s="1815"/>
      <c r="SSI2" s="1815"/>
      <c r="SSJ2" s="1815"/>
      <c r="SSK2" s="1815"/>
      <c r="SSL2" s="1815"/>
      <c r="SSM2" s="1815"/>
      <c r="SSN2" s="1815"/>
      <c r="SSO2" s="1815"/>
      <c r="SSP2" s="1815"/>
      <c r="SSQ2" s="1815"/>
      <c r="SSR2" s="1815"/>
      <c r="SSS2" s="1815"/>
      <c r="SST2" s="1815"/>
      <c r="SSU2" s="1815"/>
      <c r="SSV2" s="1815"/>
      <c r="SSW2" s="1815"/>
      <c r="SSX2" s="1815"/>
      <c r="SSY2" s="1815"/>
      <c r="SSZ2" s="1815"/>
      <c r="STA2" s="1815"/>
      <c r="STB2" s="1815"/>
      <c r="STC2" s="1815"/>
      <c r="STD2" s="1815"/>
      <c r="STE2" s="1815"/>
      <c r="STF2" s="1815"/>
      <c r="STG2" s="1815"/>
      <c r="STH2" s="1815"/>
      <c r="STI2" s="1815"/>
      <c r="STJ2" s="1815"/>
      <c r="STK2" s="1815"/>
      <c r="STL2" s="1815"/>
      <c r="STM2" s="1815"/>
      <c r="STN2" s="1815"/>
      <c r="STO2" s="1815"/>
      <c r="STP2" s="1815"/>
      <c r="STQ2" s="1815"/>
      <c r="STR2" s="1815"/>
      <c r="STS2" s="1815"/>
      <c r="STT2" s="1815"/>
      <c r="STU2" s="1815"/>
      <c r="STV2" s="1815"/>
      <c r="STW2" s="1815"/>
      <c r="STX2" s="1815"/>
      <c r="STY2" s="1815"/>
      <c r="STZ2" s="1815"/>
      <c r="SUA2" s="1815"/>
      <c r="SUB2" s="1815"/>
      <c r="SUC2" s="1815"/>
      <c r="SUD2" s="1815"/>
      <c r="SUE2" s="1815"/>
      <c r="SUF2" s="1815"/>
      <c r="SUG2" s="1815"/>
      <c r="SUH2" s="1815"/>
      <c r="SUI2" s="1815"/>
      <c r="SUJ2" s="1815"/>
      <c r="SUK2" s="1815"/>
      <c r="SUL2" s="1815"/>
      <c r="SUM2" s="1815"/>
      <c r="SUN2" s="1815"/>
      <c r="SUO2" s="1815"/>
      <c r="SUP2" s="1815"/>
      <c r="SUQ2" s="1815"/>
      <c r="SUR2" s="1815"/>
      <c r="SUS2" s="1815"/>
      <c r="SUT2" s="1815"/>
      <c r="SUU2" s="1815"/>
      <c r="SUV2" s="1815"/>
      <c r="SUW2" s="1815"/>
      <c r="SUX2" s="1815"/>
      <c r="SUY2" s="1815"/>
      <c r="SUZ2" s="1815"/>
      <c r="SVA2" s="1815"/>
      <c r="SVB2" s="1815"/>
      <c r="SVC2" s="1815"/>
      <c r="SVD2" s="1815"/>
      <c r="SVE2" s="1815"/>
      <c r="SVF2" s="1815"/>
      <c r="SVG2" s="1815"/>
      <c r="SVH2" s="1815"/>
      <c r="SVI2" s="1815"/>
      <c r="SVJ2" s="1815"/>
      <c r="SVK2" s="1815"/>
      <c r="SVL2" s="1815"/>
      <c r="SVM2" s="1815"/>
      <c r="SVN2" s="1815"/>
      <c r="SVO2" s="1815"/>
      <c r="SVP2" s="1815"/>
      <c r="SVQ2" s="1815"/>
      <c r="SVR2" s="1815"/>
      <c r="SVS2" s="1815"/>
      <c r="SVT2" s="1815"/>
      <c r="SVU2" s="1815"/>
      <c r="SVV2" s="1815"/>
      <c r="SVW2" s="1815"/>
      <c r="SVX2" s="1815"/>
      <c r="SVY2" s="1815"/>
      <c r="SVZ2" s="1815"/>
      <c r="SWA2" s="1815"/>
      <c r="SWB2" s="1815"/>
      <c r="SWC2" s="1815"/>
      <c r="SWD2" s="1815"/>
      <c r="SWE2" s="1815"/>
      <c r="SWF2" s="1815"/>
      <c r="SWG2" s="1815"/>
      <c r="SWH2" s="1815"/>
      <c r="SWI2" s="1815"/>
      <c r="SWJ2" s="1815"/>
      <c r="SWK2" s="1815"/>
      <c r="SWL2" s="1815"/>
      <c r="SWM2" s="1815"/>
      <c r="SWN2" s="1815"/>
      <c r="SWO2" s="1815"/>
      <c r="SWP2" s="1815"/>
      <c r="SWQ2" s="1815"/>
      <c r="SWR2" s="1815"/>
      <c r="SWS2" s="1815"/>
      <c r="SWT2" s="1815"/>
      <c r="SWU2" s="1815"/>
      <c r="SWV2" s="1815"/>
      <c r="SWW2" s="1815"/>
      <c r="SWX2" s="1815"/>
      <c r="SWY2" s="1815"/>
      <c r="SWZ2" s="1815"/>
      <c r="SXA2" s="1815"/>
      <c r="SXB2" s="1815"/>
      <c r="SXC2" s="1815"/>
      <c r="SXD2" s="1815"/>
      <c r="SXE2" s="1815"/>
      <c r="SXF2" s="1815"/>
      <c r="SXG2" s="1815"/>
      <c r="SXH2" s="1815"/>
      <c r="SXI2" s="1815"/>
      <c r="SXJ2" s="1815"/>
      <c r="SXK2" s="1815"/>
      <c r="SXL2" s="1815"/>
      <c r="SXM2" s="1815"/>
      <c r="SXN2" s="1815"/>
      <c r="SXO2" s="1815"/>
      <c r="SXP2" s="1815"/>
      <c r="SXQ2" s="1815"/>
      <c r="SXR2" s="1815"/>
      <c r="SXS2" s="1815"/>
      <c r="SXT2" s="1815"/>
      <c r="SXU2" s="1815"/>
      <c r="SXV2" s="1815"/>
      <c r="SXW2" s="1815"/>
      <c r="SXX2" s="1815"/>
      <c r="SXY2" s="1815"/>
      <c r="SXZ2" s="1815"/>
      <c r="SYA2" s="1815"/>
      <c r="SYB2" s="1815"/>
      <c r="SYC2" s="1815"/>
      <c r="SYD2" s="1815"/>
      <c r="SYE2" s="1815"/>
      <c r="SYF2" s="1815"/>
      <c r="SYG2" s="1815"/>
      <c r="SYH2" s="1815"/>
      <c r="SYI2" s="1815"/>
      <c r="SYJ2" s="1815"/>
      <c r="SYK2" s="1815"/>
      <c r="SYL2" s="1815"/>
      <c r="SYM2" s="1815"/>
      <c r="SYN2" s="1815"/>
      <c r="SYO2" s="1815"/>
      <c r="SYP2" s="1815"/>
      <c r="SYQ2" s="1815"/>
      <c r="SYR2" s="1815"/>
      <c r="SYS2" s="1815"/>
      <c r="SYT2" s="1815"/>
      <c r="SYU2" s="1815"/>
      <c r="SYV2" s="1815"/>
      <c r="SYW2" s="1815"/>
      <c r="SYX2" s="1815"/>
      <c r="SYY2" s="1815"/>
      <c r="SYZ2" s="1815"/>
      <c r="SZA2" s="1815"/>
      <c r="SZB2" s="1815"/>
      <c r="SZC2" s="1815"/>
      <c r="SZD2" s="1815"/>
      <c r="SZE2" s="1815"/>
      <c r="SZF2" s="1815"/>
      <c r="SZG2" s="1815"/>
      <c r="SZH2" s="1815"/>
      <c r="SZI2" s="1815"/>
      <c r="SZJ2" s="1815"/>
      <c r="SZK2" s="1815"/>
      <c r="SZL2" s="1815"/>
      <c r="SZM2" s="1815"/>
      <c r="SZN2" s="1815"/>
      <c r="SZO2" s="1815"/>
      <c r="SZP2" s="1815"/>
      <c r="SZQ2" s="1815"/>
      <c r="SZR2" s="1815"/>
      <c r="SZS2" s="1815"/>
      <c r="SZT2" s="1815"/>
      <c r="SZU2" s="1815"/>
      <c r="SZV2" s="1815"/>
      <c r="SZW2" s="1815"/>
      <c r="SZX2" s="1815"/>
      <c r="SZY2" s="1815"/>
      <c r="SZZ2" s="1815"/>
      <c r="TAA2" s="1815"/>
      <c r="TAB2" s="1815"/>
      <c r="TAC2" s="1815"/>
      <c r="TAD2" s="1815"/>
      <c r="TAE2" s="1815"/>
      <c r="TAF2" s="1815"/>
      <c r="TAG2" s="1815"/>
      <c r="TAH2" s="1815"/>
      <c r="TAI2" s="1815"/>
      <c r="TAJ2" s="1815"/>
      <c r="TAK2" s="1815"/>
      <c r="TAL2" s="1815"/>
      <c r="TAM2" s="1815"/>
      <c r="TAN2" s="1815"/>
      <c r="TAO2" s="1815"/>
      <c r="TAP2" s="1815"/>
      <c r="TAQ2" s="1815"/>
      <c r="TAR2" s="1815"/>
      <c r="TAS2" s="1815"/>
      <c r="TAT2" s="1815"/>
      <c r="TAU2" s="1815"/>
      <c r="TAV2" s="1815"/>
      <c r="TAW2" s="1815"/>
      <c r="TAX2" s="1815"/>
      <c r="TAY2" s="1815"/>
      <c r="TAZ2" s="1815"/>
      <c r="TBA2" s="1815"/>
      <c r="TBB2" s="1815"/>
      <c r="TBC2" s="1815"/>
      <c r="TBD2" s="1815"/>
      <c r="TBE2" s="1815"/>
      <c r="TBF2" s="1815"/>
      <c r="TBG2" s="1815"/>
      <c r="TBH2" s="1815"/>
      <c r="TBI2" s="1815"/>
      <c r="TBJ2" s="1815"/>
      <c r="TBK2" s="1815"/>
      <c r="TBL2" s="1815"/>
      <c r="TBM2" s="1815"/>
      <c r="TBN2" s="1815"/>
      <c r="TBO2" s="1815"/>
      <c r="TBP2" s="1815"/>
      <c r="TBQ2" s="1815"/>
      <c r="TBR2" s="1815"/>
      <c r="TBS2" s="1815"/>
      <c r="TBT2" s="1815"/>
      <c r="TBU2" s="1815"/>
      <c r="TBV2" s="1815"/>
      <c r="TBW2" s="1815"/>
      <c r="TBX2" s="1815"/>
      <c r="TBY2" s="1815"/>
      <c r="TBZ2" s="1815"/>
      <c r="TCA2" s="1815"/>
      <c r="TCB2" s="1815"/>
      <c r="TCC2" s="1815"/>
      <c r="TCD2" s="1815"/>
      <c r="TCE2" s="1815"/>
      <c r="TCF2" s="1815"/>
      <c r="TCG2" s="1815"/>
      <c r="TCH2" s="1815"/>
      <c r="TCI2" s="1815"/>
      <c r="TCJ2" s="1815"/>
      <c r="TCK2" s="1815"/>
      <c r="TCL2" s="1815"/>
      <c r="TCM2" s="1815"/>
      <c r="TCN2" s="1815"/>
      <c r="TCO2" s="1815"/>
      <c r="TCP2" s="1815"/>
      <c r="TCQ2" s="1815"/>
      <c r="TCR2" s="1815"/>
      <c r="TCS2" s="1815"/>
      <c r="TCT2" s="1815"/>
      <c r="TCU2" s="1815"/>
      <c r="TCV2" s="1815"/>
      <c r="TCW2" s="1815"/>
      <c r="TCX2" s="1815"/>
      <c r="TCY2" s="1815"/>
      <c r="TCZ2" s="1815"/>
      <c r="TDA2" s="1815"/>
      <c r="TDB2" s="1815"/>
      <c r="TDC2" s="1815"/>
      <c r="TDD2" s="1815"/>
      <c r="TDE2" s="1815"/>
      <c r="TDF2" s="1815"/>
      <c r="TDG2" s="1815"/>
      <c r="TDH2" s="1815"/>
      <c r="TDI2" s="1815"/>
      <c r="TDJ2" s="1815"/>
      <c r="TDK2" s="1815"/>
      <c r="TDL2" s="1815"/>
      <c r="TDM2" s="1815"/>
      <c r="TDN2" s="1815"/>
      <c r="TDO2" s="1815"/>
      <c r="TDP2" s="1815"/>
      <c r="TDQ2" s="1815"/>
      <c r="TDR2" s="1815"/>
      <c r="TDS2" s="1815"/>
      <c r="TDT2" s="1815"/>
      <c r="TDU2" s="1815"/>
      <c r="TDV2" s="1815"/>
      <c r="TDW2" s="1815"/>
      <c r="TDX2" s="1815"/>
      <c r="TDY2" s="1815"/>
      <c r="TDZ2" s="1815"/>
      <c r="TEA2" s="1815"/>
      <c r="TEB2" s="1815"/>
      <c r="TEC2" s="1815"/>
      <c r="TED2" s="1815"/>
      <c r="TEE2" s="1815"/>
      <c r="TEF2" s="1815"/>
      <c r="TEG2" s="1815"/>
      <c r="TEH2" s="1815"/>
      <c r="TEI2" s="1815"/>
      <c r="TEJ2" s="1815"/>
      <c r="TEK2" s="1815"/>
      <c r="TEL2" s="1815"/>
      <c r="TEM2" s="1815"/>
      <c r="TEN2" s="1815"/>
      <c r="TEO2" s="1815"/>
      <c r="TEP2" s="1815"/>
      <c r="TEQ2" s="1815"/>
      <c r="TER2" s="1815"/>
      <c r="TES2" s="1815"/>
      <c r="TET2" s="1815"/>
      <c r="TEU2" s="1815"/>
      <c r="TEV2" s="1815"/>
      <c r="TEW2" s="1815"/>
      <c r="TEX2" s="1815"/>
      <c r="TEY2" s="1815"/>
      <c r="TEZ2" s="1815"/>
      <c r="TFA2" s="1815"/>
      <c r="TFB2" s="1815"/>
      <c r="TFC2" s="1815"/>
      <c r="TFD2" s="1815"/>
      <c r="TFE2" s="1815"/>
      <c r="TFF2" s="1815"/>
      <c r="TFG2" s="1815"/>
      <c r="TFH2" s="1815"/>
      <c r="TFI2" s="1815"/>
      <c r="TFJ2" s="1815"/>
      <c r="TFK2" s="1815"/>
      <c r="TFL2" s="1815"/>
      <c r="TFM2" s="1815"/>
      <c r="TFN2" s="1815"/>
      <c r="TFO2" s="1815"/>
      <c r="TFP2" s="1815"/>
      <c r="TFQ2" s="1815"/>
      <c r="TFR2" s="1815"/>
      <c r="TFS2" s="1815"/>
      <c r="TFT2" s="1815"/>
      <c r="TFU2" s="1815"/>
      <c r="TFV2" s="1815"/>
      <c r="TFW2" s="1815"/>
      <c r="TFX2" s="1815"/>
      <c r="TFY2" s="1815"/>
      <c r="TFZ2" s="1815"/>
      <c r="TGA2" s="1815"/>
      <c r="TGB2" s="1815"/>
      <c r="TGC2" s="1815"/>
      <c r="TGD2" s="1815"/>
      <c r="TGE2" s="1815"/>
      <c r="TGF2" s="1815"/>
      <c r="TGG2" s="1815"/>
      <c r="TGH2" s="1815"/>
      <c r="TGI2" s="1815"/>
      <c r="TGJ2" s="1815"/>
      <c r="TGK2" s="1815"/>
      <c r="TGL2" s="1815"/>
      <c r="TGM2" s="1815"/>
      <c r="TGN2" s="1815"/>
      <c r="TGO2" s="1815"/>
      <c r="TGP2" s="1815"/>
      <c r="TGQ2" s="1815"/>
      <c r="TGR2" s="1815"/>
      <c r="TGS2" s="1815"/>
      <c r="TGT2" s="1815"/>
      <c r="TGU2" s="1815"/>
      <c r="TGV2" s="1815"/>
      <c r="TGW2" s="1815"/>
      <c r="TGX2" s="1815"/>
      <c r="TGY2" s="1815"/>
      <c r="TGZ2" s="1815"/>
      <c r="THA2" s="1815"/>
      <c r="THB2" s="1815"/>
      <c r="THC2" s="1815"/>
      <c r="THD2" s="1815"/>
      <c r="THE2" s="1815"/>
      <c r="THF2" s="1815"/>
      <c r="THG2" s="1815"/>
      <c r="THH2" s="1815"/>
      <c r="THI2" s="1815"/>
      <c r="THJ2" s="1815"/>
      <c r="THK2" s="1815"/>
      <c r="THL2" s="1815"/>
      <c r="THM2" s="1815"/>
      <c r="THN2" s="1815"/>
      <c r="THO2" s="1815"/>
      <c r="THP2" s="1815"/>
      <c r="THQ2" s="1815"/>
      <c r="THR2" s="1815"/>
      <c r="THS2" s="1815"/>
      <c r="THT2" s="1815"/>
      <c r="THU2" s="1815"/>
      <c r="THV2" s="1815"/>
      <c r="THW2" s="1815"/>
      <c r="THX2" s="1815"/>
      <c r="THY2" s="1815"/>
      <c r="THZ2" s="1815"/>
      <c r="TIA2" s="1815"/>
      <c r="TIB2" s="1815"/>
      <c r="TIC2" s="1815"/>
      <c r="TID2" s="1815"/>
      <c r="TIE2" s="1815"/>
      <c r="TIF2" s="1815"/>
      <c r="TIG2" s="1815"/>
      <c r="TIH2" s="1815"/>
      <c r="TII2" s="1815"/>
      <c r="TIJ2" s="1815"/>
      <c r="TIK2" s="1815"/>
      <c r="TIL2" s="1815"/>
      <c r="TIM2" s="1815"/>
      <c r="TIN2" s="1815"/>
      <c r="TIO2" s="1815"/>
      <c r="TIP2" s="1815"/>
      <c r="TIQ2" s="1815"/>
      <c r="TIR2" s="1815"/>
      <c r="TIS2" s="1815"/>
      <c r="TIT2" s="1815"/>
      <c r="TIU2" s="1815"/>
      <c r="TIV2" s="1815"/>
      <c r="TIW2" s="1815"/>
      <c r="TIX2" s="1815"/>
      <c r="TIY2" s="1815"/>
      <c r="TIZ2" s="1815"/>
      <c r="TJA2" s="1815"/>
      <c r="TJB2" s="1815"/>
      <c r="TJC2" s="1815"/>
      <c r="TJD2" s="1815"/>
      <c r="TJE2" s="1815"/>
      <c r="TJF2" s="1815"/>
      <c r="TJG2" s="1815"/>
      <c r="TJH2" s="1815"/>
      <c r="TJI2" s="1815"/>
      <c r="TJJ2" s="1815"/>
      <c r="TJK2" s="1815"/>
      <c r="TJL2" s="1815"/>
      <c r="TJM2" s="1815"/>
      <c r="TJN2" s="1815"/>
      <c r="TJO2" s="1815"/>
      <c r="TJP2" s="1815"/>
      <c r="TJQ2" s="1815"/>
      <c r="TJR2" s="1815"/>
      <c r="TJS2" s="1815"/>
      <c r="TJT2" s="1815"/>
      <c r="TJU2" s="1815"/>
      <c r="TJV2" s="1815"/>
      <c r="TJW2" s="1815"/>
      <c r="TJX2" s="1815"/>
      <c r="TJY2" s="1815"/>
      <c r="TJZ2" s="1815"/>
      <c r="TKA2" s="1815"/>
      <c r="TKB2" s="1815"/>
      <c r="TKC2" s="1815"/>
      <c r="TKD2" s="1815"/>
      <c r="TKE2" s="1815"/>
      <c r="TKF2" s="1815"/>
      <c r="TKG2" s="1815"/>
      <c r="TKH2" s="1815"/>
      <c r="TKI2" s="1815"/>
      <c r="TKJ2" s="1815"/>
      <c r="TKK2" s="1815"/>
      <c r="TKL2" s="1815"/>
      <c r="TKM2" s="1815"/>
      <c r="TKN2" s="1815"/>
      <c r="TKO2" s="1815"/>
      <c r="TKP2" s="1815"/>
      <c r="TKQ2" s="1815"/>
      <c r="TKR2" s="1815"/>
      <c r="TKS2" s="1815"/>
      <c r="TKT2" s="1815"/>
      <c r="TKU2" s="1815"/>
      <c r="TKV2" s="1815"/>
      <c r="TKW2" s="1815"/>
      <c r="TKX2" s="1815"/>
      <c r="TKY2" s="1815"/>
      <c r="TKZ2" s="1815"/>
      <c r="TLA2" s="1815"/>
      <c r="TLB2" s="1815"/>
      <c r="TLC2" s="1815"/>
      <c r="TLD2" s="1815"/>
      <c r="TLE2" s="1815"/>
      <c r="TLF2" s="1815"/>
      <c r="TLG2" s="1815"/>
      <c r="TLH2" s="1815"/>
      <c r="TLI2" s="1815"/>
      <c r="TLJ2" s="1815"/>
      <c r="TLK2" s="1815"/>
      <c r="TLL2" s="1815"/>
      <c r="TLM2" s="1815"/>
      <c r="TLN2" s="1815"/>
      <c r="TLO2" s="1815"/>
      <c r="TLP2" s="1815"/>
      <c r="TLQ2" s="1815"/>
      <c r="TLR2" s="1815"/>
      <c r="TLS2" s="1815"/>
      <c r="TLT2" s="1815"/>
      <c r="TLU2" s="1815"/>
      <c r="TLV2" s="1815"/>
      <c r="TLW2" s="1815"/>
      <c r="TLX2" s="1815"/>
      <c r="TLY2" s="1815"/>
      <c r="TLZ2" s="1815"/>
      <c r="TMA2" s="1815"/>
      <c r="TMB2" s="1815"/>
      <c r="TMC2" s="1815"/>
      <c r="TMD2" s="1815"/>
      <c r="TME2" s="1815"/>
      <c r="TMF2" s="1815"/>
      <c r="TMG2" s="1815"/>
      <c r="TMH2" s="1815"/>
      <c r="TMI2" s="1815"/>
      <c r="TMJ2" s="1815"/>
      <c r="TMK2" s="1815"/>
      <c r="TML2" s="1815"/>
      <c r="TMM2" s="1815"/>
      <c r="TMN2" s="1815"/>
      <c r="TMO2" s="1815"/>
      <c r="TMP2" s="1815"/>
      <c r="TMQ2" s="1815"/>
      <c r="TMR2" s="1815"/>
      <c r="TMS2" s="1815"/>
      <c r="TMT2" s="1815"/>
      <c r="TMU2" s="1815"/>
      <c r="TMV2" s="1815"/>
      <c r="TMW2" s="1815"/>
      <c r="TMX2" s="1815"/>
      <c r="TMY2" s="1815"/>
      <c r="TMZ2" s="1815"/>
      <c r="TNA2" s="1815"/>
      <c r="TNB2" s="1815"/>
      <c r="TNC2" s="1815"/>
      <c r="TND2" s="1815"/>
      <c r="TNE2" s="1815"/>
      <c r="TNF2" s="1815"/>
      <c r="TNG2" s="1815"/>
      <c r="TNH2" s="1815"/>
      <c r="TNI2" s="1815"/>
      <c r="TNJ2" s="1815"/>
      <c r="TNK2" s="1815"/>
      <c r="TNL2" s="1815"/>
      <c r="TNM2" s="1815"/>
      <c r="TNN2" s="1815"/>
      <c r="TNO2" s="1815"/>
      <c r="TNP2" s="1815"/>
      <c r="TNQ2" s="1815"/>
      <c r="TNR2" s="1815"/>
      <c r="TNS2" s="1815"/>
      <c r="TNT2" s="1815"/>
      <c r="TNU2" s="1815"/>
      <c r="TNV2" s="1815"/>
      <c r="TNW2" s="1815"/>
      <c r="TNX2" s="1815"/>
      <c r="TNY2" s="1815"/>
      <c r="TNZ2" s="1815"/>
      <c r="TOA2" s="1815"/>
      <c r="TOB2" s="1815"/>
      <c r="TOC2" s="1815"/>
      <c r="TOD2" s="1815"/>
      <c r="TOE2" s="1815"/>
      <c r="TOF2" s="1815"/>
      <c r="TOG2" s="1815"/>
      <c r="TOH2" s="1815"/>
      <c r="TOI2" s="1815"/>
      <c r="TOJ2" s="1815"/>
      <c r="TOK2" s="1815"/>
      <c r="TOL2" s="1815"/>
      <c r="TOM2" s="1815"/>
      <c r="TON2" s="1815"/>
      <c r="TOO2" s="1815"/>
      <c r="TOP2" s="1815"/>
      <c r="TOQ2" s="1815"/>
      <c r="TOR2" s="1815"/>
      <c r="TOS2" s="1815"/>
      <c r="TOT2" s="1815"/>
      <c r="TOU2" s="1815"/>
      <c r="TOV2" s="1815"/>
      <c r="TOW2" s="1815"/>
      <c r="TOX2" s="1815"/>
      <c r="TOY2" s="1815"/>
      <c r="TOZ2" s="1815"/>
      <c r="TPA2" s="1815"/>
      <c r="TPB2" s="1815"/>
      <c r="TPC2" s="1815"/>
      <c r="TPD2" s="1815"/>
      <c r="TPE2" s="1815"/>
      <c r="TPF2" s="1815"/>
      <c r="TPG2" s="1815"/>
      <c r="TPH2" s="1815"/>
      <c r="TPI2" s="1815"/>
      <c r="TPJ2" s="1815"/>
      <c r="TPK2" s="1815"/>
      <c r="TPL2" s="1815"/>
      <c r="TPM2" s="1815"/>
      <c r="TPN2" s="1815"/>
      <c r="TPO2" s="1815"/>
      <c r="TPP2" s="1815"/>
      <c r="TPQ2" s="1815"/>
      <c r="TPR2" s="1815"/>
      <c r="TPS2" s="1815"/>
      <c r="TPT2" s="1815"/>
      <c r="TPU2" s="1815"/>
      <c r="TPV2" s="1815"/>
      <c r="TPW2" s="1815"/>
      <c r="TPX2" s="1815"/>
      <c r="TPY2" s="1815"/>
      <c r="TPZ2" s="1815"/>
      <c r="TQA2" s="1815"/>
      <c r="TQB2" s="1815"/>
      <c r="TQC2" s="1815"/>
      <c r="TQD2" s="1815"/>
      <c r="TQE2" s="1815"/>
      <c r="TQF2" s="1815"/>
      <c r="TQG2" s="1815"/>
      <c r="TQH2" s="1815"/>
      <c r="TQI2" s="1815"/>
      <c r="TQJ2" s="1815"/>
      <c r="TQK2" s="1815"/>
      <c r="TQL2" s="1815"/>
      <c r="TQM2" s="1815"/>
      <c r="TQN2" s="1815"/>
      <c r="TQO2" s="1815"/>
      <c r="TQP2" s="1815"/>
      <c r="TQQ2" s="1815"/>
      <c r="TQR2" s="1815"/>
      <c r="TQS2" s="1815"/>
      <c r="TQT2" s="1815"/>
      <c r="TQU2" s="1815"/>
      <c r="TQV2" s="1815"/>
      <c r="TQW2" s="1815"/>
      <c r="TQX2" s="1815"/>
      <c r="TQY2" s="1815"/>
      <c r="TQZ2" s="1815"/>
      <c r="TRA2" s="1815"/>
      <c r="TRB2" s="1815"/>
      <c r="TRC2" s="1815"/>
      <c r="TRD2" s="1815"/>
      <c r="TRE2" s="1815"/>
      <c r="TRF2" s="1815"/>
      <c r="TRG2" s="1815"/>
      <c r="TRH2" s="1815"/>
      <c r="TRI2" s="1815"/>
      <c r="TRJ2" s="1815"/>
      <c r="TRK2" s="1815"/>
      <c r="TRL2" s="1815"/>
      <c r="TRM2" s="1815"/>
      <c r="TRN2" s="1815"/>
      <c r="TRO2" s="1815"/>
      <c r="TRP2" s="1815"/>
      <c r="TRQ2" s="1815"/>
      <c r="TRR2" s="1815"/>
      <c r="TRS2" s="1815"/>
      <c r="TRT2" s="1815"/>
      <c r="TRU2" s="1815"/>
      <c r="TRV2" s="1815"/>
      <c r="TRW2" s="1815"/>
      <c r="TRX2" s="1815"/>
      <c r="TRY2" s="1815"/>
      <c r="TRZ2" s="1815"/>
      <c r="TSA2" s="1815"/>
      <c r="TSB2" s="1815"/>
      <c r="TSC2" s="1815"/>
      <c r="TSD2" s="1815"/>
      <c r="TSE2" s="1815"/>
      <c r="TSF2" s="1815"/>
      <c r="TSG2" s="1815"/>
      <c r="TSH2" s="1815"/>
      <c r="TSI2" s="1815"/>
      <c r="TSJ2" s="1815"/>
      <c r="TSK2" s="1815"/>
      <c r="TSL2" s="1815"/>
      <c r="TSM2" s="1815"/>
      <c r="TSN2" s="1815"/>
      <c r="TSO2" s="1815"/>
      <c r="TSP2" s="1815"/>
      <c r="TSQ2" s="1815"/>
      <c r="TSR2" s="1815"/>
      <c r="TSS2" s="1815"/>
      <c r="TST2" s="1815"/>
      <c r="TSU2" s="1815"/>
      <c r="TSV2" s="1815"/>
      <c r="TSW2" s="1815"/>
      <c r="TSX2" s="1815"/>
      <c r="TSY2" s="1815"/>
      <c r="TSZ2" s="1815"/>
      <c r="TTA2" s="1815"/>
      <c r="TTB2" s="1815"/>
      <c r="TTC2" s="1815"/>
      <c r="TTD2" s="1815"/>
      <c r="TTE2" s="1815"/>
      <c r="TTF2" s="1815"/>
      <c r="TTG2" s="1815"/>
      <c r="TTH2" s="1815"/>
      <c r="TTI2" s="1815"/>
      <c r="TTJ2" s="1815"/>
      <c r="TTK2" s="1815"/>
      <c r="TTL2" s="1815"/>
      <c r="TTM2" s="1815"/>
      <c r="TTN2" s="1815"/>
      <c r="TTO2" s="1815"/>
      <c r="TTP2" s="1815"/>
      <c r="TTQ2" s="1815"/>
      <c r="TTR2" s="1815"/>
      <c r="TTS2" s="1815"/>
      <c r="TTT2" s="1815"/>
      <c r="TTU2" s="1815"/>
      <c r="TTV2" s="1815"/>
      <c r="TTW2" s="1815"/>
      <c r="TTX2" s="1815"/>
      <c r="TTY2" s="1815"/>
      <c r="TTZ2" s="1815"/>
      <c r="TUA2" s="1815"/>
      <c r="TUB2" s="1815"/>
      <c r="TUC2" s="1815"/>
      <c r="TUD2" s="1815"/>
      <c r="TUE2" s="1815"/>
      <c r="TUF2" s="1815"/>
      <c r="TUG2" s="1815"/>
      <c r="TUH2" s="1815"/>
      <c r="TUI2" s="1815"/>
      <c r="TUJ2" s="1815"/>
      <c r="TUK2" s="1815"/>
      <c r="TUL2" s="1815"/>
      <c r="TUM2" s="1815"/>
      <c r="TUN2" s="1815"/>
      <c r="TUO2" s="1815"/>
      <c r="TUP2" s="1815"/>
      <c r="TUQ2" s="1815"/>
      <c r="TUR2" s="1815"/>
      <c r="TUS2" s="1815"/>
      <c r="TUT2" s="1815"/>
      <c r="TUU2" s="1815"/>
      <c r="TUV2" s="1815"/>
      <c r="TUW2" s="1815"/>
      <c r="TUX2" s="1815"/>
      <c r="TUY2" s="1815"/>
      <c r="TUZ2" s="1815"/>
      <c r="TVA2" s="1815"/>
      <c r="TVB2" s="1815"/>
      <c r="TVC2" s="1815"/>
      <c r="TVD2" s="1815"/>
      <c r="TVE2" s="1815"/>
      <c r="TVF2" s="1815"/>
      <c r="TVG2" s="1815"/>
      <c r="TVH2" s="1815"/>
      <c r="TVI2" s="1815"/>
      <c r="TVJ2" s="1815"/>
      <c r="TVK2" s="1815"/>
      <c r="TVL2" s="1815"/>
      <c r="TVM2" s="1815"/>
      <c r="TVN2" s="1815"/>
      <c r="TVO2" s="1815"/>
      <c r="TVP2" s="1815"/>
      <c r="TVQ2" s="1815"/>
      <c r="TVR2" s="1815"/>
      <c r="TVS2" s="1815"/>
      <c r="TVT2" s="1815"/>
      <c r="TVU2" s="1815"/>
      <c r="TVV2" s="1815"/>
      <c r="TVW2" s="1815"/>
      <c r="TVX2" s="1815"/>
      <c r="TVY2" s="1815"/>
      <c r="TVZ2" s="1815"/>
      <c r="TWA2" s="1815"/>
      <c r="TWB2" s="1815"/>
      <c r="TWC2" s="1815"/>
      <c r="TWD2" s="1815"/>
      <c r="TWE2" s="1815"/>
      <c r="TWF2" s="1815"/>
      <c r="TWG2" s="1815"/>
      <c r="TWH2" s="1815"/>
      <c r="TWI2" s="1815"/>
      <c r="TWJ2" s="1815"/>
      <c r="TWK2" s="1815"/>
      <c r="TWL2" s="1815"/>
      <c r="TWM2" s="1815"/>
      <c r="TWN2" s="1815"/>
      <c r="TWO2" s="1815"/>
      <c r="TWP2" s="1815"/>
      <c r="TWQ2" s="1815"/>
      <c r="TWR2" s="1815"/>
      <c r="TWS2" s="1815"/>
      <c r="TWT2" s="1815"/>
      <c r="TWU2" s="1815"/>
      <c r="TWV2" s="1815"/>
      <c r="TWW2" s="1815"/>
      <c r="TWX2" s="1815"/>
      <c r="TWY2" s="1815"/>
      <c r="TWZ2" s="1815"/>
      <c r="TXA2" s="1815"/>
      <c r="TXB2" s="1815"/>
      <c r="TXC2" s="1815"/>
      <c r="TXD2" s="1815"/>
      <c r="TXE2" s="1815"/>
      <c r="TXF2" s="1815"/>
      <c r="TXG2" s="1815"/>
      <c r="TXH2" s="1815"/>
      <c r="TXI2" s="1815"/>
      <c r="TXJ2" s="1815"/>
      <c r="TXK2" s="1815"/>
      <c r="TXL2" s="1815"/>
      <c r="TXM2" s="1815"/>
      <c r="TXN2" s="1815"/>
      <c r="TXO2" s="1815"/>
      <c r="TXP2" s="1815"/>
      <c r="TXQ2" s="1815"/>
      <c r="TXR2" s="1815"/>
      <c r="TXS2" s="1815"/>
      <c r="TXT2" s="1815"/>
      <c r="TXU2" s="1815"/>
      <c r="TXV2" s="1815"/>
      <c r="TXW2" s="1815"/>
      <c r="TXX2" s="1815"/>
      <c r="TXY2" s="1815"/>
      <c r="TXZ2" s="1815"/>
      <c r="TYA2" s="1815"/>
      <c r="TYB2" s="1815"/>
      <c r="TYC2" s="1815"/>
      <c r="TYD2" s="1815"/>
      <c r="TYE2" s="1815"/>
      <c r="TYF2" s="1815"/>
      <c r="TYG2" s="1815"/>
      <c r="TYH2" s="1815"/>
      <c r="TYI2" s="1815"/>
      <c r="TYJ2" s="1815"/>
      <c r="TYK2" s="1815"/>
      <c r="TYL2" s="1815"/>
      <c r="TYM2" s="1815"/>
      <c r="TYN2" s="1815"/>
      <c r="TYO2" s="1815"/>
      <c r="TYP2" s="1815"/>
      <c r="TYQ2" s="1815"/>
      <c r="TYR2" s="1815"/>
      <c r="TYS2" s="1815"/>
      <c r="TYT2" s="1815"/>
      <c r="TYU2" s="1815"/>
      <c r="TYV2" s="1815"/>
      <c r="TYW2" s="1815"/>
      <c r="TYX2" s="1815"/>
      <c r="TYY2" s="1815"/>
      <c r="TYZ2" s="1815"/>
      <c r="TZA2" s="1815"/>
      <c r="TZB2" s="1815"/>
      <c r="TZC2" s="1815"/>
      <c r="TZD2" s="1815"/>
      <c r="TZE2" s="1815"/>
      <c r="TZF2" s="1815"/>
      <c r="TZG2" s="1815"/>
      <c r="TZH2" s="1815"/>
      <c r="TZI2" s="1815"/>
      <c r="TZJ2" s="1815"/>
      <c r="TZK2" s="1815"/>
      <c r="TZL2" s="1815"/>
      <c r="TZM2" s="1815"/>
      <c r="TZN2" s="1815"/>
      <c r="TZO2" s="1815"/>
      <c r="TZP2" s="1815"/>
      <c r="TZQ2" s="1815"/>
      <c r="TZR2" s="1815"/>
      <c r="TZS2" s="1815"/>
      <c r="TZT2" s="1815"/>
      <c r="TZU2" s="1815"/>
      <c r="TZV2" s="1815"/>
      <c r="TZW2" s="1815"/>
      <c r="TZX2" s="1815"/>
      <c r="TZY2" s="1815"/>
      <c r="TZZ2" s="1815"/>
      <c r="UAA2" s="1815"/>
      <c r="UAB2" s="1815"/>
      <c r="UAC2" s="1815"/>
      <c r="UAD2" s="1815"/>
      <c r="UAE2" s="1815"/>
      <c r="UAF2" s="1815"/>
      <c r="UAG2" s="1815"/>
      <c r="UAH2" s="1815"/>
      <c r="UAI2" s="1815"/>
      <c r="UAJ2" s="1815"/>
      <c r="UAK2" s="1815"/>
      <c r="UAL2" s="1815"/>
      <c r="UAM2" s="1815"/>
      <c r="UAN2" s="1815"/>
      <c r="UAO2" s="1815"/>
      <c r="UAP2" s="1815"/>
      <c r="UAQ2" s="1815"/>
      <c r="UAR2" s="1815"/>
      <c r="UAS2" s="1815"/>
      <c r="UAT2" s="1815"/>
      <c r="UAU2" s="1815"/>
      <c r="UAV2" s="1815"/>
      <c r="UAW2" s="1815"/>
      <c r="UAX2" s="1815"/>
      <c r="UAY2" s="1815"/>
      <c r="UAZ2" s="1815"/>
      <c r="UBA2" s="1815"/>
      <c r="UBB2" s="1815"/>
      <c r="UBC2" s="1815"/>
      <c r="UBD2" s="1815"/>
      <c r="UBE2" s="1815"/>
      <c r="UBF2" s="1815"/>
      <c r="UBG2" s="1815"/>
      <c r="UBH2" s="1815"/>
      <c r="UBI2" s="1815"/>
      <c r="UBJ2" s="1815"/>
      <c r="UBK2" s="1815"/>
      <c r="UBL2" s="1815"/>
      <c r="UBM2" s="1815"/>
      <c r="UBN2" s="1815"/>
      <c r="UBO2" s="1815"/>
      <c r="UBP2" s="1815"/>
      <c r="UBQ2" s="1815"/>
      <c r="UBR2" s="1815"/>
      <c r="UBS2" s="1815"/>
      <c r="UBT2" s="1815"/>
      <c r="UBU2" s="1815"/>
      <c r="UBV2" s="1815"/>
      <c r="UBW2" s="1815"/>
      <c r="UBX2" s="1815"/>
      <c r="UBY2" s="1815"/>
      <c r="UBZ2" s="1815"/>
      <c r="UCA2" s="1815"/>
      <c r="UCB2" s="1815"/>
      <c r="UCC2" s="1815"/>
      <c r="UCD2" s="1815"/>
      <c r="UCE2" s="1815"/>
      <c r="UCF2" s="1815"/>
      <c r="UCG2" s="1815"/>
      <c r="UCH2" s="1815"/>
      <c r="UCI2" s="1815"/>
      <c r="UCJ2" s="1815"/>
      <c r="UCK2" s="1815"/>
      <c r="UCL2" s="1815"/>
      <c r="UCM2" s="1815"/>
      <c r="UCN2" s="1815"/>
      <c r="UCO2" s="1815"/>
      <c r="UCP2" s="1815"/>
      <c r="UCQ2" s="1815"/>
      <c r="UCR2" s="1815"/>
      <c r="UCS2" s="1815"/>
      <c r="UCT2" s="1815"/>
      <c r="UCU2" s="1815"/>
      <c r="UCV2" s="1815"/>
      <c r="UCW2" s="1815"/>
      <c r="UCX2" s="1815"/>
      <c r="UCY2" s="1815"/>
      <c r="UCZ2" s="1815"/>
      <c r="UDA2" s="1815"/>
      <c r="UDB2" s="1815"/>
      <c r="UDC2" s="1815"/>
      <c r="UDD2" s="1815"/>
      <c r="UDE2" s="1815"/>
      <c r="UDF2" s="1815"/>
      <c r="UDG2" s="1815"/>
      <c r="UDH2" s="1815"/>
      <c r="UDI2" s="1815"/>
      <c r="UDJ2" s="1815"/>
      <c r="UDK2" s="1815"/>
      <c r="UDL2" s="1815"/>
      <c r="UDM2" s="1815"/>
      <c r="UDN2" s="1815"/>
      <c r="UDO2" s="1815"/>
      <c r="UDP2" s="1815"/>
      <c r="UDQ2" s="1815"/>
      <c r="UDR2" s="1815"/>
      <c r="UDS2" s="1815"/>
      <c r="UDT2" s="1815"/>
      <c r="UDU2" s="1815"/>
      <c r="UDV2" s="1815"/>
      <c r="UDW2" s="1815"/>
      <c r="UDX2" s="1815"/>
      <c r="UDY2" s="1815"/>
      <c r="UDZ2" s="1815"/>
      <c r="UEA2" s="1815"/>
      <c r="UEB2" s="1815"/>
      <c r="UEC2" s="1815"/>
      <c r="UED2" s="1815"/>
      <c r="UEE2" s="1815"/>
      <c r="UEF2" s="1815"/>
      <c r="UEG2" s="1815"/>
      <c r="UEH2" s="1815"/>
      <c r="UEI2" s="1815"/>
      <c r="UEJ2" s="1815"/>
      <c r="UEK2" s="1815"/>
      <c r="UEL2" s="1815"/>
      <c r="UEM2" s="1815"/>
      <c r="UEN2" s="1815"/>
      <c r="UEO2" s="1815"/>
      <c r="UEP2" s="1815"/>
      <c r="UEQ2" s="1815"/>
      <c r="UER2" s="1815"/>
      <c r="UES2" s="1815"/>
      <c r="UET2" s="1815"/>
      <c r="UEU2" s="1815"/>
      <c r="UEV2" s="1815"/>
      <c r="UEW2" s="1815"/>
      <c r="UEX2" s="1815"/>
      <c r="UEY2" s="1815"/>
      <c r="UEZ2" s="1815"/>
      <c r="UFA2" s="1815"/>
      <c r="UFB2" s="1815"/>
      <c r="UFC2" s="1815"/>
      <c r="UFD2" s="1815"/>
      <c r="UFE2" s="1815"/>
      <c r="UFF2" s="1815"/>
      <c r="UFG2" s="1815"/>
      <c r="UFH2" s="1815"/>
      <c r="UFI2" s="1815"/>
      <c r="UFJ2" s="1815"/>
      <c r="UFK2" s="1815"/>
      <c r="UFL2" s="1815"/>
      <c r="UFM2" s="1815"/>
      <c r="UFN2" s="1815"/>
      <c r="UFO2" s="1815"/>
      <c r="UFP2" s="1815"/>
      <c r="UFQ2" s="1815"/>
      <c r="UFR2" s="1815"/>
      <c r="UFS2" s="1815"/>
      <c r="UFT2" s="1815"/>
      <c r="UFU2" s="1815"/>
      <c r="UFV2" s="1815"/>
      <c r="UFW2" s="1815"/>
      <c r="UFX2" s="1815"/>
      <c r="UFY2" s="1815"/>
      <c r="UFZ2" s="1815"/>
      <c r="UGA2" s="1815"/>
      <c r="UGB2" s="1815"/>
      <c r="UGC2" s="1815"/>
      <c r="UGD2" s="1815"/>
      <c r="UGE2" s="1815"/>
      <c r="UGF2" s="1815"/>
      <c r="UGG2" s="1815"/>
      <c r="UGH2" s="1815"/>
      <c r="UGI2" s="1815"/>
      <c r="UGJ2" s="1815"/>
      <c r="UGK2" s="1815"/>
      <c r="UGL2" s="1815"/>
      <c r="UGM2" s="1815"/>
      <c r="UGN2" s="1815"/>
      <c r="UGO2" s="1815"/>
      <c r="UGP2" s="1815"/>
      <c r="UGQ2" s="1815"/>
      <c r="UGR2" s="1815"/>
      <c r="UGS2" s="1815"/>
      <c r="UGT2" s="1815"/>
      <c r="UGU2" s="1815"/>
      <c r="UGV2" s="1815"/>
      <c r="UGW2" s="1815"/>
      <c r="UGX2" s="1815"/>
      <c r="UGY2" s="1815"/>
      <c r="UGZ2" s="1815"/>
      <c r="UHA2" s="1815"/>
      <c r="UHB2" s="1815"/>
      <c r="UHC2" s="1815"/>
      <c r="UHD2" s="1815"/>
      <c r="UHE2" s="1815"/>
      <c r="UHF2" s="1815"/>
      <c r="UHG2" s="1815"/>
      <c r="UHH2" s="1815"/>
      <c r="UHI2" s="1815"/>
      <c r="UHJ2" s="1815"/>
      <c r="UHK2" s="1815"/>
      <c r="UHL2" s="1815"/>
      <c r="UHM2" s="1815"/>
      <c r="UHN2" s="1815"/>
      <c r="UHO2" s="1815"/>
      <c r="UHP2" s="1815"/>
      <c r="UHQ2" s="1815"/>
      <c r="UHR2" s="1815"/>
      <c r="UHS2" s="1815"/>
      <c r="UHT2" s="1815"/>
      <c r="UHU2" s="1815"/>
      <c r="UHV2" s="1815"/>
      <c r="UHW2" s="1815"/>
      <c r="UHX2" s="1815"/>
      <c r="UHY2" s="1815"/>
      <c r="UHZ2" s="1815"/>
      <c r="UIA2" s="1815"/>
      <c r="UIB2" s="1815"/>
      <c r="UIC2" s="1815"/>
      <c r="UID2" s="1815"/>
      <c r="UIE2" s="1815"/>
      <c r="UIF2" s="1815"/>
      <c r="UIG2" s="1815"/>
      <c r="UIH2" s="1815"/>
      <c r="UII2" s="1815"/>
      <c r="UIJ2" s="1815"/>
      <c r="UIK2" s="1815"/>
      <c r="UIL2" s="1815"/>
      <c r="UIM2" s="1815"/>
      <c r="UIN2" s="1815"/>
      <c r="UIO2" s="1815"/>
      <c r="UIP2" s="1815"/>
      <c r="UIQ2" s="1815"/>
      <c r="UIR2" s="1815"/>
      <c r="UIS2" s="1815"/>
      <c r="UIT2" s="1815"/>
      <c r="UIU2" s="1815"/>
      <c r="UIV2" s="1815"/>
      <c r="UIW2" s="1815"/>
      <c r="UIX2" s="1815"/>
      <c r="UIY2" s="1815"/>
      <c r="UIZ2" s="1815"/>
      <c r="UJA2" s="1815"/>
      <c r="UJB2" s="1815"/>
      <c r="UJC2" s="1815"/>
      <c r="UJD2" s="1815"/>
      <c r="UJE2" s="1815"/>
      <c r="UJF2" s="1815"/>
      <c r="UJG2" s="1815"/>
      <c r="UJH2" s="1815"/>
      <c r="UJI2" s="1815"/>
      <c r="UJJ2" s="1815"/>
      <c r="UJK2" s="1815"/>
      <c r="UJL2" s="1815"/>
      <c r="UJM2" s="1815"/>
      <c r="UJN2" s="1815"/>
      <c r="UJO2" s="1815"/>
      <c r="UJP2" s="1815"/>
      <c r="UJQ2" s="1815"/>
      <c r="UJR2" s="1815"/>
      <c r="UJS2" s="1815"/>
      <c r="UJT2" s="1815"/>
      <c r="UJU2" s="1815"/>
      <c r="UJV2" s="1815"/>
      <c r="UJW2" s="1815"/>
      <c r="UJX2" s="1815"/>
      <c r="UJY2" s="1815"/>
      <c r="UJZ2" s="1815"/>
      <c r="UKA2" s="1815"/>
      <c r="UKB2" s="1815"/>
      <c r="UKC2" s="1815"/>
      <c r="UKD2" s="1815"/>
      <c r="UKE2" s="1815"/>
      <c r="UKF2" s="1815"/>
      <c r="UKG2" s="1815"/>
      <c r="UKH2" s="1815"/>
      <c r="UKI2" s="1815"/>
      <c r="UKJ2" s="1815"/>
      <c r="UKK2" s="1815"/>
      <c r="UKL2" s="1815"/>
      <c r="UKM2" s="1815"/>
      <c r="UKN2" s="1815"/>
      <c r="UKO2" s="1815"/>
      <c r="UKP2" s="1815"/>
      <c r="UKQ2" s="1815"/>
      <c r="UKR2" s="1815"/>
      <c r="UKS2" s="1815"/>
      <c r="UKT2" s="1815"/>
      <c r="UKU2" s="1815"/>
      <c r="UKV2" s="1815"/>
      <c r="UKW2" s="1815"/>
      <c r="UKX2" s="1815"/>
      <c r="UKY2" s="1815"/>
      <c r="UKZ2" s="1815"/>
      <c r="ULA2" s="1815"/>
      <c r="ULB2" s="1815"/>
      <c r="ULC2" s="1815"/>
      <c r="ULD2" s="1815"/>
      <c r="ULE2" s="1815"/>
      <c r="ULF2" s="1815"/>
      <c r="ULG2" s="1815"/>
      <c r="ULH2" s="1815"/>
      <c r="ULI2" s="1815"/>
      <c r="ULJ2" s="1815"/>
      <c r="ULK2" s="1815"/>
      <c r="ULL2" s="1815"/>
      <c r="ULM2" s="1815"/>
      <c r="ULN2" s="1815"/>
      <c r="ULO2" s="1815"/>
      <c r="ULP2" s="1815"/>
      <c r="ULQ2" s="1815"/>
      <c r="ULR2" s="1815"/>
      <c r="ULS2" s="1815"/>
      <c r="ULT2" s="1815"/>
      <c r="ULU2" s="1815"/>
      <c r="ULV2" s="1815"/>
      <c r="ULW2" s="1815"/>
      <c r="ULX2" s="1815"/>
      <c r="ULY2" s="1815"/>
      <c r="ULZ2" s="1815"/>
      <c r="UMA2" s="1815"/>
      <c r="UMB2" s="1815"/>
      <c r="UMC2" s="1815"/>
      <c r="UMD2" s="1815"/>
      <c r="UME2" s="1815"/>
      <c r="UMF2" s="1815"/>
      <c r="UMG2" s="1815"/>
      <c r="UMH2" s="1815"/>
      <c r="UMI2" s="1815"/>
      <c r="UMJ2" s="1815"/>
      <c r="UMK2" s="1815"/>
      <c r="UML2" s="1815"/>
      <c r="UMM2" s="1815"/>
      <c r="UMN2" s="1815"/>
      <c r="UMO2" s="1815"/>
      <c r="UMP2" s="1815"/>
      <c r="UMQ2" s="1815"/>
      <c r="UMR2" s="1815"/>
      <c r="UMS2" s="1815"/>
      <c r="UMT2" s="1815"/>
      <c r="UMU2" s="1815"/>
      <c r="UMV2" s="1815"/>
      <c r="UMW2" s="1815"/>
      <c r="UMX2" s="1815"/>
      <c r="UMY2" s="1815"/>
      <c r="UMZ2" s="1815"/>
      <c r="UNA2" s="1815"/>
      <c r="UNB2" s="1815"/>
      <c r="UNC2" s="1815"/>
      <c r="UND2" s="1815"/>
      <c r="UNE2" s="1815"/>
      <c r="UNF2" s="1815"/>
      <c r="UNG2" s="1815"/>
      <c r="UNH2" s="1815"/>
      <c r="UNI2" s="1815"/>
      <c r="UNJ2" s="1815"/>
      <c r="UNK2" s="1815"/>
      <c r="UNL2" s="1815"/>
      <c r="UNM2" s="1815"/>
      <c r="UNN2" s="1815"/>
      <c r="UNO2" s="1815"/>
      <c r="UNP2" s="1815"/>
      <c r="UNQ2" s="1815"/>
      <c r="UNR2" s="1815"/>
      <c r="UNS2" s="1815"/>
      <c r="UNT2" s="1815"/>
      <c r="UNU2" s="1815"/>
      <c r="UNV2" s="1815"/>
      <c r="UNW2" s="1815"/>
      <c r="UNX2" s="1815"/>
      <c r="UNY2" s="1815"/>
      <c r="UNZ2" s="1815"/>
      <c r="UOA2" s="1815"/>
      <c r="UOB2" s="1815"/>
      <c r="UOC2" s="1815"/>
      <c r="UOD2" s="1815"/>
      <c r="UOE2" s="1815"/>
      <c r="UOF2" s="1815"/>
      <c r="UOG2" s="1815"/>
      <c r="UOH2" s="1815"/>
      <c r="UOI2" s="1815"/>
      <c r="UOJ2" s="1815"/>
      <c r="UOK2" s="1815"/>
      <c r="UOL2" s="1815"/>
      <c r="UOM2" s="1815"/>
      <c r="UON2" s="1815"/>
      <c r="UOO2" s="1815"/>
      <c r="UOP2" s="1815"/>
      <c r="UOQ2" s="1815"/>
      <c r="UOR2" s="1815"/>
      <c r="UOS2" s="1815"/>
      <c r="UOT2" s="1815"/>
      <c r="UOU2" s="1815"/>
      <c r="UOV2" s="1815"/>
      <c r="UOW2" s="1815"/>
      <c r="UOX2" s="1815"/>
      <c r="UOY2" s="1815"/>
      <c r="UOZ2" s="1815"/>
      <c r="UPA2" s="1815"/>
      <c r="UPB2" s="1815"/>
      <c r="UPC2" s="1815"/>
      <c r="UPD2" s="1815"/>
      <c r="UPE2" s="1815"/>
      <c r="UPF2" s="1815"/>
      <c r="UPG2" s="1815"/>
      <c r="UPH2" s="1815"/>
      <c r="UPI2" s="1815"/>
      <c r="UPJ2" s="1815"/>
      <c r="UPK2" s="1815"/>
      <c r="UPL2" s="1815"/>
      <c r="UPM2" s="1815"/>
      <c r="UPN2" s="1815"/>
      <c r="UPO2" s="1815"/>
      <c r="UPP2" s="1815"/>
      <c r="UPQ2" s="1815"/>
      <c r="UPR2" s="1815"/>
      <c r="UPS2" s="1815"/>
      <c r="UPT2" s="1815"/>
      <c r="UPU2" s="1815"/>
      <c r="UPV2" s="1815"/>
      <c r="UPW2" s="1815"/>
      <c r="UPX2" s="1815"/>
      <c r="UPY2" s="1815"/>
      <c r="UPZ2" s="1815"/>
      <c r="UQA2" s="1815"/>
      <c r="UQB2" s="1815"/>
      <c r="UQC2" s="1815"/>
      <c r="UQD2" s="1815"/>
      <c r="UQE2" s="1815"/>
      <c r="UQF2" s="1815"/>
      <c r="UQG2" s="1815"/>
      <c r="UQH2" s="1815"/>
      <c r="UQI2" s="1815"/>
      <c r="UQJ2" s="1815"/>
      <c r="UQK2" s="1815"/>
      <c r="UQL2" s="1815"/>
      <c r="UQM2" s="1815"/>
      <c r="UQN2" s="1815"/>
      <c r="UQO2" s="1815"/>
      <c r="UQP2" s="1815"/>
      <c r="UQQ2" s="1815"/>
      <c r="UQR2" s="1815"/>
      <c r="UQS2" s="1815"/>
      <c r="UQT2" s="1815"/>
      <c r="UQU2" s="1815"/>
      <c r="UQV2" s="1815"/>
      <c r="UQW2" s="1815"/>
      <c r="UQX2" s="1815"/>
      <c r="UQY2" s="1815"/>
      <c r="UQZ2" s="1815"/>
      <c r="URA2" s="1815"/>
      <c r="URB2" s="1815"/>
      <c r="URC2" s="1815"/>
      <c r="URD2" s="1815"/>
      <c r="URE2" s="1815"/>
      <c r="URF2" s="1815"/>
      <c r="URG2" s="1815"/>
      <c r="URH2" s="1815"/>
      <c r="URI2" s="1815"/>
      <c r="URJ2" s="1815"/>
      <c r="URK2" s="1815"/>
      <c r="URL2" s="1815"/>
      <c r="URM2" s="1815"/>
      <c r="URN2" s="1815"/>
      <c r="URO2" s="1815"/>
      <c r="URP2" s="1815"/>
      <c r="URQ2" s="1815"/>
      <c r="URR2" s="1815"/>
      <c r="URS2" s="1815"/>
      <c r="URT2" s="1815"/>
      <c r="URU2" s="1815"/>
      <c r="URV2" s="1815"/>
      <c r="URW2" s="1815"/>
      <c r="URX2" s="1815"/>
      <c r="URY2" s="1815"/>
      <c r="URZ2" s="1815"/>
      <c r="USA2" s="1815"/>
      <c r="USB2" s="1815"/>
      <c r="USC2" s="1815"/>
      <c r="USD2" s="1815"/>
      <c r="USE2" s="1815"/>
      <c r="USF2" s="1815"/>
      <c r="USG2" s="1815"/>
      <c r="USH2" s="1815"/>
      <c r="USI2" s="1815"/>
      <c r="USJ2" s="1815"/>
      <c r="USK2" s="1815"/>
      <c r="USL2" s="1815"/>
      <c r="USM2" s="1815"/>
      <c r="USN2" s="1815"/>
      <c r="USO2" s="1815"/>
      <c r="USP2" s="1815"/>
      <c r="USQ2" s="1815"/>
      <c r="USR2" s="1815"/>
      <c r="USS2" s="1815"/>
      <c r="UST2" s="1815"/>
      <c r="USU2" s="1815"/>
      <c r="USV2" s="1815"/>
      <c r="USW2" s="1815"/>
      <c r="USX2" s="1815"/>
      <c r="USY2" s="1815"/>
      <c r="USZ2" s="1815"/>
      <c r="UTA2" s="1815"/>
      <c r="UTB2" s="1815"/>
      <c r="UTC2" s="1815"/>
      <c r="UTD2" s="1815"/>
      <c r="UTE2" s="1815"/>
      <c r="UTF2" s="1815"/>
      <c r="UTG2" s="1815"/>
      <c r="UTH2" s="1815"/>
      <c r="UTI2" s="1815"/>
      <c r="UTJ2" s="1815"/>
      <c r="UTK2" s="1815"/>
      <c r="UTL2" s="1815"/>
      <c r="UTM2" s="1815"/>
      <c r="UTN2" s="1815"/>
      <c r="UTO2" s="1815"/>
      <c r="UTP2" s="1815"/>
      <c r="UTQ2" s="1815"/>
      <c r="UTR2" s="1815"/>
      <c r="UTS2" s="1815"/>
      <c r="UTT2" s="1815"/>
      <c r="UTU2" s="1815"/>
      <c r="UTV2" s="1815"/>
      <c r="UTW2" s="1815"/>
      <c r="UTX2" s="1815"/>
      <c r="UTY2" s="1815"/>
      <c r="UTZ2" s="1815"/>
      <c r="UUA2" s="1815"/>
      <c r="UUB2" s="1815"/>
      <c r="UUC2" s="1815"/>
      <c r="UUD2" s="1815"/>
      <c r="UUE2" s="1815"/>
      <c r="UUF2" s="1815"/>
      <c r="UUG2" s="1815"/>
      <c r="UUH2" s="1815"/>
      <c r="UUI2" s="1815"/>
      <c r="UUJ2" s="1815"/>
      <c r="UUK2" s="1815"/>
      <c r="UUL2" s="1815"/>
      <c r="UUM2" s="1815"/>
      <c r="UUN2" s="1815"/>
      <c r="UUO2" s="1815"/>
      <c r="UUP2" s="1815"/>
      <c r="UUQ2" s="1815"/>
      <c r="UUR2" s="1815"/>
      <c r="UUS2" s="1815"/>
      <c r="UUT2" s="1815"/>
      <c r="UUU2" s="1815"/>
      <c r="UUV2" s="1815"/>
      <c r="UUW2" s="1815"/>
      <c r="UUX2" s="1815"/>
      <c r="UUY2" s="1815"/>
      <c r="UUZ2" s="1815"/>
      <c r="UVA2" s="1815"/>
      <c r="UVB2" s="1815"/>
      <c r="UVC2" s="1815"/>
      <c r="UVD2" s="1815"/>
      <c r="UVE2" s="1815"/>
      <c r="UVF2" s="1815"/>
      <c r="UVG2" s="1815"/>
      <c r="UVH2" s="1815"/>
      <c r="UVI2" s="1815"/>
      <c r="UVJ2" s="1815"/>
      <c r="UVK2" s="1815"/>
      <c r="UVL2" s="1815"/>
      <c r="UVM2" s="1815"/>
      <c r="UVN2" s="1815"/>
      <c r="UVO2" s="1815"/>
      <c r="UVP2" s="1815"/>
      <c r="UVQ2" s="1815"/>
      <c r="UVR2" s="1815"/>
      <c r="UVS2" s="1815"/>
      <c r="UVT2" s="1815"/>
      <c r="UVU2" s="1815"/>
      <c r="UVV2" s="1815"/>
      <c r="UVW2" s="1815"/>
      <c r="UVX2" s="1815"/>
      <c r="UVY2" s="1815"/>
      <c r="UVZ2" s="1815"/>
      <c r="UWA2" s="1815"/>
      <c r="UWB2" s="1815"/>
      <c r="UWC2" s="1815"/>
      <c r="UWD2" s="1815"/>
      <c r="UWE2" s="1815"/>
      <c r="UWF2" s="1815"/>
      <c r="UWG2" s="1815"/>
      <c r="UWH2" s="1815"/>
      <c r="UWI2" s="1815"/>
      <c r="UWJ2" s="1815"/>
      <c r="UWK2" s="1815"/>
      <c r="UWL2" s="1815"/>
      <c r="UWM2" s="1815"/>
      <c r="UWN2" s="1815"/>
      <c r="UWO2" s="1815"/>
      <c r="UWP2" s="1815"/>
      <c r="UWQ2" s="1815"/>
      <c r="UWR2" s="1815"/>
      <c r="UWS2" s="1815"/>
      <c r="UWT2" s="1815"/>
      <c r="UWU2" s="1815"/>
      <c r="UWV2" s="1815"/>
      <c r="UWW2" s="1815"/>
      <c r="UWX2" s="1815"/>
      <c r="UWY2" s="1815"/>
      <c r="UWZ2" s="1815"/>
      <c r="UXA2" s="1815"/>
      <c r="UXB2" s="1815"/>
      <c r="UXC2" s="1815"/>
      <c r="UXD2" s="1815"/>
      <c r="UXE2" s="1815"/>
      <c r="UXF2" s="1815"/>
      <c r="UXG2" s="1815"/>
      <c r="UXH2" s="1815"/>
      <c r="UXI2" s="1815"/>
      <c r="UXJ2" s="1815"/>
      <c r="UXK2" s="1815"/>
      <c r="UXL2" s="1815"/>
      <c r="UXM2" s="1815"/>
      <c r="UXN2" s="1815"/>
      <c r="UXO2" s="1815"/>
      <c r="UXP2" s="1815"/>
      <c r="UXQ2" s="1815"/>
      <c r="UXR2" s="1815"/>
      <c r="UXS2" s="1815"/>
      <c r="UXT2" s="1815"/>
      <c r="UXU2" s="1815"/>
      <c r="UXV2" s="1815"/>
      <c r="UXW2" s="1815"/>
      <c r="UXX2" s="1815"/>
      <c r="UXY2" s="1815"/>
      <c r="UXZ2" s="1815"/>
      <c r="UYA2" s="1815"/>
      <c r="UYB2" s="1815"/>
      <c r="UYC2" s="1815"/>
      <c r="UYD2" s="1815"/>
      <c r="UYE2" s="1815"/>
      <c r="UYF2" s="1815"/>
      <c r="UYG2" s="1815"/>
      <c r="UYH2" s="1815"/>
      <c r="UYI2" s="1815"/>
      <c r="UYJ2" s="1815"/>
      <c r="UYK2" s="1815"/>
      <c r="UYL2" s="1815"/>
      <c r="UYM2" s="1815"/>
      <c r="UYN2" s="1815"/>
      <c r="UYO2" s="1815"/>
      <c r="UYP2" s="1815"/>
      <c r="UYQ2" s="1815"/>
      <c r="UYR2" s="1815"/>
      <c r="UYS2" s="1815"/>
      <c r="UYT2" s="1815"/>
      <c r="UYU2" s="1815"/>
      <c r="UYV2" s="1815"/>
      <c r="UYW2" s="1815"/>
      <c r="UYX2" s="1815"/>
      <c r="UYY2" s="1815"/>
      <c r="UYZ2" s="1815"/>
      <c r="UZA2" s="1815"/>
      <c r="UZB2" s="1815"/>
      <c r="UZC2" s="1815"/>
      <c r="UZD2" s="1815"/>
      <c r="UZE2" s="1815"/>
      <c r="UZF2" s="1815"/>
      <c r="UZG2" s="1815"/>
      <c r="UZH2" s="1815"/>
      <c r="UZI2" s="1815"/>
      <c r="UZJ2" s="1815"/>
      <c r="UZK2" s="1815"/>
      <c r="UZL2" s="1815"/>
      <c r="UZM2" s="1815"/>
      <c r="UZN2" s="1815"/>
      <c r="UZO2" s="1815"/>
      <c r="UZP2" s="1815"/>
      <c r="UZQ2" s="1815"/>
      <c r="UZR2" s="1815"/>
      <c r="UZS2" s="1815"/>
      <c r="UZT2" s="1815"/>
      <c r="UZU2" s="1815"/>
      <c r="UZV2" s="1815"/>
      <c r="UZW2" s="1815"/>
      <c r="UZX2" s="1815"/>
      <c r="UZY2" s="1815"/>
      <c r="UZZ2" s="1815"/>
      <c r="VAA2" s="1815"/>
      <c r="VAB2" s="1815"/>
      <c r="VAC2" s="1815"/>
      <c r="VAD2" s="1815"/>
      <c r="VAE2" s="1815"/>
      <c r="VAF2" s="1815"/>
      <c r="VAG2" s="1815"/>
      <c r="VAH2" s="1815"/>
      <c r="VAI2" s="1815"/>
      <c r="VAJ2" s="1815"/>
      <c r="VAK2" s="1815"/>
      <c r="VAL2" s="1815"/>
      <c r="VAM2" s="1815"/>
      <c r="VAN2" s="1815"/>
      <c r="VAO2" s="1815"/>
      <c r="VAP2" s="1815"/>
      <c r="VAQ2" s="1815"/>
      <c r="VAR2" s="1815"/>
      <c r="VAS2" s="1815"/>
      <c r="VAT2" s="1815"/>
      <c r="VAU2" s="1815"/>
      <c r="VAV2" s="1815"/>
      <c r="VAW2" s="1815"/>
      <c r="VAX2" s="1815"/>
      <c r="VAY2" s="1815"/>
      <c r="VAZ2" s="1815"/>
      <c r="VBA2" s="1815"/>
      <c r="VBB2" s="1815"/>
      <c r="VBC2" s="1815"/>
      <c r="VBD2" s="1815"/>
      <c r="VBE2" s="1815"/>
      <c r="VBF2" s="1815"/>
      <c r="VBG2" s="1815"/>
      <c r="VBH2" s="1815"/>
      <c r="VBI2" s="1815"/>
      <c r="VBJ2" s="1815"/>
      <c r="VBK2" s="1815"/>
      <c r="VBL2" s="1815"/>
      <c r="VBM2" s="1815"/>
      <c r="VBN2" s="1815"/>
      <c r="VBO2" s="1815"/>
      <c r="VBP2" s="1815"/>
      <c r="VBQ2" s="1815"/>
      <c r="VBR2" s="1815"/>
      <c r="VBS2" s="1815"/>
      <c r="VBT2" s="1815"/>
      <c r="VBU2" s="1815"/>
      <c r="VBV2" s="1815"/>
      <c r="VBW2" s="1815"/>
      <c r="VBX2" s="1815"/>
      <c r="VBY2" s="1815"/>
      <c r="VBZ2" s="1815"/>
      <c r="VCA2" s="1815"/>
      <c r="VCB2" s="1815"/>
      <c r="VCC2" s="1815"/>
      <c r="VCD2" s="1815"/>
      <c r="VCE2" s="1815"/>
      <c r="VCF2" s="1815"/>
      <c r="VCG2" s="1815"/>
      <c r="VCH2" s="1815"/>
      <c r="VCI2" s="1815"/>
      <c r="VCJ2" s="1815"/>
      <c r="VCK2" s="1815"/>
      <c r="VCL2" s="1815"/>
      <c r="VCM2" s="1815"/>
      <c r="VCN2" s="1815"/>
      <c r="VCO2" s="1815"/>
      <c r="VCP2" s="1815"/>
      <c r="VCQ2" s="1815"/>
      <c r="VCR2" s="1815"/>
      <c r="VCS2" s="1815"/>
      <c r="VCT2" s="1815"/>
      <c r="VCU2" s="1815"/>
      <c r="VCV2" s="1815"/>
      <c r="VCW2" s="1815"/>
      <c r="VCX2" s="1815"/>
      <c r="VCY2" s="1815"/>
      <c r="VCZ2" s="1815"/>
      <c r="VDA2" s="1815"/>
      <c r="VDB2" s="1815"/>
      <c r="VDC2" s="1815"/>
      <c r="VDD2" s="1815"/>
      <c r="VDE2" s="1815"/>
      <c r="VDF2" s="1815"/>
      <c r="VDG2" s="1815"/>
      <c r="VDH2" s="1815"/>
      <c r="VDI2" s="1815"/>
      <c r="VDJ2" s="1815"/>
      <c r="VDK2" s="1815"/>
      <c r="VDL2" s="1815"/>
      <c r="VDM2" s="1815"/>
      <c r="VDN2" s="1815"/>
      <c r="VDO2" s="1815"/>
      <c r="VDP2" s="1815"/>
      <c r="VDQ2" s="1815"/>
      <c r="VDR2" s="1815"/>
      <c r="VDS2" s="1815"/>
      <c r="VDT2" s="1815"/>
      <c r="VDU2" s="1815"/>
      <c r="VDV2" s="1815"/>
      <c r="VDW2" s="1815"/>
      <c r="VDX2" s="1815"/>
      <c r="VDY2" s="1815"/>
      <c r="VDZ2" s="1815"/>
      <c r="VEA2" s="1815"/>
      <c r="VEB2" s="1815"/>
      <c r="VEC2" s="1815"/>
      <c r="VED2" s="1815"/>
      <c r="VEE2" s="1815"/>
      <c r="VEF2" s="1815"/>
      <c r="VEG2" s="1815"/>
      <c r="VEH2" s="1815"/>
      <c r="VEI2" s="1815"/>
      <c r="VEJ2" s="1815"/>
      <c r="VEK2" s="1815"/>
      <c r="VEL2" s="1815"/>
      <c r="VEM2" s="1815"/>
      <c r="VEN2" s="1815"/>
      <c r="VEO2" s="1815"/>
      <c r="VEP2" s="1815"/>
      <c r="VEQ2" s="1815"/>
      <c r="VER2" s="1815"/>
      <c r="VES2" s="1815"/>
      <c r="VET2" s="1815"/>
      <c r="VEU2" s="1815"/>
      <c r="VEV2" s="1815"/>
      <c r="VEW2" s="1815"/>
      <c r="VEX2" s="1815"/>
      <c r="VEY2" s="1815"/>
      <c r="VEZ2" s="1815"/>
      <c r="VFA2" s="1815"/>
      <c r="VFB2" s="1815"/>
      <c r="VFC2" s="1815"/>
      <c r="VFD2" s="1815"/>
      <c r="VFE2" s="1815"/>
      <c r="VFF2" s="1815"/>
      <c r="VFG2" s="1815"/>
      <c r="VFH2" s="1815"/>
      <c r="VFI2" s="1815"/>
      <c r="VFJ2" s="1815"/>
      <c r="VFK2" s="1815"/>
      <c r="VFL2" s="1815"/>
      <c r="VFM2" s="1815"/>
      <c r="VFN2" s="1815"/>
      <c r="VFO2" s="1815"/>
      <c r="VFP2" s="1815"/>
      <c r="VFQ2" s="1815"/>
      <c r="VFR2" s="1815"/>
      <c r="VFS2" s="1815"/>
      <c r="VFT2" s="1815"/>
      <c r="VFU2" s="1815"/>
      <c r="VFV2" s="1815"/>
      <c r="VFW2" s="1815"/>
      <c r="VFX2" s="1815"/>
      <c r="VFY2" s="1815"/>
      <c r="VFZ2" s="1815"/>
      <c r="VGA2" s="1815"/>
      <c r="VGB2" s="1815"/>
      <c r="VGC2" s="1815"/>
      <c r="VGD2" s="1815"/>
      <c r="VGE2" s="1815"/>
      <c r="VGF2" s="1815"/>
      <c r="VGG2" s="1815"/>
      <c r="VGH2" s="1815"/>
      <c r="VGI2" s="1815"/>
      <c r="VGJ2" s="1815"/>
      <c r="VGK2" s="1815"/>
      <c r="VGL2" s="1815"/>
      <c r="VGM2" s="1815"/>
      <c r="VGN2" s="1815"/>
      <c r="VGO2" s="1815"/>
      <c r="VGP2" s="1815"/>
      <c r="VGQ2" s="1815"/>
      <c r="VGR2" s="1815"/>
      <c r="VGS2" s="1815"/>
      <c r="VGT2" s="1815"/>
      <c r="VGU2" s="1815"/>
      <c r="VGV2" s="1815"/>
      <c r="VGW2" s="1815"/>
      <c r="VGX2" s="1815"/>
      <c r="VGY2" s="1815"/>
      <c r="VGZ2" s="1815"/>
      <c r="VHA2" s="1815"/>
      <c r="VHB2" s="1815"/>
      <c r="VHC2" s="1815"/>
      <c r="VHD2" s="1815"/>
      <c r="VHE2" s="1815"/>
      <c r="VHF2" s="1815"/>
      <c r="VHG2" s="1815"/>
      <c r="VHH2" s="1815"/>
      <c r="VHI2" s="1815"/>
      <c r="VHJ2" s="1815"/>
      <c r="VHK2" s="1815"/>
      <c r="VHL2" s="1815"/>
      <c r="VHM2" s="1815"/>
      <c r="VHN2" s="1815"/>
      <c r="VHO2" s="1815"/>
      <c r="VHP2" s="1815"/>
      <c r="VHQ2" s="1815"/>
      <c r="VHR2" s="1815"/>
      <c r="VHS2" s="1815"/>
      <c r="VHT2" s="1815"/>
      <c r="VHU2" s="1815"/>
      <c r="VHV2" s="1815"/>
      <c r="VHW2" s="1815"/>
      <c r="VHX2" s="1815"/>
      <c r="VHY2" s="1815"/>
      <c r="VHZ2" s="1815"/>
      <c r="VIA2" s="1815"/>
      <c r="VIB2" s="1815"/>
      <c r="VIC2" s="1815"/>
      <c r="VID2" s="1815"/>
      <c r="VIE2" s="1815"/>
      <c r="VIF2" s="1815"/>
      <c r="VIG2" s="1815"/>
      <c r="VIH2" s="1815"/>
      <c r="VII2" s="1815"/>
      <c r="VIJ2" s="1815"/>
      <c r="VIK2" s="1815"/>
      <c r="VIL2" s="1815"/>
      <c r="VIM2" s="1815"/>
      <c r="VIN2" s="1815"/>
      <c r="VIO2" s="1815"/>
      <c r="VIP2" s="1815"/>
      <c r="VIQ2" s="1815"/>
      <c r="VIR2" s="1815"/>
      <c r="VIS2" s="1815"/>
      <c r="VIT2" s="1815"/>
      <c r="VIU2" s="1815"/>
      <c r="VIV2" s="1815"/>
      <c r="VIW2" s="1815"/>
      <c r="VIX2" s="1815"/>
      <c r="VIY2" s="1815"/>
      <c r="VIZ2" s="1815"/>
      <c r="VJA2" s="1815"/>
      <c r="VJB2" s="1815"/>
      <c r="VJC2" s="1815"/>
      <c r="VJD2" s="1815"/>
      <c r="VJE2" s="1815"/>
      <c r="VJF2" s="1815"/>
      <c r="VJG2" s="1815"/>
      <c r="VJH2" s="1815"/>
      <c r="VJI2" s="1815"/>
      <c r="VJJ2" s="1815"/>
      <c r="VJK2" s="1815"/>
      <c r="VJL2" s="1815"/>
      <c r="VJM2" s="1815"/>
      <c r="VJN2" s="1815"/>
      <c r="VJO2" s="1815"/>
      <c r="VJP2" s="1815"/>
      <c r="VJQ2" s="1815"/>
      <c r="VJR2" s="1815"/>
      <c r="VJS2" s="1815"/>
      <c r="VJT2" s="1815"/>
      <c r="VJU2" s="1815"/>
      <c r="VJV2" s="1815"/>
      <c r="VJW2" s="1815"/>
      <c r="VJX2" s="1815"/>
      <c r="VJY2" s="1815"/>
      <c r="VJZ2" s="1815"/>
      <c r="VKA2" s="1815"/>
      <c r="VKB2" s="1815"/>
      <c r="VKC2" s="1815"/>
      <c r="VKD2" s="1815"/>
      <c r="VKE2" s="1815"/>
      <c r="VKF2" s="1815"/>
      <c r="VKG2" s="1815"/>
      <c r="VKH2" s="1815"/>
      <c r="VKI2" s="1815"/>
      <c r="VKJ2" s="1815"/>
      <c r="VKK2" s="1815"/>
      <c r="VKL2" s="1815"/>
      <c r="VKM2" s="1815"/>
      <c r="VKN2" s="1815"/>
      <c r="VKO2" s="1815"/>
      <c r="VKP2" s="1815"/>
      <c r="VKQ2" s="1815"/>
      <c r="VKR2" s="1815"/>
      <c r="VKS2" s="1815"/>
      <c r="VKT2" s="1815"/>
      <c r="VKU2" s="1815"/>
      <c r="VKV2" s="1815"/>
      <c r="VKW2" s="1815"/>
      <c r="VKX2" s="1815"/>
      <c r="VKY2" s="1815"/>
      <c r="VKZ2" s="1815"/>
      <c r="VLA2" s="1815"/>
      <c r="VLB2" s="1815"/>
      <c r="VLC2" s="1815"/>
      <c r="VLD2" s="1815"/>
      <c r="VLE2" s="1815"/>
      <c r="VLF2" s="1815"/>
      <c r="VLG2" s="1815"/>
      <c r="VLH2" s="1815"/>
      <c r="VLI2" s="1815"/>
      <c r="VLJ2" s="1815"/>
      <c r="VLK2" s="1815"/>
      <c r="VLL2" s="1815"/>
      <c r="VLM2" s="1815"/>
      <c r="VLN2" s="1815"/>
      <c r="VLO2" s="1815"/>
      <c r="VLP2" s="1815"/>
      <c r="VLQ2" s="1815"/>
      <c r="VLR2" s="1815"/>
      <c r="VLS2" s="1815"/>
      <c r="VLT2" s="1815"/>
      <c r="VLU2" s="1815"/>
      <c r="VLV2" s="1815"/>
      <c r="VLW2" s="1815"/>
      <c r="VLX2" s="1815"/>
      <c r="VLY2" s="1815"/>
      <c r="VLZ2" s="1815"/>
      <c r="VMA2" s="1815"/>
      <c r="VMB2" s="1815"/>
      <c r="VMC2" s="1815"/>
      <c r="VMD2" s="1815"/>
      <c r="VME2" s="1815"/>
      <c r="VMF2" s="1815"/>
      <c r="VMG2" s="1815"/>
      <c r="VMH2" s="1815"/>
      <c r="VMI2" s="1815"/>
      <c r="VMJ2" s="1815"/>
      <c r="VMK2" s="1815"/>
      <c r="VML2" s="1815"/>
      <c r="VMM2" s="1815"/>
      <c r="VMN2" s="1815"/>
      <c r="VMO2" s="1815"/>
      <c r="VMP2" s="1815"/>
      <c r="VMQ2" s="1815"/>
      <c r="VMR2" s="1815"/>
      <c r="VMS2" s="1815"/>
      <c r="VMT2" s="1815"/>
      <c r="VMU2" s="1815"/>
      <c r="VMV2" s="1815"/>
      <c r="VMW2" s="1815"/>
      <c r="VMX2" s="1815"/>
      <c r="VMY2" s="1815"/>
      <c r="VMZ2" s="1815"/>
      <c r="VNA2" s="1815"/>
      <c r="VNB2" s="1815"/>
      <c r="VNC2" s="1815"/>
      <c r="VND2" s="1815"/>
      <c r="VNE2" s="1815"/>
      <c r="VNF2" s="1815"/>
      <c r="VNG2" s="1815"/>
      <c r="VNH2" s="1815"/>
      <c r="VNI2" s="1815"/>
      <c r="VNJ2" s="1815"/>
      <c r="VNK2" s="1815"/>
      <c r="VNL2" s="1815"/>
      <c r="VNM2" s="1815"/>
      <c r="VNN2" s="1815"/>
      <c r="VNO2" s="1815"/>
      <c r="VNP2" s="1815"/>
      <c r="VNQ2" s="1815"/>
      <c r="VNR2" s="1815"/>
      <c r="VNS2" s="1815"/>
      <c r="VNT2" s="1815"/>
      <c r="VNU2" s="1815"/>
      <c r="VNV2" s="1815"/>
      <c r="VNW2" s="1815"/>
      <c r="VNX2" s="1815"/>
      <c r="VNY2" s="1815"/>
      <c r="VNZ2" s="1815"/>
      <c r="VOA2" s="1815"/>
      <c r="VOB2" s="1815"/>
      <c r="VOC2" s="1815"/>
      <c r="VOD2" s="1815"/>
      <c r="VOE2" s="1815"/>
      <c r="VOF2" s="1815"/>
      <c r="VOG2" s="1815"/>
      <c r="VOH2" s="1815"/>
      <c r="VOI2" s="1815"/>
      <c r="VOJ2" s="1815"/>
      <c r="VOK2" s="1815"/>
      <c r="VOL2" s="1815"/>
      <c r="VOM2" s="1815"/>
      <c r="VON2" s="1815"/>
      <c r="VOO2" s="1815"/>
      <c r="VOP2" s="1815"/>
      <c r="VOQ2" s="1815"/>
      <c r="VOR2" s="1815"/>
      <c r="VOS2" s="1815"/>
      <c r="VOT2" s="1815"/>
      <c r="VOU2" s="1815"/>
      <c r="VOV2" s="1815"/>
      <c r="VOW2" s="1815"/>
      <c r="VOX2" s="1815"/>
      <c r="VOY2" s="1815"/>
      <c r="VOZ2" s="1815"/>
      <c r="VPA2" s="1815"/>
      <c r="VPB2" s="1815"/>
      <c r="VPC2" s="1815"/>
      <c r="VPD2" s="1815"/>
      <c r="VPE2" s="1815"/>
      <c r="VPF2" s="1815"/>
      <c r="VPG2" s="1815"/>
      <c r="VPH2" s="1815"/>
      <c r="VPI2" s="1815"/>
      <c r="VPJ2" s="1815"/>
      <c r="VPK2" s="1815"/>
      <c r="VPL2" s="1815"/>
      <c r="VPM2" s="1815"/>
      <c r="VPN2" s="1815"/>
      <c r="VPO2" s="1815"/>
      <c r="VPP2" s="1815"/>
      <c r="VPQ2" s="1815"/>
      <c r="VPR2" s="1815"/>
      <c r="VPS2" s="1815"/>
      <c r="VPT2" s="1815"/>
      <c r="VPU2" s="1815"/>
      <c r="VPV2" s="1815"/>
      <c r="VPW2" s="1815"/>
      <c r="VPX2" s="1815"/>
      <c r="VPY2" s="1815"/>
      <c r="VPZ2" s="1815"/>
      <c r="VQA2" s="1815"/>
      <c r="VQB2" s="1815"/>
      <c r="VQC2" s="1815"/>
      <c r="VQD2" s="1815"/>
      <c r="VQE2" s="1815"/>
      <c r="VQF2" s="1815"/>
      <c r="VQG2" s="1815"/>
      <c r="VQH2" s="1815"/>
      <c r="VQI2" s="1815"/>
      <c r="VQJ2" s="1815"/>
      <c r="VQK2" s="1815"/>
      <c r="VQL2" s="1815"/>
      <c r="VQM2" s="1815"/>
      <c r="VQN2" s="1815"/>
      <c r="VQO2" s="1815"/>
      <c r="VQP2" s="1815"/>
      <c r="VQQ2" s="1815"/>
      <c r="VQR2" s="1815"/>
      <c r="VQS2" s="1815"/>
      <c r="VQT2" s="1815"/>
      <c r="VQU2" s="1815"/>
      <c r="VQV2" s="1815"/>
      <c r="VQW2" s="1815"/>
      <c r="VQX2" s="1815"/>
      <c r="VQY2" s="1815"/>
      <c r="VQZ2" s="1815"/>
      <c r="VRA2" s="1815"/>
      <c r="VRB2" s="1815"/>
      <c r="VRC2" s="1815"/>
      <c r="VRD2" s="1815"/>
      <c r="VRE2" s="1815"/>
      <c r="VRF2" s="1815"/>
      <c r="VRG2" s="1815"/>
      <c r="VRH2" s="1815"/>
      <c r="VRI2" s="1815"/>
      <c r="VRJ2" s="1815"/>
      <c r="VRK2" s="1815"/>
      <c r="VRL2" s="1815"/>
      <c r="VRM2" s="1815"/>
      <c r="VRN2" s="1815"/>
      <c r="VRO2" s="1815"/>
      <c r="VRP2" s="1815"/>
      <c r="VRQ2" s="1815"/>
      <c r="VRR2" s="1815"/>
      <c r="VRS2" s="1815"/>
      <c r="VRT2" s="1815"/>
      <c r="VRU2" s="1815"/>
      <c r="VRV2" s="1815"/>
      <c r="VRW2" s="1815"/>
      <c r="VRX2" s="1815"/>
      <c r="VRY2" s="1815"/>
      <c r="VRZ2" s="1815"/>
      <c r="VSA2" s="1815"/>
      <c r="VSB2" s="1815"/>
      <c r="VSC2" s="1815"/>
      <c r="VSD2" s="1815"/>
      <c r="VSE2" s="1815"/>
      <c r="VSF2" s="1815"/>
      <c r="VSG2" s="1815"/>
      <c r="VSH2" s="1815"/>
      <c r="VSI2" s="1815"/>
      <c r="VSJ2" s="1815"/>
      <c r="VSK2" s="1815"/>
      <c r="VSL2" s="1815"/>
      <c r="VSM2" s="1815"/>
      <c r="VSN2" s="1815"/>
      <c r="VSO2" s="1815"/>
      <c r="VSP2" s="1815"/>
      <c r="VSQ2" s="1815"/>
      <c r="VSR2" s="1815"/>
      <c r="VSS2" s="1815"/>
      <c r="VST2" s="1815"/>
      <c r="VSU2" s="1815"/>
      <c r="VSV2" s="1815"/>
      <c r="VSW2" s="1815"/>
      <c r="VSX2" s="1815"/>
      <c r="VSY2" s="1815"/>
      <c r="VSZ2" s="1815"/>
      <c r="VTA2" s="1815"/>
      <c r="VTB2" s="1815"/>
      <c r="VTC2" s="1815"/>
      <c r="VTD2" s="1815"/>
      <c r="VTE2" s="1815"/>
      <c r="VTF2" s="1815"/>
      <c r="VTG2" s="1815"/>
      <c r="VTH2" s="1815"/>
      <c r="VTI2" s="1815"/>
      <c r="VTJ2" s="1815"/>
      <c r="VTK2" s="1815"/>
      <c r="VTL2" s="1815"/>
      <c r="VTM2" s="1815"/>
      <c r="VTN2" s="1815"/>
      <c r="VTO2" s="1815"/>
      <c r="VTP2" s="1815"/>
      <c r="VTQ2" s="1815"/>
      <c r="VTR2" s="1815"/>
      <c r="VTS2" s="1815"/>
      <c r="VTT2" s="1815"/>
      <c r="VTU2" s="1815"/>
      <c r="VTV2" s="1815"/>
      <c r="VTW2" s="1815"/>
      <c r="VTX2" s="1815"/>
      <c r="VTY2" s="1815"/>
      <c r="VTZ2" s="1815"/>
      <c r="VUA2" s="1815"/>
      <c r="VUB2" s="1815"/>
      <c r="VUC2" s="1815"/>
      <c r="VUD2" s="1815"/>
      <c r="VUE2" s="1815"/>
      <c r="VUF2" s="1815"/>
      <c r="VUG2" s="1815"/>
      <c r="VUH2" s="1815"/>
      <c r="VUI2" s="1815"/>
      <c r="VUJ2" s="1815"/>
      <c r="VUK2" s="1815"/>
      <c r="VUL2" s="1815"/>
      <c r="VUM2" s="1815"/>
      <c r="VUN2" s="1815"/>
      <c r="VUO2" s="1815"/>
      <c r="VUP2" s="1815"/>
      <c r="VUQ2" s="1815"/>
      <c r="VUR2" s="1815"/>
      <c r="VUS2" s="1815"/>
      <c r="VUT2" s="1815"/>
      <c r="VUU2" s="1815"/>
      <c r="VUV2" s="1815"/>
      <c r="VUW2" s="1815"/>
      <c r="VUX2" s="1815"/>
      <c r="VUY2" s="1815"/>
      <c r="VUZ2" s="1815"/>
      <c r="VVA2" s="1815"/>
      <c r="VVB2" s="1815"/>
      <c r="VVC2" s="1815"/>
      <c r="VVD2" s="1815"/>
      <c r="VVE2" s="1815"/>
      <c r="VVF2" s="1815"/>
      <c r="VVG2" s="1815"/>
      <c r="VVH2" s="1815"/>
      <c r="VVI2" s="1815"/>
      <c r="VVJ2" s="1815"/>
      <c r="VVK2" s="1815"/>
      <c r="VVL2" s="1815"/>
      <c r="VVM2" s="1815"/>
      <c r="VVN2" s="1815"/>
      <c r="VVO2" s="1815"/>
      <c r="VVP2" s="1815"/>
      <c r="VVQ2" s="1815"/>
      <c r="VVR2" s="1815"/>
      <c r="VVS2" s="1815"/>
      <c r="VVT2" s="1815"/>
      <c r="VVU2" s="1815"/>
      <c r="VVV2" s="1815"/>
      <c r="VVW2" s="1815"/>
      <c r="VVX2" s="1815"/>
      <c r="VVY2" s="1815"/>
      <c r="VVZ2" s="1815"/>
      <c r="VWA2" s="1815"/>
      <c r="VWB2" s="1815"/>
      <c r="VWC2" s="1815"/>
      <c r="VWD2" s="1815"/>
      <c r="VWE2" s="1815"/>
      <c r="VWF2" s="1815"/>
      <c r="VWG2" s="1815"/>
      <c r="VWH2" s="1815"/>
      <c r="VWI2" s="1815"/>
      <c r="VWJ2" s="1815"/>
      <c r="VWK2" s="1815"/>
      <c r="VWL2" s="1815"/>
      <c r="VWM2" s="1815"/>
      <c r="VWN2" s="1815"/>
      <c r="VWO2" s="1815"/>
      <c r="VWP2" s="1815"/>
      <c r="VWQ2" s="1815"/>
      <c r="VWR2" s="1815"/>
      <c r="VWS2" s="1815"/>
      <c r="VWT2" s="1815"/>
      <c r="VWU2" s="1815"/>
      <c r="VWV2" s="1815"/>
      <c r="VWW2" s="1815"/>
      <c r="VWX2" s="1815"/>
      <c r="VWY2" s="1815"/>
      <c r="VWZ2" s="1815"/>
      <c r="VXA2" s="1815"/>
      <c r="VXB2" s="1815"/>
      <c r="VXC2" s="1815"/>
      <c r="VXD2" s="1815"/>
      <c r="VXE2" s="1815"/>
      <c r="VXF2" s="1815"/>
      <c r="VXG2" s="1815"/>
      <c r="VXH2" s="1815"/>
      <c r="VXI2" s="1815"/>
      <c r="VXJ2" s="1815"/>
      <c r="VXK2" s="1815"/>
      <c r="VXL2" s="1815"/>
      <c r="VXM2" s="1815"/>
      <c r="VXN2" s="1815"/>
      <c r="VXO2" s="1815"/>
      <c r="VXP2" s="1815"/>
      <c r="VXQ2" s="1815"/>
      <c r="VXR2" s="1815"/>
      <c r="VXS2" s="1815"/>
      <c r="VXT2" s="1815"/>
      <c r="VXU2" s="1815"/>
      <c r="VXV2" s="1815"/>
      <c r="VXW2" s="1815"/>
      <c r="VXX2" s="1815"/>
      <c r="VXY2" s="1815"/>
      <c r="VXZ2" s="1815"/>
      <c r="VYA2" s="1815"/>
      <c r="VYB2" s="1815"/>
      <c r="VYC2" s="1815"/>
      <c r="VYD2" s="1815"/>
      <c r="VYE2" s="1815"/>
      <c r="VYF2" s="1815"/>
      <c r="VYG2" s="1815"/>
      <c r="VYH2" s="1815"/>
      <c r="VYI2" s="1815"/>
      <c r="VYJ2" s="1815"/>
      <c r="VYK2" s="1815"/>
      <c r="VYL2" s="1815"/>
      <c r="VYM2" s="1815"/>
      <c r="VYN2" s="1815"/>
      <c r="VYO2" s="1815"/>
      <c r="VYP2" s="1815"/>
      <c r="VYQ2" s="1815"/>
      <c r="VYR2" s="1815"/>
      <c r="VYS2" s="1815"/>
      <c r="VYT2" s="1815"/>
      <c r="VYU2" s="1815"/>
      <c r="VYV2" s="1815"/>
      <c r="VYW2" s="1815"/>
      <c r="VYX2" s="1815"/>
      <c r="VYY2" s="1815"/>
      <c r="VYZ2" s="1815"/>
      <c r="VZA2" s="1815"/>
      <c r="VZB2" s="1815"/>
      <c r="VZC2" s="1815"/>
      <c r="VZD2" s="1815"/>
      <c r="VZE2" s="1815"/>
      <c r="VZF2" s="1815"/>
      <c r="VZG2" s="1815"/>
      <c r="VZH2" s="1815"/>
      <c r="VZI2" s="1815"/>
      <c r="VZJ2" s="1815"/>
      <c r="VZK2" s="1815"/>
      <c r="VZL2" s="1815"/>
      <c r="VZM2" s="1815"/>
      <c r="VZN2" s="1815"/>
      <c r="VZO2" s="1815"/>
      <c r="VZP2" s="1815"/>
      <c r="VZQ2" s="1815"/>
      <c r="VZR2" s="1815"/>
      <c r="VZS2" s="1815"/>
      <c r="VZT2" s="1815"/>
      <c r="VZU2" s="1815"/>
      <c r="VZV2" s="1815"/>
      <c r="VZW2" s="1815"/>
      <c r="VZX2" s="1815"/>
      <c r="VZY2" s="1815"/>
      <c r="VZZ2" s="1815"/>
      <c r="WAA2" s="1815"/>
      <c r="WAB2" s="1815"/>
      <c r="WAC2" s="1815"/>
      <c r="WAD2" s="1815"/>
      <c r="WAE2" s="1815"/>
      <c r="WAF2" s="1815"/>
      <c r="WAG2" s="1815"/>
      <c r="WAH2" s="1815"/>
      <c r="WAI2" s="1815"/>
      <c r="WAJ2" s="1815"/>
      <c r="WAK2" s="1815"/>
      <c r="WAL2" s="1815"/>
      <c r="WAM2" s="1815"/>
      <c r="WAN2" s="1815"/>
      <c r="WAO2" s="1815"/>
      <c r="WAP2" s="1815"/>
      <c r="WAQ2" s="1815"/>
      <c r="WAR2" s="1815"/>
      <c r="WAS2" s="1815"/>
      <c r="WAT2" s="1815"/>
      <c r="WAU2" s="1815"/>
      <c r="WAV2" s="1815"/>
      <c r="WAW2" s="1815"/>
      <c r="WAX2" s="1815"/>
      <c r="WAY2" s="1815"/>
      <c r="WAZ2" s="1815"/>
      <c r="WBA2" s="1815"/>
      <c r="WBB2" s="1815"/>
      <c r="WBC2" s="1815"/>
      <c r="WBD2" s="1815"/>
      <c r="WBE2" s="1815"/>
      <c r="WBF2" s="1815"/>
      <c r="WBG2" s="1815"/>
      <c r="WBH2" s="1815"/>
      <c r="WBI2" s="1815"/>
      <c r="WBJ2" s="1815"/>
      <c r="WBK2" s="1815"/>
      <c r="WBL2" s="1815"/>
      <c r="WBM2" s="1815"/>
      <c r="WBN2" s="1815"/>
      <c r="WBO2" s="1815"/>
      <c r="WBP2" s="1815"/>
      <c r="WBQ2" s="1815"/>
      <c r="WBR2" s="1815"/>
      <c r="WBS2" s="1815"/>
      <c r="WBT2" s="1815"/>
      <c r="WBU2" s="1815"/>
      <c r="WBV2" s="1815"/>
      <c r="WBW2" s="1815"/>
      <c r="WBX2" s="1815"/>
      <c r="WBY2" s="1815"/>
      <c r="WBZ2" s="1815"/>
      <c r="WCA2" s="1815"/>
      <c r="WCB2" s="1815"/>
      <c r="WCC2" s="1815"/>
      <c r="WCD2" s="1815"/>
      <c r="WCE2" s="1815"/>
      <c r="WCF2" s="1815"/>
      <c r="WCG2" s="1815"/>
      <c r="WCH2" s="1815"/>
      <c r="WCI2" s="1815"/>
      <c r="WCJ2" s="1815"/>
      <c r="WCK2" s="1815"/>
      <c r="WCL2" s="1815"/>
      <c r="WCM2" s="1815"/>
      <c r="WCN2" s="1815"/>
      <c r="WCO2" s="1815"/>
      <c r="WCP2" s="1815"/>
      <c r="WCQ2" s="1815"/>
      <c r="WCR2" s="1815"/>
      <c r="WCS2" s="1815"/>
      <c r="WCT2" s="1815"/>
      <c r="WCU2" s="1815"/>
      <c r="WCV2" s="1815"/>
      <c r="WCW2" s="1815"/>
      <c r="WCX2" s="1815"/>
      <c r="WCY2" s="1815"/>
      <c r="WCZ2" s="1815"/>
      <c r="WDA2" s="1815"/>
      <c r="WDB2" s="1815"/>
      <c r="WDC2" s="1815"/>
      <c r="WDD2" s="1815"/>
      <c r="WDE2" s="1815"/>
      <c r="WDF2" s="1815"/>
      <c r="WDG2" s="1815"/>
      <c r="WDH2" s="1815"/>
      <c r="WDI2" s="1815"/>
      <c r="WDJ2" s="1815"/>
      <c r="WDK2" s="1815"/>
      <c r="WDL2" s="1815"/>
      <c r="WDM2" s="1815"/>
      <c r="WDN2" s="1815"/>
      <c r="WDO2" s="1815"/>
      <c r="WDP2" s="1815"/>
      <c r="WDQ2" s="1815"/>
      <c r="WDR2" s="1815"/>
      <c r="WDS2" s="1815"/>
      <c r="WDT2" s="1815"/>
      <c r="WDU2" s="1815"/>
      <c r="WDV2" s="1815"/>
      <c r="WDW2" s="1815"/>
      <c r="WDX2" s="1815"/>
      <c r="WDY2" s="1815"/>
      <c r="WDZ2" s="1815"/>
      <c r="WEA2" s="1815"/>
      <c r="WEB2" s="1815"/>
      <c r="WEC2" s="1815"/>
      <c r="WED2" s="1815"/>
      <c r="WEE2" s="1815"/>
      <c r="WEF2" s="1815"/>
      <c r="WEG2" s="1815"/>
      <c r="WEH2" s="1815"/>
      <c r="WEI2" s="1815"/>
      <c r="WEJ2" s="1815"/>
      <c r="WEK2" s="1815"/>
      <c r="WEL2" s="1815"/>
      <c r="WEM2" s="1815"/>
      <c r="WEN2" s="1815"/>
      <c r="WEO2" s="1815"/>
      <c r="WEP2" s="1815"/>
      <c r="WEQ2" s="1815"/>
      <c r="WER2" s="1815"/>
      <c r="WES2" s="1815"/>
      <c r="WET2" s="1815"/>
      <c r="WEU2" s="1815"/>
      <c r="WEV2" s="1815"/>
      <c r="WEW2" s="1815"/>
      <c r="WEX2" s="1815"/>
      <c r="WEY2" s="1815"/>
      <c r="WEZ2" s="1815"/>
      <c r="WFA2" s="1815"/>
      <c r="WFB2" s="1815"/>
      <c r="WFC2" s="1815"/>
      <c r="WFD2" s="1815"/>
      <c r="WFE2" s="1815"/>
      <c r="WFF2" s="1815"/>
      <c r="WFG2" s="1815"/>
      <c r="WFH2" s="1815"/>
      <c r="WFI2" s="1815"/>
      <c r="WFJ2" s="1815"/>
      <c r="WFK2" s="1815"/>
      <c r="WFL2" s="1815"/>
      <c r="WFM2" s="1815"/>
      <c r="WFN2" s="1815"/>
      <c r="WFO2" s="1815"/>
      <c r="WFP2" s="1815"/>
      <c r="WFQ2" s="1815"/>
      <c r="WFR2" s="1815"/>
      <c r="WFS2" s="1815"/>
      <c r="WFT2" s="1815"/>
      <c r="WFU2" s="1815"/>
      <c r="WFV2" s="1815"/>
      <c r="WFW2" s="1815"/>
      <c r="WFX2" s="1815"/>
      <c r="WFY2" s="1815"/>
      <c r="WFZ2" s="1815"/>
      <c r="WGA2" s="1815"/>
      <c r="WGB2" s="1815"/>
      <c r="WGC2" s="1815"/>
      <c r="WGD2" s="1815"/>
      <c r="WGE2" s="1815"/>
      <c r="WGF2" s="1815"/>
      <c r="WGG2" s="1815"/>
      <c r="WGH2" s="1815"/>
      <c r="WGI2" s="1815"/>
      <c r="WGJ2" s="1815"/>
      <c r="WGK2" s="1815"/>
      <c r="WGL2" s="1815"/>
      <c r="WGM2" s="1815"/>
      <c r="WGN2" s="1815"/>
      <c r="WGO2" s="1815"/>
      <c r="WGP2" s="1815"/>
      <c r="WGQ2" s="1815"/>
      <c r="WGR2" s="1815"/>
      <c r="WGS2" s="1815"/>
      <c r="WGT2" s="1815"/>
      <c r="WGU2" s="1815"/>
      <c r="WGV2" s="1815"/>
      <c r="WGW2" s="1815"/>
      <c r="WGX2" s="1815"/>
      <c r="WGY2" s="1815"/>
      <c r="WGZ2" s="1815"/>
      <c r="WHA2" s="1815"/>
      <c r="WHB2" s="1815"/>
      <c r="WHC2" s="1815"/>
      <c r="WHD2" s="1815"/>
      <c r="WHE2" s="1815"/>
      <c r="WHF2" s="1815"/>
      <c r="WHG2" s="1815"/>
      <c r="WHH2" s="1815"/>
      <c r="WHI2" s="1815"/>
      <c r="WHJ2" s="1815"/>
      <c r="WHK2" s="1815"/>
      <c r="WHL2" s="1815"/>
      <c r="WHM2" s="1815"/>
      <c r="WHN2" s="1815"/>
      <c r="WHO2" s="1815"/>
      <c r="WHP2" s="1815"/>
      <c r="WHQ2" s="1815"/>
      <c r="WHR2" s="1815"/>
      <c r="WHS2" s="1815"/>
      <c r="WHT2" s="1815"/>
      <c r="WHU2" s="1815"/>
      <c r="WHV2" s="1815"/>
      <c r="WHW2" s="1815"/>
      <c r="WHX2" s="1815"/>
      <c r="WHY2" s="1815"/>
      <c r="WHZ2" s="1815"/>
      <c r="WIA2" s="1815"/>
      <c r="WIB2" s="1815"/>
      <c r="WIC2" s="1815"/>
      <c r="WID2" s="1815"/>
      <c r="WIE2" s="1815"/>
      <c r="WIF2" s="1815"/>
      <c r="WIG2" s="1815"/>
      <c r="WIH2" s="1815"/>
      <c r="WII2" s="1815"/>
      <c r="WIJ2" s="1815"/>
      <c r="WIK2" s="1815"/>
      <c r="WIL2" s="1815"/>
      <c r="WIM2" s="1815"/>
      <c r="WIN2" s="1815"/>
      <c r="WIO2" s="1815"/>
      <c r="WIP2" s="1815"/>
      <c r="WIQ2" s="1815"/>
      <c r="WIR2" s="1815"/>
      <c r="WIS2" s="1815"/>
      <c r="WIT2" s="1815"/>
      <c r="WIU2" s="1815"/>
      <c r="WIV2" s="1815"/>
      <c r="WIW2" s="1815"/>
      <c r="WIX2" s="1815"/>
      <c r="WIY2" s="1815"/>
      <c r="WIZ2" s="1815"/>
      <c r="WJA2" s="1815"/>
      <c r="WJB2" s="1815"/>
      <c r="WJC2" s="1815"/>
      <c r="WJD2" s="1815"/>
      <c r="WJE2" s="1815"/>
      <c r="WJF2" s="1815"/>
      <c r="WJG2" s="1815"/>
      <c r="WJH2" s="1815"/>
      <c r="WJI2" s="1815"/>
      <c r="WJJ2" s="1815"/>
      <c r="WJK2" s="1815"/>
      <c r="WJL2" s="1815"/>
      <c r="WJM2" s="1815"/>
      <c r="WJN2" s="1815"/>
      <c r="WJO2" s="1815"/>
      <c r="WJP2" s="1815"/>
      <c r="WJQ2" s="1815"/>
      <c r="WJR2" s="1815"/>
      <c r="WJS2" s="1815"/>
      <c r="WJT2" s="1815"/>
      <c r="WJU2" s="1815"/>
      <c r="WJV2" s="1815"/>
      <c r="WJW2" s="1815"/>
      <c r="WJX2" s="1815"/>
      <c r="WJY2" s="1815"/>
      <c r="WJZ2" s="1815"/>
      <c r="WKA2" s="1815"/>
      <c r="WKB2" s="1815"/>
      <c r="WKC2" s="1815"/>
      <c r="WKD2" s="1815"/>
      <c r="WKE2" s="1815"/>
      <c r="WKF2" s="1815"/>
      <c r="WKG2" s="1815"/>
      <c r="WKH2" s="1815"/>
      <c r="WKI2" s="1815"/>
      <c r="WKJ2" s="1815"/>
      <c r="WKK2" s="1815"/>
      <c r="WKL2" s="1815"/>
      <c r="WKM2" s="1815"/>
      <c r="WKN2" s="1815"/>
      <c r="WKO2" s="1815"/>
      <c r="WKP2" s="1815"/>
      <c r="WKQ2" s="1815"/>
      <c r="WKR2" s="1815"/>
      <c r="WKS2" s="1815"/>
      <c r="WKT2" s="1815"/>
      <c r="WKU2" s="1815"/>
      <c r="WKV2" s="1815"/>
      <c r="WKW2" s="1815"/>
      <c r="WKX2" s="1815"/>
      <c r="WKY2" s="1815"/>
      <c r="WKZ2" s="1815"/>
      <c r="WLA2" s="1815"/>
      <c r="WLB2" s="1815"/>
      <c r="WLC2" s="1815"/>
      <c r="WLD2" s="1815"/>
      <c r="WLE2" s="1815"/>
      <c r="WLF2" s="1815"/>
      <c r="WLG2" s="1815"/>
      <c r="WLH2" s="1815"/>
      <c r="WLI2" s="1815"/>
      <c r="WLJ2" s="1815"/>
      <c r="WLK2" s="1815"/>
      <c r="WLL2" s="1815"/>
      <c r="WLM2" s="1815"/>
      <c r="WLN2" s="1815"/>
      <c r="WLO2" s="1815"/>
      <c r="WLP2" s="1815"/>
      <c r="WLQ2" s="1815"/>
      <c r="WLR2" s="1815"/>
      <c r="WLS2" s="1815"/>
      <c r="WLT2" s="1815"/>
      <c r="WLU2" s="1815"/>
      <c r="WLV2" s="1815"/>
      <c r="WLW2" s="1815"/>
      <c r="WLX2" s="1815"/>
      <c r="WLY2" s="1815"/>
      <c r="WLZ2" s="1815"/>
      <c r="WMA2" s="1815"/>
      <c r="WMB2" s="1815"/>
      <c r="WMC2" s="1815"/>
      <c r="WMD2" s="1815"/>
      <c r="WME2" s="1815"/>
      <c r="WMF2" s="1815"/>
      <c r="WMG2" s="1815"/>
      <c r="WMH2" s="1815"/>
      <c r="WMI2" s="1815"/>
      <c r="WMJ2" s="1815"/>
      <c r="WMK2" s="1815"/>
      <c r="WML2" s="1815"/>
      <c r="WMM2" s="1815"/>
      <c r="WMN2" s="1815"/>
      <c r="WMO2" s="1815"/>
      <c r="WMP2" s="1815"/>
      <c r="WMQ2" s="1815"/>
      <c r="WMR2" s="1815"/>
      <c r="WMS2" s="1815"/>
      <c r="WMT2" s="1815"/>
      <c r="WMU2" s="1815"/>
      <c r="WMV2" s="1815"/>
      <c r="WMW2" s="1815"/>
      <c r="WMX2" s="1815"/>
      <c r="WMY2" s="1815"/>
      <c r="WMZ2" s="1815"/>
      <c r="WNA2" s="1815"/>
      <c r="WNB2" s="1815"/>
      <c r="WNC2" s="1815"/>
      <c r="WND2" s="1815"/>
      <c r="WNE2" s="1815"/>
      <c r="WNF2" s="1815"/>
      <c r="WNG2" s="1815"/>
      <c r="WNH2" s="1815"/>
      <c r="WNI2" s="1815"/>
      <c r="WNJ2" s="1815"/>
      <c r="WNK2" s="1815"/>
      <c r="WNL2" s="1815"/>
      <c r="WNM2" s="1815"/>
      <c r="WNN2" s="1815"/>
      <c r="WNO2" s="1815"/>
      <c r="WNP2" s="1815"/>
      <c r="WNQ2" s="1815"/>
      <c r="WNR2" s="1815"/>
      <c r="WNS2" s="1815"/>
      <c r="WNT2" s="1815"/>
      <c r="WNU2" s="1815"/>
      <c r="WNV2" s="1815"/>
      <c r="WNW2" s="1815"/>
      <c r="WNX2" s="1815"/>
      <c r="WNY2" s="1815"/>
      <c r="WNZ2" s="1815"/>
      <c r="WOA2" s="1815"/>
      <c r="WOB2" s="1815"/>
      <c r="WOC2" s="1815"/>
      <c r="WOD2" s="1815"/>
      <c r="WOE2" s="1815"/>
      <c r="WOF2" s="1815"/>
      <c r="WOG2" s="1815"/>
      <c r="WOH2" s="1815"/>
      <c r="WOI2" s="1815"/>
      <c r="WOJ2" s="1815"/>
      <c r="WOK2" s="1815"/>
      <c r="WOL2" s="1815"/>
      <c r="WOM2" s="1815"/>
      <c r="WON2" s="1815"/>
      <c r="WOO2" s="1815"/>
      <c r="WOP2" s="1815"/>
      <c r="WOQ2" s="1815"/>
      <c r="WOR2" s="1815"/>
      <c r="WOS2" s="1815"/>
      <c r="WOT2" s="1815"/>
      <c r="WOU2" s="1815"/>
      <c r="WOV2" s="1815"/>
      <c r="WOW2" s="1815"/>
      <c r="WOX2" s="1815"/>
      <c r="WOY2" s="1815"/>
      <c r="WOZ2" s="1815"/>
      <c r="WPA2" s="1815"/>
      <c r="WPB2" s="1815"/>
      <c r="WPC2" s="1815"/>
      <c r="WPD2" s="1815"/>
      <c r="WPE2" s="1815"/>
      <c r="WPF2" s="1815"/>
      <c r="WPG2" s="1815"/>
      <c r="WPH2" s="1815"/>
      <c r="WPI2" s="1815"/>
      <c r="WPJ2" s="1815"/>
      <c r="WPK2" s="1815"/>
      <c r="WPL2" s="1815"/>
      <c r="WPM2" s="1815"/>
      <c r="WPN2" s="1815"/>
      <c r="WPO2" s="1815"/>
      <c r="WPP2" s="1815"/>
      <c r="WPQ2" s="1815"/>
      <c r="WPR2" s="1815"/>
      <c r="WPS2" s="1815"/>
      <c r="WPT2" s="1815"/>
      <c r="WPU2" s="1815"/>
      <c r="WPV2" s="1815"/>
      <c r="WPW2" s="1815"/>
      <c r="WPX2" s="1815"/>
      <c r="WPY2" s="1815"/>
      <c r="WPZ2" s="1815"/>
      <c r="WQA2" s="1815"/>
      <c r="WQB2" s="1815"/>
      <c r="WQC2" s="1815"/>
      <c r="WQD2" s="1815"/>
      <c r="WQE2" s="1815"/>
      <c r="WQF2" s="1815"/>
      <c r="WQG2" s="1815"/>
      <c r="WQH2" s="1815"/>
      <c r="WQI2" s="1815"/>
      <c r="WQJ2" s="1815"/>
      <c r="WQK2" s="1815"/>
      <c r="WQL2" s="1815"/>
      <c r="WQM2" s="1815"/>
      <c r="WQN2" s="1815"/>
      <c r="WQO2" s="1815"/>
      <c r="WQP2" s="1815"/>
      <c r="WQQ2" s="1815"/>
      <c r="WQR2" s="1815"/>
      <c r="WQS2" s="1815"/>
      <c r="WQT2" s="1815"/>
      <c r="WQU2" s="1815"/>
      <c r="WQV2" s="1815"/>
      <c r="WQW2" s="1815"/>
      <c r="WQX2" s="1815"/>
      <c r="WQY2" s="1815"/>
      <c r="WQZ2" s="1815"/>
      <c r="WRA2" s="1815"/>
      <c r="WRB2" s="1815"/>
      <c r="WRC2" s="1815"/>
      <c r="WRD2" s="1815"/>
      <c r="WRE2" s="1815"/>
      <c r="WRF2" s="1815"/>
      <c r="WRG2" s="1815"/>
      <c r="WRH2" s="1815"/>
      <c r="WRI2" s="1815"/>
      <c r="WRJ2" s="1815"/>
      <c r="WRK2" s="1815"/>
      <c r="WRL2" s="1815"/>
      <c r="WRM2" s="1815"/>
      <c r="WRN2" s="1815"/>
      <c r="WRO2" s="1815"/>
      <c r="WRP2" s="1815"/>
      <c r="WRQ2" s="1815"/>
      <c r="WRR2" s="1815"/>
      <c r="WRS2" s="1815"/>
      <c r="WRT2" s="1815"/>
      <c r="WRU2" s="1815"/>
      <c r="WRV2" s="1815"/>
      <c r="WRW2" s="1815"/>
      <c r="WRX2" s="1815"/>
      <c r="WRY2" s="1815"/>
      <c r="WRZ2" s="1815"/>
      <c r="WSA2" s="1815"/>
      <c r="WSB2" s="1815"/>
      <c r="WSC2" s="1815"/>
      <c r="WSD2" s="1815"/>
      <c r="WSE2" s="1815"/>
      <c r="WSF2" s="1815"/>
      <c r="WSG2" s="1815"/>
      <c r="WSH2" s="1815"/>
      <c r="WSI2" s="1815"/>
      <c r="WSJ2" s="1815"/>
      <c r="WSK2" s="1815"/>
      <c r="WSL2" s="1815"/>
      <c r="WSM2" s="1815"/>
      <c r="WSN2" s="1815"/>
      <c r="WSO2" s="1815"/>
      <c r="WSP2" s="1815"/>
      <c r="WSQ2" s="1815"/>
      <c r="WSR2" s="1815"/>
      <c r="WSS2" s="1815"/>
      <c r="WST2" s="1815"/>
      <c r="WSU2" s="1815"/>
      <c r="WSV2" s="1815"/>
      <c r="WSW2" s="1815"/>
      <c r="WSX2" s="1815"/>
      <c r="WSY2" s="1815"/>
      <c r="WSZ2" s="1815"/>
      <c r="WTA2" s="1815"/>
      <c r="WTB2" s="1815"/>
      <c r="WTC2" s="1815"/>
      <c r="WTD2" s="1815"/>
      <c r="WTE2" s="1815"/>
      <c r="WTF2" s="1815"/>
      <c r="WTG2" s="1815"/>
      <c r="WTH2" s="1815"/>
      <c r="WTI2" s="1815"/>
      <c r="WTJ2" s="1815"/>
      <c r="WTK2" s="1815"/>
      <c r="WTL2" s="1815"/>
      <c r="WTM2" s="1815"/>
      <c r="WTN2" s="1815"/>
      <c r="WTO2" s="1815"/>
      <c r="WTP2" s="1815"/>
      <c r="WTQ2" s="1815"/>
      <c r="WTR2" s="1815"/>
      <c r="WTS2" s="1815"/>
      <c r="WTT2" s="1815"/>
      <c r="WTU2" s="1815"/>
      <c r="WTV2" s="1815"/>
      <c r="WTW2" s="1815"/>
      <c r="WTX2" s="1815"/>
      <c r="WTY2" s="1815"/>
      <c r="WTZ2" s="1815"/>
      <c r="WUA2" s="1815"/>
      <c r="WUB2" s="1815"/>
      <c r="WUC2" s="1815"/>
      <c r="WUD2" s="1815"/>
      <c r="WUE2" s="1815"/>
      <c r="WUF2" s="1815"/>
      <c r="WUG2" s="1815"/>
      <c r="WUH2" s="1815"/>
      <c r="WUI2" s="1815"/>
      <c r="WUJ2" s="1815"/>
      <c r="WUK2" s="1815"/>
      <c r="WUL2" s="1815"/>
      <c r="WUM2" s="1815"/>
      <c r="WUN2" s="1815"/>
      <c r="WUO2" s="1815"/>
      <c r="WUP2" s="1815"/>
      <c r="WUQ2" s="1815"/>
      <c r="WUR2" s="1815"/>
      <c r="WUS2" s="1815"/>
      <c r="WUT2" s="1815"/>
      <c r="WUU2" s="1815"/>
      <c r="WUV2" s="1815"/>
      <c r="WUW2" s="1815"/>
      <c r="WUX2" s="1815"/>
      <c r="WUY2" s="1815"/>
      <c r="WUZ2" s="1815"/>
      <c r="WVA2" s="1815"/>
      <c r="WVB2" s="1815"/>
      <c r="WVC2" s="1815"/>
      <c r="WVD2" s="1815"/>
      <c r="WVE2" s="1815"/>
      <c r="WVF2" s="1815"/>
      <c r="WVG2" s="1815"/>
      <c r="WVH2" s="1815"/>
      <c r="WVI2" s="1815"/>
      <c r="WVJ2" s="1815"/>
      <c r="WVK2" s="1815"/>
      <c r="WVL2" s="1815"/>
      <c r="WVM2" s="1815"/>
      <c r="WVN2" s="1815"/>
      <c r="WVO2" s="1815"/>
      <c r="WVP2" s="1815"/>
      <c r="WVQ2" s="1815"/>
      <c r="WVR2" s="1815"/>
      <c r="WVS2" s="1815"/>
      <c r="WVT2" s="1815"/>
      <c r="WVU2" s="1815"/>
      <c r="WVV2" s="1815"/>
      <c r="WVW2" s="1815"/>
      <c r="WVX2" s="1815"/>
      <c r="WVY2" s="1815"/>
      <c r="WVZ2" s="1815"/>
      <c r="WWA2" s="1815"/>
      <c r="WWB2" s="1815"/>
      <c r="WWC2" s="1815"/>
      <c r="WWD2" s="1815"/>
      <c r="WWE2" s="1815"/>
      <c r="WWF2" s="1815"/>
      <c r="WWG2" s="1815"/>
      <c r="WWH2" s="1815"/>
      <c r="WWI2" s="1815"/>
      <c r="WWJ2" s="1815"/>
      <c r="WWK2" s="1815"/>
      <c r="WWL2" s="1815"/>
      <c r="WWM2" s="1815"/>
      <c r="WWN2" s="1815"/>
      <c r="WWO2" s="1815"/>
      <c r="WWP2" s="1815"/>
      <c r="WWQ2" s="1815"/>
      <c r="WWR2" s="1815"/>
      <c r="WWS2" s="1815"/>
      <c r="WWT2" s="1815"/>
      <c r="WWU2" s="1815"/>
      <c r="WWV2" s="1815"/>
      <c r="WWW2" s="1815"/>
      <c r="WWX2" s="1815"/>
      <c r="WWY2" s="1815"/>
      <c r="WWZ2" s="1815"/>
      <c r="WXA2" s="1815"/>
      <c r="WXB2" s="1815"/>
      <c r="WXC2" s="1815"/>
      <c r="WXD2" s="1815"/>
      <c r="WXE2" s="1815"/>
      <c r="WXF2" s="1815"/>
      <c r="WXG2" s="1815"/>
      <c r="WXH2" s="1815"/>
      <c r="WXI2" s="1815"/>
      <c r="WXJ2" s="1815"/>
      <c r="WXK2" s="1815"/>
      <c r="WXL2" s="1815"/>
      <c r="WXM2" s="1815"/>
      <c r="WXN2" s="1815"/>
      <c r="WXO2" s="1815"/>
      <c r="WXP2" s="1815"/>
      <c r="WXQ2" s="1815"/>
      <c r="WXR2" s="1815"/>
      <c r="WXS2" s="1815"/>
      <c r="WXT2" s="1815"/>
      <c r="WXU2" s="1815"/>
      <c r="WXV2" s="1815"/>
      <c r="WXW2" s="1815"/>
      <c r="WXX2" s="1815"/>
      <c r="WXY2" s="1815"/>
      <c r="WXZ2" s="1815"/>
      <c r="WYA2" s="1815"/>
      <c r="WYB2" s="1815"/>
      <c r="WYC2" s="1815"/>
      <c r="WYD2" s="1815"/>
      <c r="WYE2" s="1815"/>
      <c r="WYF2" s="1815"/>
      <c r="WYG2" s="1815"/>
      <c r="WYH2" s="1815"/>
      <c r="WYI2" s="1815"/>
      <c r="WYJ2" s="1815"/>
      <c r="WYK2" s="1815"/>
      <c r="WYL2" s="1815"/>
      <c r="WYM2" s="1815"/>
      <c r="WYN2" s="1815"/>
      <c r="WYO2" s="1815"/>
      <c r="WYP2" s="1815"/>
      <c r="WYQ2" s="1815"/>
      <c r="WYR2" s="1815"/>
      <c r="WYS2" s="1815"/>
      <c r="WYT2" s="1815"/>
      <c r="WYU2" s="1815"/>
      <c r="WYV2" s="1815"/>
      <c r="WYW2" s="1815"/>
      <c r="WYX2" s="1815"/>
      <c r="WYY2" s="1815"/>
      <c r="WYZ2" s="1815"/>
      <c r="WZA2" s="1815"/>
      <c r="WZB2" s="1815"/>
      <c r="WZC2" s="1815"/>
      <c r="WZD2" s="1815"/>
      <c r="WZE2" s="1815"/>
      <c r="WZF2" s="1815"/>
      <c r="WZG2" s="1815"/>
      <c r="WZH2" s="1815"/>
      <c r="WZI2" s="1815"/>
      <c r="WZJ2" s="1815"/>
      <c r="WZK2" s="1815"/>
      <c r="WZL2" s="1815"/>
      <c r="WZM2" s="1815"/>
      <c r="WZN2" s="1815"/>
      <c r="WZO2" s="1815"/>
      <c r="WZP2" s="1815"/>
      <c r="WZQ2" s="1815"/>
      <c r="WZR2" s="1815"/>
      <c r="WZS2" s="1815"/>
      <c r="WZT2" s="1815"/>
      <c r="WZU2" s="1815"/>
      <c r="WZV2" s="1815"/>
      <c r="WZW2" s="1815"/>
      <c r="WZX2" s="1815"/>
      <c r="WZY2" s="1815"/>
      <c r="WZZ2" s="1815"/>
      <c r="XAA2" s="1815"/>
      <c r="XAB2" s="1815"/>
      <c r="XAC2" s="1815"/>
      <c r="XAD2" s="1815"/>
      <c r="XAE2" s="1815"/>
      <c r="XAF2" s="1815"/>
      <c r="XAG2" s="1815"/>
      <c r="XAH2" s="1815"/>
      <c r="XAI2" s="1815"/>
      <c r="XAJ2" s="1815"/>
      <c r="XAK2" s="1815"/>
      <c r="XAL2" s="1815"/>
      <c r="XAM2" s="1815"/>
      <c r="XAN2" s="1815"/>
      <c r="XAO2" s="1815"/>
      <c r="XAP2" s="1815"/>
      <c r="XAQ2" s="1815"/>
      <c r="XAR2" s="1815"/>
      <c r="XAS2" s="1815"/>
      <c r="XAT2" s="1815"/>
      <c r="XAU2" s="1815"/>
      <c r="XAV2" s="1815"/>
      <c r="XAW2" s="1815"/>
      <c r="XAX2" s="1815"/>
      <c r="XAY2" s="1815"/>
      <c r="XAZ2" s="1815"/>
      <c r="XBA2" s="1815"/>
      <c r="XBB2" s="1815"/>
      <c r="XBC2" s="1815"/>
      <c r="XBD2" s="1815"/>
      <c r="XBE2" s="1815"/>
      <c r="XBF2" s="1815"/>
      <c r="XBG2" s="1815"/>
      <c r="XBH2" s="1815"/>
      <c r="XBI2" s="1815"/>
      <c r="XBJ2" s="1815"/>
      <c r="XBK2" s="1815"/>
      <c r="XBL2" s="1815"/>
      <c r="XBM2" s="1815"/>
      <c r="XBN2" s="1815"/>
      <c r="XBO2" s="1815"/>
      <c r="XBP2" s="1815"/>
      <c r="XBQ2" s="1815"/>
      <c r="XBR2" s="1815"/>
      <c r="XBS2" s="1815"/>
      <c r="XBT2" s="1815"/>
      <c r="XBU2" s="1815"/>
      <c r="XBV2" s="1815"/>
      <c r="XBW2" s="1815"/>
      <c r="XBX2" s="1815"/>
      <c r="XBY2" s="1815"/>
      <c r="XBZ2" s="1815"/>
      <c r="XCA2" s="1815"/>
      <c r="XCB2" s="1815"/>
      <c r="XCC2" s="1815"/>
      <c r="XCD2" s="1815"/>
      <c r="XCE2" s="1815"/>
      <c r="XCF2" s="1815"/>
      <c r="XCG2" s="1815"/>
      <c r="XCH2" s="1815"/>
      <c r="XCI2" s="1815"/>
      <c r="XCJ2" s="1815"/>
      <c r="XCK2" s="1815"/>
      <c r="XCL2" s="1815"/>
      <c r="XCM2" s="1815"/>
      <c r="XCN2" s="1815"/>
      <c r="XCO2" s="1815"/>
      <c r="XCP2" s="1815"/>
      <c r="XCQ2" s="1815"/>
      <c r="XCR2" s="1815"/>
      <c r="XCS2" s="1815"/>
      <c r="XCT2" s="1815"/>
      <c r="XCU2" s="1815"/>
      <c r="XCV2" s="1815"/>
      <c r="XCW2" s="1815"/>
      <c r="XCX2" s="1815"/>
      <c r="XCY2" s="1815"/>
      <c r="XCZ2" s="1815"/>
      <c r="XDA2" s="1815"/>
      <c r="XDB2" s="1815"/>
      <c r="XDC2" s="1815"/>
      <c r="XDD2" s="1815"/>
      <c r="XDE2" s="1815"/>
      <c r="XDF2" s="1815"/>
      <c r="XDG2" s="1815"/>
      <c r="XDH2" s="1815"/>
      <c r="XDI2" s="1815"/>
      <c r="XDJ2" s="1815"/>
      <c r="XDK2" s="1815"/>
      <c r="XDL2" s="1815"/>
      <c r="XDM2" s="1815"/>
      <c r="XDN2" s="1815"/>
      <c r="XDO2" s="1815"/>
      <c r="XDP2" s="1815"/>
      <c r="XDQ2" s="1815"/>
      <c r="XDR2" s="1815"/>
      <c r="XDS2" s="1815"/>
      <c r="XDT2" s="1815"/>
      <c r="XDU2" s="1815"/>
      <c r="XDV2" s="1815"/>
      <c r="XDW2" s="1815"/>
      <c r="XDX2" s="1815"/>
      <c r="XDY2" s="1815"/>
      <c r="XDZ2" s="1815"/>
      <c r="XEA2" s="1815"/>
      <c r="XEB2" s="1815"/>
      <c r="XEC2" s="1815"/>
      <c r="XED2" s="1815"/>
      <c r="XEE2" s="1815"/>
      <c r="XEF2" s="1815"/>
      <c r="XEG2" s="1815"/>
      <c r="XEH2" s="1815"/>
      <c r="XEI2" s="1815"/>
      <c r="XEJ2" s="1815"/>
      <c r="XEK2" s="1815"/>
      <c r="XEL2" s="1815"/>
      <c r="XEM2" s="1815"/>
      <c r="XEN2" s="1815"/>
      <c r="XEO2" s="1815"/>
      <c r="XEP2" s="1815"/>
      <c r="XEQ2" s="1815"/>
      <c r="XER2" s="1815"/>
      <c r="XES2" s="1815"/>
      <c r="XET2" s="1815"/>
      <c r="XEU2" s="1815"/>
      <c r="XEV2" s="1815"/>
      <c r="XEW2" s="1815"/>
      <c r="XEX2" s="1815"/>
      <c r="XEY2" s="1815"/>
      <c r="XEZ2" s="1815"/>
      <c r="XFA2" s="1815"/>
      <c r="XFB2" s="1815"/>
      <c r="XFC2" s="1815"/>
      <c r="XFD2" s="1815"/>
    </row>
    <row r="3" spans="1:16384" x14ac:dyDescent="0.2">
      <c r="B3" s="1818"/>
      <c r="C3" s="1818"/>
      <c r="D3" s="1818"/>
      <c r="E3" s="1818"/>
      <c r="F3" s="1818"/>
      <c r="G3" s="1818"/>
      <c r="H3" s="725"/>
      <c r="I3" s="786"/>
      <c r="J3" s="786"/>
      <c r="K3" s="786"/>
      <c r="L3" s="786"/>
      <c r="M3" s="786"/>
    </row>
    <row r="4" spans="1:16384" ht="18" customHeight="1" x14ac:dyDescent="0.2">
      <c r="A4" s="787"/>
      <c r="B4" s="1819" t="s">
        <v>830</v>
      </c>
      <c r="C4" s="1819"/>
      <c r="D4" s="1819"/>
      <c r="E4" s="1819"/>
      <c r="F4" s="1819"/>
      <c r="G4" s="1819"/>
      <c r="H4" s="1819"/>
      <c r="I4" s="1819"/>
      <c r="J4" s="1819"/>
      <c r="K4" s="1819"/>
      <c r="L4" s="1819"/>
    </row>
    <row r="5" spans="1:16384" ht="12.75" customHeight="1" x14ac:dyDescent="0.2">
      <c r="A5" s="787"/>
      <c r="B5" s="1819"/>
      <c r="C5" s="1819"/>
      <c r="D5" s="1819"/>
      <c r="E5" s="1819"/>
      <c r="F5" s="1819"/>
      <c r="G5" s="1819"/>
      <c r="H5" s="1819"/>
      <c r="I5" s="1819"/>
      <c r="J5" s="1819"/>
      <c r="K5" s="1819"/>
      <c r="L5" s="1819"/>
    </row>
    <row r="6" spans="1:16384" ht="16.5" customHeight="1" thickBot="1" x14ac:dyDescent="0.25">
      <c r="A6" s="788"/>
      <c r="B6" s="1821" t="s">
        <v>362</v>
      </c>
      <c r="C6" s="1821"/>
      <c r="D6" s="1821"/>
      <c r="E6" s="1821"/>
      <c r="F6" s="1821"/>
      <c r="G6" s="1821"/>
      <c r="H6" s="1821"/>
      <c r="I6" s="1821"/>
      <c r="J6" s="1821"/>
      <c r="K6" s="1821"/>
      <c r="L6" s="1821"/>
    </row>
    <row r="7" spans="1:16384" ht="86.25" customHeight="1" thickBot="1" x14ac:dyDescent="0.25">
      <c r="A7" s="803" t="s">
        <v>638</v>
      </c>
      <c r="B7" s="749" t="s">
        <v>46</v>
      </c>
      <c r="C7" s="361" t="str">
        <f>'1. mell.bevétel_össz'!C8</f>
        <v>2023. évi eredeti előirányzat
2/2023. (II.14.)</v>
      </c>
      <c r="D7" s="360" t="str">
        <f>'1. mell.bevétel_össz'!D8</f>
        <v>Módosított előirányzat a 14/2023.  (VI.29.)  rendelet szerint</v>
      </c>
      <c r="E7" s="361" t="str">
        <f>'1. mell.bevétel_össz'!E8</f>
        <v>Módosított előirányzat a 18/2023. (IX.26.)  rendelet szerint</v>
      </c>
      <c r="F7" s="361" t="str">
        <f>'1. mell.bevétel_össz'!F8</f>
        <v>Módosított előirányzat 2023.09.30-án</v>
      </c>
      <c r="G7" s="361" t="str">
        <f>'1. mell.bevétel_össz'!G8</f>
        <v>Módosított előirányzat a …../2023. (II…..)  rendelet szerint</v>
      </c>
      <c r="H7" s="1063" t="s">
        <v>588</v>
      </c>
      <c r="I7" s="1529" t="str">
        <f>'1. mell.bevétel_össz'!I8</f>
        <v>2023. évi teljesítés              2023.06.30-ig</v>
      </c>
      <c r="J7" s="361" t="str">
        <f>'1. mell.bevétel_össz'!J8</f>
        <v>2023. évi teljesítés              2023.09.30-ig</v>
      </c>
      <c r="K7" s="1529" t="str">
        <f>'1. mell.bevétel_össz'!K8</f>
        <v>2023. évi teljesítés              2023.12.31-ig</v>
      </c>
      <c r="L7" s="359" t="str">
        <f>'1. mell.bevétel_össz'!L8</f>
        <v>Teljesítés %-a</v>
      </c>
      <c r="N7" s="357" t="s">
        <v>385</v>
      </c>
    </row>
    <row r="8" spans="1:16384" ht="24.95" customHeight="1" thickBot="1" x14ac:dyDescent="0.25">
      <c r="A8" s="750"/>
      <c r="B8" s="751" t="s">
        <v>258</v>
      </c>
      <c r="C8" s="753">
        <f>C9+C19</f>
        <v>1463664898</v>
      </c>
      <c r="D8" s="752">
        <f>D9+D19</f>
        <v>1528324190</v>
      </c>
      <c r="E8" s="753">
        <f>E9+E19</f>
        <v>1835779040</v>
      </c>
      <c r="F8" s="753">
        <f>F9+F19</f>
        <v>1835779040</v>
      </c>
      <c r="G8" s="753">
        <f>G9+G19</f>
        <v>0</v>
      </c>
      <c r="H8" s="682">
        <f>+E8-D8</f>
        <v>307454850</v>
      </c>
      <c r="I8" s="1530">
        <f>I9+I25</f>
        <v>0</v>
      </c>
      <c r="J8" s="1535">
        <f>J9+J25</f>
        <v>15053382</v>
      </c>
      <c r="K8" s="1530">
        <f>K9+K25</f>
        <v>0</v>
      </c>
      <c r="L8" s="1627">
        <f>IF(F8=0,"",J8/F8*100)</f>
        <v>0.81999966619076337</v>
      </c>
    </row>
    <row r="9" spans="1:16384" s="723" customFormat="1" ht="20.100000000000001" customHeight="1" x14ac:dyDescent="0.2">
      <c r="A9" s="754" t="s">
        <v>343</v>
      </c>
      <c r="B9" s="812" t="s">
        <v>259</v>
      </c>
      <c r="C9" s="1047">
        <f>SUM(C10:C18)</f>
        <v>43030000</v>
      </c>
      <c r="D9" s="1107">
        <f>SUM(D10:D18)</f>
        <v>13053382</v>
      </c>
      <c r="E9" s="1047">
        <f>SUM(E10:E18)</f>
        <v>80253382</v>
      </c>
      <c r="F9" s="1047">
        <f>SUM(F10:F18)</f>
        <v>80253382</v>
      </c>
      <c r="G9" s="1403">
        <f>SUM(G10:G18)</f>
        <v>0</v>
      </c>
      <c r="H9" s="1403">
        <f>+E9-D9</f>
        <v>67200000</v>
      </c>
      <c r="I9" s="1543">
        <f>SUM(I10:I18)</f>
        <v>0</v>
      </c>
      <c r="J9" s="1047">
        <f>SUM(J10:J18)</f>
        <v>11053382</v>
      </c>
      <c r="K9" s="1543">
        <f>SUM(K10:K18)</f>
        <v>0</v>
      </c>
      <c r="L9" s="1628">
        <f t="shared" ref="L9:L72" si="0">IF(F9=0,"",J9/F9*100)</f>
        <v>13.773104291106385</v>
      </c>
      <c r="M9" s="798"/>
    </row>
    <row r="10" spans="1:16384" ht="18" customHeight="1" x14ac:dyDescent="0.2">
      <c r="A10" s="755">
        <v>132102</v>
      </c>
      <c r="B10" s="833" t="s">
        <v>529</v>
      </c>
      <c r="C10" s="790">
        <v>8000000</v>
      </c>
      <c r="D10" s="756">
        <v>8000000</v>
      </c>
      <c r="E10" s="789">
        <v>8000000</v>
      </c>
      <c r="F10" s="790">
        <v>8000000</v>
      </c>
      <c r="G10" s="790"/>
      <c r="H10" s="840">
        <f t="shared" ref="H10:H68" si="1">+E10-D10</f>
        <v>0</v>
      </c>
      <c r="I10" s="791"/>
      <c r="J10" s="789">
        <v>7500000</v>
      </c>
      <c r="K10" s="791"/>
      <c r="L10" s="1629">
        <f t="shared" si="0"/>
        <v>93.75</v>
      </c>
    </row>
    <row r="11" spans="1:16384" ht="18" customHeight="1" x14ac:dyDescent="0.2">
      <c r="A11" s="755">
        <v>132206</v>
      </c>
      <c r="B11" s="855" t="s">
        <v>75</v>
      </c>
      <c r="C11" s="790">
        <v>4700000</v>
      </c>
      <c r="D11" s="756">
        <v>4700000</v>
      </c>
      <c r="E11" s="789">
        <v>4700000</v>
      </c>
      <c r="F11" s="790">
        <v>4700000</v>
      </c>
      <c r="G11" s="790"/>
      <c r="H11" s="840">
        <f t="shared" si="1"/>
        <v>0</v>
      </c>
      <c r="I11" s="791"/>
      <c r="J11" s="789">
        <v>3200000</v>
      </c>
      <c r="K11" s="791"/>
      <c r="L11" s="1629">
        <f t="shared" si="0"/>
        <v>68.085106382978722</v>
      </c>
    </row>
    <row r="12" spans="1:16384" ht="18" customHeight="1" x14ac:dyDescent="0.2">
      <c r="A12" s="755">
        <v>133602</v>
      </c>
      <c r="B12" s="833" t="s">
        <v>284</v>
      </c>
      <c r="C12" s="1048">
        <v>300000</v>
      </c>
      <c r="D12" s="675">
        <v>300000</v>
      </c>
      <c r="E12" s="757">
        <v>300000</v>
      </c>
      <c r="F12" s="790">
        <v>300000</v>
      </c>
      <c r="G12" s="500"/>
      <c r="H12" s="783">
        <f t="shared" si="1"/>
        <v>0</v>
      </c>
      <c r="I12" s="791"/>
      <c r="J12" s="789">
        <v>300000</v>
      </c>
      <c r="K12" s="791"/>
      <c r="L12" s="1629">
        <f t="shared" si="0"/>
        <v>100</v>
      </c>
    </row>
    <row r="13" spans="1:16384" ht="31.5" x14ac:dyDescent="0.2">
      <c r="A13" s="755">
        <v>123548</v>
      </c>
      <c r="B13" s="856" t="s">
        <v>710</v>
      </c>
      <c r="C13" s="1049">
        <v>30000</v>
      </c>
      <c r="D13" s="757">
        <f>30000+23382</f>
        <v>53382</v>
      </c>
      <c r="E13" s="757">
        <v>53382</v>
      </c>
      <c r="F13" s="790">
        <v>53382</v>
      </c>
      <c r="G13" s="790"/>
      <c r="H13" s="840">
        <f t="shared" si="1"/>
        <v>0</v>
      </c>
      <c r="I13" s="791"/>
      <c r="J13" s="789">
        <v>53382</v>
      </c>
      <c r="K13" s="791"/>
      <c r="L13" s="1629">
        <f t="shared" si="0"/>
        <v>100</v>
      </c>
    </row>
    <row r="14" spans="1:16384" ht="18" customHeight="1" x14ac:dyDescent="0.2">
      <c r="A14" s="755">
        <v>132108</v>
      </c>
      <c r="B14" s="856" t="s">
        <v>512</v>
      </c>
      <c r="C14" s="1050">
        <v>30000000</v>
      </c>
      <c r="D14" s="757">
        <f>30000000-30000000</f>
        <v>0</v>
      </c>
      <c r="E14" s="757">
        <v>0</v>
      </c>
      <c r="F14" s="790">
        <v>0</v>
      </c>
      <c r="G14" s="790"/>
      <c r="H14" s="840">
        <f t="shared" si="1"/>
        <v>0</v>
      </c>
      <c r="I14" s="791"/>
      <c r="J14" s="789">
        <v>0</v>
      </c>
      <c r="K14" s="791"/>
      <c r="L14" s="1629" t="str">
        <f t="shared" si="0"/>
        <v/>
      </c>
    </row>
    <row r="15" spans="1:16384" ht="18" customHeight="1" x14ac:dyDescent="0.2">
      <c r="A15" s="1150">
        <v>132105</v>
      </c>
      <c r="B15" s="1149" t="s">
        <v>759</v>
      </c>
      <c r="C15" s="1050"/>
      <c r="D15" s="757"/>
      <c r="E15" s="757">
        <v>45888000</v>
      </c>
      <c r="F15" s="790">
        <v>45888000</v>
      </c>
      <c r="G15" s="790"/>
      <c r="H15" s="840">
        <f t="shared" si="1"/>
        <v>45888000</v>
      </c>
      <c r="I15" s="791"/>
      <c r="J15" s="789">
        <v>0</v>
      </c>
      <c r="K15" s="791"/>
      <c r="L15" s="1629">
        <f t="shared" si="0"/>
        <v>0</v>
      </c>
    </row>
    <row r="16" spans="1:16384" ht="18" customHeight="1" x14ac:dyDescent="0.2">
      <c r="A16" s="1150">
        <v>132106</v>
      </c>
      <c r="B16" s="1149" t="s">
        <v>760</v>
      </c>
      <c r="C16" s="1050"/>
      <c r="D16" s="757"/>
      <c r="E16" s="757">
        <v>3072000</v>
      </c>
      <c r="F16" s="790">
        <v>3072000</v>
      </c>
      <c r="G16" s="790"/>
      <c r="H16" s="840">
        <f t="shared" si="1"/>
        <v>3072000</v>
      </c>
      <c r="I16" s="791"/>
      <c r="J16" s="789">
        <v>0</v>
      </c>
      <c r="K16" s="791"/>
      <c r="L16" s="1629">
        <f t="shared" si="0"/>
        <v>0</v>
      </c>
    </row>
    <row r="17" spans="1:15" ht="18" customHeight="1" x14ac:dyDescent="0.2">
      <c r="A17" s="1150">
        <v>132104</v>
      </c>
      <c r="B17" s="1149" t="s">
        <v>761</v>
      </c>
      <c r="C17" s="1050"/>
      <c r="D17" s="757"/>
      <c r="E17" s="757">
        <v>18240000</v>
      </c>
      <c r="F17" s="790">
        <v>18240000</v>
      </c>
      <c r="G17" s="790"/>
      <c r="H17" s="840">
        <f t="shared" si="1"/>
        <v>18240000</v>
      </c>
      <c r="I17" s="791"/>
      <c r="J17" s="789">
        <v>0</v>
      </c>
      <c r="K17" s="791"/>
      <c r="L17" s="1629">
        <f t="shared" si="0"/>
        <v>0</v>
      </c>
    </row>
    <row r="18" spans="1:15" ht="10.15" customHeight="1" x14ac:dyDescent="0.2">
      <c r="A18" s="755"/>
      <c r="B18" s="856"/>
      <c r="C18" s="500"/>
      <c r="D18" s="756"/>
      <c r="E18" s="789"/>
      <c r="F18" s="790"/>
      <c r="G18" s="790"/>
      <c r="H18" s="840"/>
      <c r="I18" s="791"/>
      <c r="J18" s="789"/>
      <c r="K18" s="791"/>
      <c r="L18" s="1629" t="str">
        <f t="shared" si="0"/>
        <v/>
      </c>
    </row>
    <row r="19" spans="1:15" s="723" customFormat="1" ht="20.100000000000001" customHeight="1" x14ac:dyDescent="0.2">
      <c r="A19" s="759" t="s">
        <v>344</v>
      </c>
      <c r="B19" s="857" t="s">
        <v>260</v>
      </c>
      <c r="C19" s="808">
        <f t="shared" ref="C19:K19" si="2">SUM(C20:C45)-C20</f>
        <v>1420634898</v>
      </c>
      <c r="D19" s="807">
        <f>SUM(D20:D47)-D20</f>
        <v>1515270808</v>
      </c>
      <c r="E19" s="808">
        <f>SUM(E20:E48)-E20</f>
        <v>1755525658</v>
      </c>
      <c r="F19" s="808">
        <f>SUM(F20:F48)-F20</f>
        <v>1755525658</v>
      </c>
      <c r="G19" s="809">
        <f t="shared" si="2"/>
        <v>0</v>
      </c>
      <c r="H19" s="810">
        <f>+E19-D19</f>
        <v>240254850</v>
      </c>
      <c r="I19" s="809">
        <f t="shared" si="2"/>
        <v>0</v>
      </c>
      <c r="J19" s="808">
        <f>SUM(J20:J48)-J20</f>
        <v>1209336053</v>
      </c>
      <c r="K19" s="809">
        <f t="shared" si="2"/>
        <v>0</v>
      </c>
      <c r="L19" s="1630">
        <f t="shared" si="0"/>
        <v>68.887404037019209</v>
      </c>
      <c r="M19" s="38"/>
    </row>
    <row r="20" spans="1:15" s="723" customFormat="1" ht="18" customHeight="1" x14ac:dyDescent="0.2">
      <c r="A20" s="762"/>
      <c r="B20" s="855" t="s">
        <v>78</v>
      </c>
      <c r="C20" s="1051">
        <f>SUM(C21:C22)</f>
        <v>281369898</v>
      </c>
      <c r="D20" s="756">
        <f t="shared" ref="D20:K20" si="3">SUM(D21:D22)</f>
        <v>283119898</v>
      </c>
      <c r="E20" s="756">
        <f>SUM(E21:E22)</f>
        <v>298902748</v>
      </c>
      <c r="F20" s="756">
        <f t="shared" si="3"/>
        <v>298902748</v>
      </c>
      <c r="G20" s="761">
        <f t="shared" si="3"/>
        <v>0</v>
      </c>
      <c r="H20" s="758">
        <f t="shared" si="1"/>
        <v>15782850</v>
      </c>
      <c r="I20" s="791">
        <f t="shared" si="3"/>
        <v>0</v>
      </c>
      <c r="J20" s="789">
        <f t="shared" si="3"/>
        <v>156515760</v>
      </c>
      <c r="K20" s="791">
        <f t="shared" si="3"/>
        <v>0</v>
      </c>
      <c r="L20" s="1629">
        <f t="shared" si="0"/>
        <v>52.363439629534625</v>
      </c>
    </row>
    <row r="21" spans="1:15" s="723" customFormat="1" ht="18" customHeight="1" x14ac:dyDescent="0.2">
      <c r="A21" s="762">
        <v>133401</v>
      </c>
      <c r="B21" s="858" t="s">
        <v>549</v>
      </c>
      <c r="C21" s="1052">
        <v>86521894</v>
      </c>
      <c r="D21" s="756">
        <v>86521894</v>
      </c>
      <c r="E21" s="789">
        <v>86521894</v>
      </c>
      <c r="F21" s="789">
        <v>86521894</v>
      </c>
      <c r="G21" s="789"/>
      <c r="H21" s="840">
        <f t="shared" si="1"/>
        <v>0</v>
      </c>
      <c r="I21" s="791"/>
      <c r="J21" s="789">
        <v>43507350</v>
      </c>
      <c r="K21" s="791"/>
      <c r="L21" s="1629">
        <f t="shared" si="0"/>
        <v>50.28478687718048</v>
      </c>
    </row>
    <row r="22" spans="1:15" s="723" customFormat="1" ht="18" customHeight="1" x14ac:dyDescent="0.2">
      <c r="A22" s="762">
        <v>133402</v>
      </c>
      <c r="B22" s="858" t="s">
        <v>550</v>
      </c>
      <c r="C22" s="1052">
        <v>194848004</v>
      </c>
      <c r="D22" s="756">
        <f>194848004+1750000</f>
        <v>196598004</v>
      </c>
      <c r="E22" s="789">
        <f>196598004+15782850</f>
        <v>212380854</v>
      </c>
      <c r="F22" s="789">
        <v>212380854</v>
      </c>
      <c r="G22" s="789"/>
      <c r="H22" s="840">
        <f t="shared" si="1"/>
        <v>15782850</v>
      </c>
      <c r="I22" s="791"/>
      <c r="J22" s="789">
        <v>113008410</v>
      </c>
      <c r="K22" s="791"/>
      <c r="L22" s="1629">
        <f t="shared" si="0"/>
        <v>53.210262540897403</v>
      </c>
    </row>
    <row r="23" spans="1:15" s="723" customFormat="1" ht="18" customHeight="1" x14ac:dyDescent="0.2">
      <c r="A23" s="762">
        <v>133403</v>
      </c>
      <c r="B23" s="855" t="s">
        <v>585</v>
      </c>
      <c r="C23" s="789">
        <v>35000000</v>
      </c>
      <c r="D23" s="756">
        <v>35000000</v>
      </c>
      <c r="E23" s="789">
        <v>35000000</v>
      </c>
      <c r="F23" s="789">
        <v>35000000</v>
      </c>
      <c r="G23" s="789"/>
      <c r="H23" s="792">
        <f t="shared" si="1"/>
        <v>0</v>
      </c>
      <c r="I23" s="791"/>
      <c r="J23" s="789">
        <v>35000000</v>
      </c>
      <c r="K23" s="791"/>
      <c r="L23" s="1629">
        <f t="shared" si="0"/>
        <v>100</v>
      </c>
    </row>
    <row r="24" spans="1:15" s="723" customFormat="1" ht="18" customHeight="1" x14ac:dyDescent="0.2">
      <c r="A24" s="762">
        <v>133403</v>
      </c>
      <c r="B24" s="859" t="s">
        <v>586</v>
      </c>
      <c r="C24" s="789">
        <v>6500000</v>
      </c>
      <c r="D24" s="756">
        <f>6500000+22500000</f>
        <v>29000000</v>
      </c>
      <c r="E24" s="789">
        <v>29000000</v>
      </c>
      <c r="F24" s="789">
        <v>29000000</v>
      </c>
      <c r="G24" s="789"/>
      <c r="H24" s="792">
        <f t="shared" si="1"/>
        <v>0</v>
      </c>
      <c r="I24" s="791"/>
      <c r="J24" s="789">
        <v>29000000</v>
      </c>
      <c r="K24" s="791"/>
      <c r="L24" s="1629">
        <f t="shared" si="0"/>
        <v>100</v>
      </c>
    </row>
    <row r="25" spans="1:15" s="723" customFormat="1" ht="18" customHeight="1" x14ac:dyDescent="0.2">
      <c r="A25" s="762">
        <v>133603</v>
      </c>
      <c r="B25" s="859" t="s">
        <v>287</v>
      </c>
      <c r="C25" s="789">
        <v>4000000</v>
      </c>
      <c r="D25" s="756">
        <v>4000000</v>
      </c>
      <c r="E25" s="766">
        <v>4000000</v>
      </c>
      <c r="F25" s="789">
        <v>4000000</v>
      </c>
      <c r="G25" s="766"/>
      <c r="H25" s="779">
        <f t="shared" si="1"/>
        <v>0</v>
      </c>
      <c r="I25" s="767"/>
      <c r="J25" s="766">
        <v>4000000</v>
      </c>
      <c r="K25" s="767"/>
      <c r="L25" s="1631">
        <f t="shared" si="0"/>
        <v>100</v>
      </c>
    </row>
    <row r="26" spans="1:15" ht="18" hidden="1" customHeight="1" x14ac:dyDescent="0.2">
      <c r="A26" s="762">
        <v>133102</v>
      </c>
      <c r="B26" s="859" t="s">
        <v>348</v>
      </c>
      <c r="C26" s="789"/>
      <c r="D26" s="760"/>
      <c r="E26" s="789"/>
      <c r="F26" s="789"/>
      <c r="G26" s="789"/>
      <c r="H26" s="792">
        <f t="shared" si="1"/>
        <v>0</v>
      </c>
      <c r="I26" s="791"/>
      <c r="J26" s="789"/>
      <c r="K26" s="791"/>
      <c r="L26" s="1629" t="str">
        <f t="shared" si="0"/>
        <v/>
      </c>
    </row>
    <row r="27" spans="1:15" ht="18" customHeight="1" x14ac:dyDescent="0.2">
      <c r="A27" s="763">
        <v>133101</v>
      </c>
      <c r="B27" s="860" t="s">
        <v>285</v>
      </c>
      <c r="C27" s="789">
        <v>15000000</v>
      </c>
      <c r="D27" s="760">
        <v>15000000</v>
      </c>
      <c r="E27" s="789">
        <v>15000000</v>
      </c>
      <c r="F27" s="789">
        <v>15000000</v>
      </c>
      <c r="G27" s="789"/>
      <c r="H27" s="792">
        <f t="shared" si="1"/>
        <v>0</v>
      </c>
      <c r="I27" s="791"/>
      <c r="J27" s="789">
        <v>15000000</v>
      </c>
      <c r="K27" s="791"/>
      <c r="L27" s="1629">
        <f t="shared" si="0"/>
        <v>100</v>
      </c>
    </row>
    <row r="28" spans="1:15" ht="18" customHeight="1" x14ac:dyDescent="0.2">
      <c r="A28" s="763">
        <v>133107</v>
      </c>
      <c r="B28" s="860" t="s">
        <v>82</v>
      </c>
      <c r="C28" s="789">
        <v>20000000</v>
      </c>
      <c r="D28" s="760">
        <v>20000000</v>
      </c>
      <c r="E28" s="789">
        <v>20000000</v>
      </c>
      <c r="F28" s="789">
        <v>20000000</v>
      </c>
      <c r="G28" s="789"/>
      <c r="H28" s="792">
        <f t="shared" si="1"/>
        <v>0</v>
      </c>
      <c r="I28" s="791"/>
      <c r="J28" s="789">
        <v>20000000</v>
      </c>
      <c r="K28" s="791"/>
      <c r="L28" s="1629">
        <f t="shared" si="0"/>
        <v>100</v>
      </c>
    </row>
    <row r="29" spans="1:15" ht="18" customHeight="1" x14ac:dyDescent="0.2">
      <c r="A29" s="762">
        <v>133109</v>
      </c>
      <c r="B29" s="855" t="s">
        <v>286</v>
      </c>
      <c r="C29" s="789">
        <v>700000</v>
      </c>
      <c r="D29" s="756">
        <v>700000</v>
      </c>
      <c r="E29" s="789">
        <v>700000</v>
      </c>
      <c r="F29" s="789">
        <v>700000</v>
      </c>
      <c r="G29" s="789"/>
      <c r="H29" s="792">
        <f t="shared" si="1"/>
        <v>0</v>
      </c>
      <c r="I29" s="791"/>
      <c r="J29" s="789">
        <v>700000</v>
      </c>
      <c r="K29" s="791"/>
      <c r="L29" s="1629">
        <f t="shared" si="0"/>
        <v>100</v>
      </c>
    </row>
    <row r="30" spans="1:15" ht="18" customHeight="1" x14ac:dyDescent="0.2">
      <c r="A30" s="762">
        <v>133201</v>
      </c>
      <c r="B30" s="855" t="s">
        <v>4</v>
      </c>
      <c r="C30" s="789">
        <v>30000000</v>
      </c>
      <c r="D30" s="756">
        <f>30000000-27767490-1000000</f>
        <v>1232510</v>
      </c>
      <c r="E30" s="789">
        <v>1232510</v>
      </c>
      <c r="F30" s="789">
        <v>1232510</v>
      </c>
      <c r="G30" s="789"/>
      <c r="H30" s="792">
        <f t="shared" si="1"/>
        <v>0</v>
      </c>
      <c r="I30" s="791"/>
      <c r="J30" s="789">
        <v>0</v>
      </c>
      <c r="K30" s="791"/>
      <c r="L30" s="1629">
        <f t="shared" si="0"/>
        <v>0</v>
      </c>
    </row>
    <row r="31" spans="1:15" ht="18" customHeight="1" x14ac:dyDescent="0.2">
      <c r="A31" s="762">
        <v>133301</v>
      </c>
      <c r="B31" s="855" t="s">
        <v>79</v>
      </c>
      <c r="C31" s="789">
        <v>12500000</v>
      </c>
      <c r="D31" s="756">
        <v>12500000</v>
      </c>
      <c r="E31" s="789">
        <v>12500000</v>
      </c>
      <c r="F31" s="789">
        <v>12500000</v>
      </c>
      <c r="G31" s="789"/>
      <c r="H31" s="792">
        <f t="shared" si="1"/>
        <v>0</v>
      </c>
      <c r="I31" s="791"/>
      <c r="J31" s="789">
        <v>12500000</v>
      </c>
      <c r="K31" s="791"/>
      <c r="L31" s="1629">
        <f t="shared" si="0"/>
        <v>100</v>
      </c>
    </row>
    <row r="32" spans="1:15" ht="18" customHeight="1" x14ac:dyDescent="0.2">
      <c r="A32" s="762">
        <v>133305</v>
      </c>
      <c r="B32" s="855" t="s">
        <v>582</v>
      </c>
      <c r="C32" s="766">
        <v>43200000</v>
      </c>
      <c r="D32" s="756">
        <v>43200000</v>
      </c>
      <c r="E32" s="766">
        <f>43200000+13056000</f>
        <v>56256000</v>
      </c>
      <c r="F32" s="766">
        <v>56256000</v>
      </c>
      <c r="G32" s="766"/>
      <c r="H32" s="779">
        <f t="shared" si="1"/>
        <v>13056000</v>
      </c>
      <c r="I32" s="767"/>
      <c r="J32" s="766">
        <v>32200000</v>
      </c>
      <c r="K32" s="767"/>
      <c r="L32" s="1631">
        <f t="shared" si="0"/>
        <v>57.238339021615467</v>
      </c>
      <c r="O32" s="802"/>
    </row>
    <row r="33" spans="1:12" ht="18" customHeight="1" x14ac:dyDescent="0.2">
      <c r="A33" s="762">
        <v>133303</v>
      </c>
      <c r="B33" s="855" t="s">
        <v>1</v>
      </c>
      <c r="C33" s="766">
        <v>26190000</v>
      </c>
      <c r="D33" s="756">
        <v>26190000</v>
      </c>
      <c r="E33" s="766">
        <f>26190000+9216000</f>
        <v>35406000</v>
      </c>
      <c r="F33" s="766">
        <v>35406000</v>
      </c>
      <c r="G33" s="766"/>
      <c r="H33" s="779">
        <f t="shared" si="1"/>
        <v>9216000</v>
      </c>
      <c r="I33" s="767"/>
      <c r="J33" s="766">
        <v>18190000</v>
      </c>
      <c r="K33" s="767"/>
      <c r="L33" s="1631">
        <f t="shared" si="0"/>
        <v>51.375473083658143</v>
      </c>
    </row>
    <row r="34" spans="1:12" ht="18" customHeight="1" x14ac:dyDescent="0.2">
      <c r="A34" s="762">
        <v>133501</v>
      </c>
      <c r="B34" s="860" t="s">
        <v>109</v>
      </c>
      <c r="C34" s="789">
        <v>17000000</v>
      </c>
      <c r="D34" s="756">
        <f>17000000+3000000</f>
        <v>20000000</v>
      </c>
      <c r="E34" s="789">
        <v>20000000</v>
      </c>
      <c r="F34" s="789">
        <v>20000000</v>
      </c>
      <c r="G34" s="789"/>
      <c r="H34" s="792">
        <f t="shared" si="1"/>
        <v>0</v>
      </c>
      <c r="I34" s="791"/>
      <c r="J34" s="789">
        <v>16690000</v>
      </c>
      <c r="K34" s="791"/>
      <c r="L34" s="1629">
        <f t="shared" si="0"/>
        <v>83.45</v>
      </c>
    </row>
    <row r="35" spans="1:12" ht="18" customHeight="1" x14ac:dyDescent="0.2">
      <c r="A35" s="762">
        <v>133601</v>
      </c>
      <c r="B35" s="860" t="s">
        <v>5</v>
      </c>
      <c r="C35" s="789">
        <v>10000000</v>
      </c>
      <c r="D35" s="756">
        <v>10000000</v>
      </c>
      <c r="E35" s="789">
        <v>10000000</v>
      </c>
      <c r="F35" s="789">
        <v>10000000</v>
      </c>
      <c r="G35" s="789"/>
      <c r="H35" s="792">
        <f t="shared" si="1"/>
        <v>0</v>
      </c>
      <c r="I35" s="791"/>
      <c r="J35" s="789">
        <v>10000000</v>
      </c>
      <c r="K35" s="791"/>
      <c r="L35" s="1629">
        <f t="shared" si="0"/>
        <v>100</v>
      </c>
    </row>
    <row r="36" spans="1:12" ht="18" customHeight="1" x14ac:dyDescent="0.2">
      <c r="A36" s="762">
        <v>133604</v>
      </c>
      <c r="B36" s="855" t="s">
        <v>6</v>
      </c>
      <c r="C36" s="789">
        <v>3900000</v>
      </c>
      <c r="D36" s="756">
        <v>3900000</v>
      </c>
      <c r="E36" s="789">
        <v>3900000</v>
      </c>
      <c r="F36" s="789">
        <v>3900000</v>
      </c>
      <c r="G36" s="789"/>
      <c r="H36" s="792">
        <f t="shared" si="1"/>
        <v>0</v>
      </c>
      <c r="I36" s="791"/>
      <c r="J36" s="789">
        <v>2925000</v>
      </c>
      <c r="K36" s="791"/>
      <c r="L36" s="1629">
        <f t="shared" si="0"/>
        <v>75</v>
      </c>
    </row>
    <row r="37" spans="1:12" ht="18" customHeight="1" x14ac:dyDescent="0.2">
      <c r="A37" s="764">
        <v>133702</v>
      </c>
      <c r="B37" s="861" t="s">
        <v>639</v>
      </c>
      <c r="C37" s="789">
        <v>650000000</v>
      </c>
      <c r="D37" s="760">
        <v>650000000</v>
      </c>
      <c r="E37" s="789">
        <f>650000000+188500000</f>
        <v>838500000</v>
      </c>
      <c r="F37" s="789">
        <v>838500000</v>
      </c>
      <c r="G37" s="789"/>
      <c r="H37" s="792">
        <f t="shared" si="1"/>
        <v>188500000</v>
      </c>
      <c r="I37" s="791"/>
      <c r="J37" s="789">
        <v>600000000</v>
      </c>
      <c r="K37" s="791"/>
      <c r="L37" s="1629">
        <f t="shared" si="0"/>
        <v>71.556350626118075</v>
      </c>
    </row>
    <row r="38" spans="1:12" ht="18" customHeight="1" x14ac:dyDescent="0.2">
      <c r="A38" s="765">
        <v>133705</v>
      </c>
      <c r="B38" s="861" t="s">
        <v>261</v>
      </c>
      <c r="C38" s="789">
        <v>198000000</v>
      </c>
      <c r="D38" s="760">
        <f>198000000+87628000</f>
        <v>285628000</v>
      </c>
      <c r="E38" s="789">
        <f>285628000+10700000</f>
        <v>296328000</v>
      </c>
      <c r="F38" s="789">
        <v>296328000</v>
      </c>
      <c r="G38" s="789"/>
      <c r="H38" s="792">
        <f t="shared" si="1"/>
        <v>10700000</v>
      </c>
      <c r="I38" s="791"/>
      <c r="J38" s="789">
        <v>213500000</v>
      </c>
      <c r="K38" s="791"/>
      <c r="L38" s="1629">
        <f t="shared" si="0"/>
        <v>72.048540806133744</v>
      </c>
    </row>
    <row r="39" spans="1:12" ht="18" customHeight="1" x14ac:dyDescent="0.2">
      <c r="A39" s="755">
        <v>132101</v>
      </c>
      <c r="B39" s="833" t="s">
        <v>0</v>
      </c>
      <c r="C39" s="789">
        <v>375000</v>
      </c>
      <c r="D39" s="760">
        <v>375000</v>
      </c>
      <c r="E39" s="789">
        <v>375000</v>
      </c>
      <c r="F39" s="789">
        <v>375000</v>
      </c>
      <c r="G39" s="789"/>
      <c r="H39" s="792">
        <f t="shared" si="1"/>
        <v>0</v>
      </c>
      <c r="I39" s="791"/>
      <c r="J39" s="789">
        <v>325000</v>
      </c>
      <c r="K39" s="791"/>
      <c r="L39" s="1629">
        <f t="shared" si="0"/>
        <v>86.666666666666671</v>
      </c>
    </row>
    <row r="40" spans="1:12" ht="18" customHeight="1" x14ac:dyDescent="0.2">
      <c r="A40" s="765">
        <v>133502</v>
      </c>
      <c r="B40" s="860" t="s">
        <v>10</v>
      </c>
      <c r="C40" s="789">
        <v>400000</v>
      </c>
      <c r="D40" s="760">
        <v>400000</v>
      </c>
      <c r="E40" s="789">
        <v>400000</v>
      </c>
      <c r="F40" s="789">
        <v>400000</v>
      </c>
      <c r="G40" s="789"/>
      <c r="H40" s="792">
        <f t="shared" si="1"/>
        <v>0</v>
      </c>
      <c r="I40" s="791"/>
      <c r="J40" s="789">
        <v>400000</v>
      </c>
      <c r="K40" s="791"/>
      <c r="L40" s="1629">
        <f t="shared" si="0"/>
        <v>100</v>
      </c>
    </row>
    <row r="41" spans="1:12" ht="18" customHeight="1" x14ac:dyDescent="0.2">
      <c r="A41" s="765">
        <v>123611</v>
      </c>
      <c r="B41" s="793" t="s">
        <v>136</v>
      </c>
      <c r="C41" s="789">
        <v>50000000</v>
      </c>
      <c r="D41" s="760">
        <v>50000000</v>
      </c>
      <c r="E41" s="789">
        <v>50000000</v>
      </c>
      <c r="F41" s="789">
        <v>50000000</v>
      </c>
      <c r="G41" s="789"/>
      <c r="H41" s="792">
        <f t="shared" si="1"/>
        <v>0</v>
      </c>
      <c r="I41" s="791"/>
      <c r="J41" s="789">
        <v>22888893</v>
      </c>
      <c r="K41" s="791"/>
      <c r="L41" s="1629">
        <f t="shared" si="0"/>
        <v>45.777785999999999</v>
      </c>
    </row>
    <row r="42" spans="1:12" ht="18" customHeight="1" x14ac:dyDescent="0.2">
      <c r="A42" s="765">
        <v>133202</v>
      </c>
      <c r="B42" s="793" t="s">
        <v>351</v>
      </c>
      <c r="C42" s="789">
        <v>2000000</v>
      </c>
      <c r="D42" s="760">
        <f>2000000-500000-1476000</f>
        <v>24000</v>
      </c>
      <c r="E42" s="789">
        <v>24000</v>
      </c>
      <c r="F42" s="789">
        <v>24000</v>
      </c>
      <c r="G42" s="789"/>
      <c r="H42" s="1177">
        <f t="shared" si="1"/>
        <v>0</v>
      </c>
      <c r="I42" s="791"/>
      <c r="J42" s="789">
        <v>0</v>
      </c>
      <c r="K42" s="791"/>
      <c r="L42" s="1629">
        <f t="shared" si="0"/>
        <v>0</v>
      </c>
    </row>
    <row r="43" spans="1:12" ht="18" customHeight="1" x14ac:dyDescent="0.2">
      <c r="A43" s="764">
        <v>131108</v>
      </c>
      <c r="B43" s="860" t="s">
        <v>349</v>
      </c>
      <c r="C43" s="766">
        <v>10000000</v>
      </c>
      <c r="D43" s="760">
        <f>10000000-298600</f>
        <v>9701400</v>
      </c>
      <c r="E43" s="766">
        <v>9701400</v>
      </c>
      <c r="F43" s="766">
        <v>9701400</v>
      </c>
      <c r="G43" s="766"/>
      <c r="H43" s="779">
        <f t="shared" si="1"/>
        <v>0</v>
      </c>
      <c r="I43" s="767"/>
      <c r="J43" s="766">
        <v>9701400</v>
      </c>
      <c r="K43" s="767"/>
      <c r="L43" s="1631">
        <f t="shared" si="0"/>
        <v>100</v>
      </c>
    </row>
    <row r="44" spans="1:12" ht="18" customHeight="1" x14ac:dyDescent="0.2">
      <c r="A44" s="768">
        <v>133704</v>
      </c>
      <c r="B44" s="794" t="s">
        <v>551</v>
      </c>
      <c r="C44" s="766">
        <v>500000</v>
      </c>
      <c r="D44" s="769">
        <v>500000</v>
      </c>
      <c r="E44" s="770">
        <v>500000</v>
      </c>
      <c r="F44" s="770">
        <v>500000</v>
      </c>
      <c r="G44" s="770"/>
      <c r="H44" s="773">
        <f t="shared" si="1"/>
        <v>0</v>
      </c>
      <c r="I44" s="1531"/>
      <c r="J44" s="1536">
        <v>0</v>
      </c>
      <c r="K44" s="1531"/>
      <c r="L44" s="1632">
        <f t="shared" si="0"/>
        <v>0</v>
      </c>
    </row>
    <row r="45" spans="1:12" ht="18" customHeight="1" x14ac:dyDescent="0.2">
      <c r="A45" s="765">
        <v>133508</v>
      </c>
      <c r="B45" s="794" t="s">
        <v>583</v>
      </c>
      <c r="C45" s="766">
        <v>4000000</v>
      </c>
      <c r="D45" s="769">
        <v>4000000</v>
      </c>
      <c r="E45" s="770">
        <v>4000000</v>
      </c>
      <c r="F45" s="770">
        <v>4000000</v>
      </c>
      <c r="G45" s="770"/>
      <c r="H45" s="773">
        <f t="shared" si="1"/>
        <v>0</v>
      </c>
      <c r="I45" s="1531"/>
      <c r="J45" s="1536">
        <v>2000000</v>
      </c>
      <c r="K45" s="1531"/>
      <c r="L45" s="1632">
        <f t="shared" si="0"/>
        <v>50</v>
      </c>
    </row>
    <row r="46" spans="1:12" ht="18" customHeight="1" x14ac:dyDescent="0.2">
      <c r="A46" s="765">
        <v>133509</v>
      </c>
      <c r="B46" s="794" t="s">
        <v>751</v>
      </c>
      <c r="C46" s="770"/>
      <c r="D46" s="769">
        <v>10000000</v>
      </c>
      <c r="E46" s="770">
        <v>10000000</v>
      </c>
      <c r="F46" s="770">
        <v>10000000</v>
      </c>
      <c r="G46" s="770"/>
      <c r="H46" s="773">
        <f t="shared" si="1"/>
        <v>0</v>
      </c>
      <c r="I46" s="1531"/>
      <c r="J46" s="1536">
        <v>4000000</v>
      </c>
      <c r="K46" s="1531"/>
      <c r="L46" s="1632">
        <f t="shared" si="0"/>
        <v>40</v>
      </c>
    </row>
    <row r="47" spans="1:12" ht="18" customHeight="1" x14ac:dyDescent="0.2">
      <c r="A47" s="765">
        <v>133510</v>
      </c>
      <c r="B47" s="794" t="s">
        <v>756</v>
      </c>
      <c r="C47" s="770"/>
      <c r="D47" s="769">
        <v>800000</v>
      </c>
      <c r="E47" s="770">
        <v>800000</v>
      </c>
      <c r="F47" s="770">
        <v>800000</v>
      </c>
      <c r="G47" s="770"/>
      <c r="H47" s="773">
        <f t="shared" si="1"/>
        <v>0</v>
      </c>
      <c r="I47" s="1531"/>
      <c r="J47" s="1536">
        <v>800000</v>
      </c>
      <c r="K47" s="1531"/>
      <c r="L47" s="1632">
        <f t="shared" si="0"/>
        <v>100</v>
      </c>
    </row>
    <row r="48" spans="1:12" ht="31.5" x14ac:dyDescent="0.2">
      <c r="A48" s="1331">
        <v>133605</v>
      </c>
      <c r="B48" s="794" t="s">
        <v>779</v>
      </c>
      <c r="C48" s="770"/>
      <c r="D48" s="769"/>
      <c r="E48" s="770">
        <v>3000000</v>
      </c>
      <c r="F48" s="770">
        <v>3000000</v>
      </c>
      <c r="G48" s="770"/>
      <c r="H48" s="773">
        <f t="shared" si="1"/>
        <v>3000000</v>
      </c>
      <c r="I48" s="1531"/>
      <c r="J48" s="1536">
        <v>3000000</v>
      </c>
      <c r="K48" s="1531"/>
      <c r="L48" s="1632">
        <f t="shared" si="0"/>
        <v>100</v>
      </c>
    </row>
    <row r="49" spans="1:15" ht="10.15" customHeight="1" thickBot="1" x14ac:dyDescent="0.25">
      <c r="A49" s="771"/>
      <c r="B49" s="795"/>
      <c r="C49" s="1053"/>
      <c r="D49" s="772"/>
      <c r="E49" s="770"/>
      <c r="F49" s="770"/>
      <c r="G49" s="770"/>
      <c r="H49" s="773"/>
      <c r="I49" s="1531"/>
      <c r="J49" s="1536"/>
      <c r="K49" s="1531"/>
      <c r="L49" s="1632" t="str">
        <f t="shared" si="0"/>
        <v/>
      </c>
      <c r="O49" s="774"/>
    </row>
    <row r="50" spans="1:15" ht="24.95" customHeight="1" thickBot="1" x14ac:dyDescent="0.25">
      <c r="A50" s="796"/>
      <c r="B50" s="775" t="s">
        <v>262</v>
      </c>
      <c r="C50" s="741">
        <f>C51+C58</f>
        <v>159500000</v>
      </c>
      <c r="D50" s="740">
        <f>D51+D58</f>
        <v>390985000</v>
      </c>
      <c r="E50" s="741">
        <f>E51+E58</f>
        <v>423985000</v>
      </c>
      <c r="F50" s="741">
        <f>F51+F58</f>
        <v>423985000</v>
      </c>
      <c r="G50" s="741">
        <f>G51+G58</f>
        <v>0</v>
      </c>
      <c r="H50" s="739">
        <f t="shared" si="1"/>
        <v>33000000</v>
      </c>
      <c r="I50" s="1119">
        <f>I51+I58</f>
        <v>30000000</v>
      </c>
      <c r="J50" s="741">
        <f>J51+J58</f>
        <v>335925756</v>
      </c>
      <c r="K50" s="1119">
        <f>K51+K58</f>
        <v>0</v>
      </c>
      <c r="L50" s="1633">
        <f t="shared" si="0"/>
        <v>79.230575609986204</v>
      </c>
    </row>
    <row r="51" spans="1:15" ht="20.100000000000001" customHeight="1" x14ac:dyDescent="0.2">
      <c r="A51" s="776" t="s">
        <v>345</v>
      </c>
      <c r="B51" s="806" t="s">
        <v>263</v>
      </c>
      <c r="C51" s="1054">
        <f t="shared" ref="C51:K51" si="4">SUM(C52:C52)</f>
        <v>1500000</v>
      </c>
      <c r="D51" s="1109">
        <f>SUM(D52:D56)</f>
        <v>31613000</v>
      </c>
      <c r="E51" s="1054">
        <f>SUM(E52:E56)</f>
        <v>31613000</v>
      </c>
      <c r="F51" s="1054">
        <f>SUM(F52:H56)</f>
        <v>31613000</v>
      </c>
      <c r="G51" s="1054">
        <f t="shared" ref="G51:I51" si="5">SUM(G52:I56)</f>
        <v>0</v>
      </c>
      <c r="H51" s="1054">
        <f t="shared" si="5"/>
        <v>30000000</v>
      </c>
      <c r="I51" s="1054">
        <f t="shared" si="5"/>
        <v>30000000</v>
      </c>
      <c r="J51" s="1054">
        <f>SUM(J52:J56)</f>
        <v>30000000</v>
      </c>
      <c r="K51" s="1544">
        <f t="shared" si="4"/>
        <v>0</v>
      </c>
      <c r="L51" s="1634">
        <f t="shared" si="0"/>
        <v>94.897668680606088</v>
      </c>
    </row>
    <row r="52" spans="1:15" ht="20.100000000000001" customHeight="1" x14ac:dyDescent="0.2">
      <c r="A52" s="777">
        <v>154006</v>
      </c>
      <c r="B52" s="856" t="s">
        <v>766</v>
      </c>
      <c r="C52" s="1055">
        <v>1500000</v>
      </c>
      <c r="D52" s="778">
        <f>1500000-1500000</f>
        <v>0</v>
      </c>
      <c r="E52" s="778">
        <v>0</v>
      </c>
      <c r="F52" s="778">
        <v>0</v>
      </c>
      <c r="G52" s="766"/>
      <c r="H52" s="779">
        <f t="shared" si="1"/>
        <v>0</v>
      </c>
      <c r="I52" s="767"/>
      <c r="J52" s="766">
        <v>0</v>
      </c>
      <c r="K52" s="767"/>
      <c r="L52" s="1631" t="str">
        <f t="shared" si="0"/>
        <v/>
      </c>
    </row>
    <row r="53" spans="1:15" ht="20.100000000000001" customHeight="1" x14ac:dyDescent="0.2">
      <c r="A53" s="1150">
        <v>132105</v>
      </c>
      <c r="B53" s="1149" t="s">
        <v>759</v>
      </c>
      <c r="C53" s="1055"/>
      <c r="D53" s="778">
        <v>19000000</v>
      </c>
      <c r="E53" s="778">
        <v>19000000</v>
      </c>
      <c r="F53" s="778">
        <v>19000000</v>
      </c>
      <c r="G53" s="1122"/>
      <c r="H53" s="779">
        <f t="shared" si="1"/>
        <v>0</v>
      </c>
      <c r="I53" s="767"/>
      <c r="J53" s="766">
        <v>19000000</v>
      </c>
      <c r="K53" s="767"/>
      <c r="L53" s="1631">
        <f t="shared" si="0"/>
        <v>100</v>
      </c>
    </row>
    <row r="54" spans="1:15" ht="20.100000000000001" customHeight="1" x14ac:dyDescent="0.2">
      <c r="A54" s="1150">
        <v>132106</v>
      </c>
      <c r="B54" s="1149" t="s">
        <v>760</v>
      </c>
      <c r="C54" s="1055"/>
      <c r="D54" s="778">
        <v>1000000</v>
      </c>
      <c r="E54" s="778">
        <v>1000000</v>
      </c>
      <c r="F54" s="778">
        <v>1000000</v>
      </c>
      <c r="G54" s="1122"/>
      <c r="H54" s="779">
        <f t="shared" si="1"/>
        <v>0</v>
      </c>
      <c r="I54" s="767"/>
      <c r="J54" s="766">
        <v>1000000</v>
      </c>
      <c r="K54" s="767"/>
      <c r="L54" s="1631">
        <f t="shared" si="0"/>
        <v>100</v>
      </c>
    </row>
    <row r="55" spans="1:15" ht="20.100000000000001" customHeight="1" x14ac:dyDescent="0.2">
      <c r="A55" s="1150">
        <v>132104</v>
      </c>
      <c r="B55" s="1149" t="s">
        <v>761</v>
      </c>
      <c r="C55" s="1055"/>
      <c r="D55" s="778">
        <v>10000000</v>
      </c>
      <c r="E55" s="778">
        <v>10000000</v>
      </c>
      <c r="F55" s="778">
        <v>10000000</v>
      </c>
      <c r="G55" s="1122"/>
      <c r="H55" s="779">
        <f t="shared" si="1"/>
        <v>0</v>
      </c>
      <c r="I55" s="767"/>
      <c r="J55" s="766">
        <v>10000000</v>
      </c>
      <c r="K55" s="767"/>
      <c r="L55" s="1631">
        <f t="shared" si="0"/>
        <v>100</v>
      </c>
    </row>
    <row r="56" spans="1:15" s="1295" customFormat="1" ht="20.100000000000001" customHeight="1" x14ac:dyDescent="0.2">
      <c r="A56" s="1150"/>
      <c r="B56" s="1372" t="s">
        <v>757</v>
      </c>
      <c r="C56" s="1290"/>
      <c r="D56" s="1291">
        <v>1613000</v>
      </c>
      <c r="E56" s="1291">
        <v>1613000</v>
      </c>
      <c r="F56" s="1291">
        <v>1613000</v>
      </c>
      <c r="G56" s="1292"/>
      <c r="H56" s="1293">
        <f t="shared" si="1"/>
        <v>0</v>
      </c>
      <c r="I56" s="1294"/>
      <c r="J56" s="1400">
        <v>0</v>
      </c>
      <c r="K56" s="1294"/>
      <c r="L56" s="1635">
        <f t="shared" si="0"/>
        <v>0</v>
      </c>
    </row>
    <row r="57" spans="1:15" ht="10.35" customHeight="1" x14ac:dyDescent="0.2">
      <c r="A57" s="777"/>
      <c r="B57" s="861"/>
      <c r="C57" s="500"/>
      <c r="D57" s="675"/>
      <c r="E57" s="766"/>
      <c r="F57" s="766"/>
      <c r="G57" s="797"/>
      <c r="H57" s="1293"/>
      <c r="I57" s="767"/>
      <c r="J57" s="766"/>
      <c r="K57" s="767"/>
      <c r="L57" s="1631" t="str">
        <f t="shared" si="0"/>
        <v/>
      </c>
    </row>
    <row r="58" spans="1:15" ht="20.100000000000001" customHeight="1" x14ac:dyDescent="0.2">
      <c r="A58" s="780" t="s">
        <v>346</v>
      </c>
      <c r="B58" s="862" t="s">
        <v>264</v>
      </c>
      <c r="C58" s="1056">
        <f>SUM(C59:C61)</f>
        <v>158000000</v>
      </c>
      <c r="D58" s="1108">
        <f>SUM(D59:D65)</f>
        <v>359372000</v>
      </c>
      <c r="E58" s="1056">
        <f>SUM(E59:E66)</f>
        <v>392372000</v>
      </c>
      <c r="F58" s="1056">
        <f>SUM(F59:F66)</f>
        <v>392372000</v>
      </c>
      <c r="G58" s="808">
        <f>SUM(G59:G61)</f>
        <v>0</v>
      </c>
      <c r="H58" s="811">
        <f>+E58-D58</f>
        <v>33000000</v>
      </c>
      <c r="I58" s="1545">
        <f>SUM(I59:I61)</f>
        <v>0</v>
      </c>
      <c r="J58" s="1056">
        <f>SUM(J59:J66)</f>
        <v>305925756</v>
      </c>
      <c r="K58" s="1545">
        <f>SUM(K59:K61)</f>
        <v>0</v>
      </c>
      <c r="L58" s="1636">
        <f t="shared" si="0"/>
        <v>77.968294373706584</v>
      </c>
    </row>
    <row r="59" spans="1:15" ht="20.100000000000001" customHeight="1" x14ac:dyDescent="0.2">
      <c r="A59" s="777">
        <v>154002</v>
      </c>
      <c r="B59" s="833" t="s">
        <v>386</v>
      </c>
      <c r="C59" s="766">
        <v>40000000</v>
      </c>
      <c r="D59" s="675">
        <v>40000000</v>
      </c>
      <c r="E59" s="766">
        <v>40000000</v>
      </c>
      <c r="F59" s="766">
        <v>40000000</v>
      </c>
      <c r="G59" s="766"/>
      <c r="H59" s="779">
        <f t="shared" si="1"/>
        <v>0</v>
      </c>
      <c r="I59" s="767"/>
      <c r="J59" s="766">
        <v>27753756</v>
      </c>
      <c r="K59" s="767"/>
      <c r="L59" s="1631">
        <f t="shared" si="0"/>
        <v>69.384389999999996</v>
      </c>
    </row>
    <row r="60" spans="1:15" ht="20.100000000000001" customHeight="1" x14ac:dyDescent="0.2">
      <c r="A60" s="777">
        <v>155006</v>
      </c>
      <c r="B60" s="833" t="s">
        <v>711</v>
      </c>
      <c r="C60" s="766">
        <v>102000000</v>
      </c>
      <c r="D60" s="675">
        <v>102000000</v>
      </c>
      <c r="E60" s="770">
        <f>102000000+20000000</f>
        <v>122000000</v>
      </c>
      <c r="F60" s="770">
        <v>122000000</v>
      </c>
      <c r="G60" s="781"/>
      <c r="H60" s="782">
        <f t="shared" si="1"/>
        <v>20000000</v>
      </c>
      <c r="I60" s="767"/>
      <c r="J60" s="766">
        <v>74800000</v>
      </c>
      <c r="K60" s="767"/>
      <c r="L60" s="1631">
        <f t="shared" si="0"/>
        <v>61.311475409836071</v>
      </c>
    </row>
    <row r="61" spans="1:15" ht="31.5" x14ac:dyDescent="0.2">
      <c r="A61" s="765">
        <v>155004</v>
      </c>
      <c r="B61" s="833" t="s">
        <v>584</v>
      </c>
      <c r="C61" s="766">
        <v>16000000</v>
      </c>
      <c r="D61" s="778">
        <v>16000000</v>
      </c>
      <c r="E61" s="770">
        <v>16000000</v>
      </c>
      <c r="F61" s="770">
        <v>16000000</v>
      </c>
      <c r="G61" s="766"/>
      <c r="H61" s="779">
        <f t="shared" si="1"/>
        <v>0</v>
      </c>
      <c r="I61" s="767"/>
      <c r="J61" s="766">
        <v>2000000</v>
      </c>
      <c r="K61" s="767"/>
      <c r="L61" s="1631">
        <f t="shared" si="0"/>
        <v>12.5</v>
      </c>
    </row>
    <row r="62" spans="1:15" ht="21" customHeight="1" x14ac:dyDescent="0.2">
      <c r="A62" s="765">
        <v>133503</v>
      </c>
      <c r="B62" s="794" t="s">
        <v>758</v>
      </c>
      <c r="C62" s="770"/>
      <c r="D62" s="769">
        <v>1000000</v>
      </c>
      <c r="E62" s="770">
        <f>1000000+10000000</f>
        <v>11000000</v>
      </c>
      <c r="F62" s="770">
        <v>11000000</v>
      </c>
      <c r="G62" s="766"/>
      <c r="H62" s="779">
        <f t="shared" si="1"/>
        <v>10000000</v>
      </c>
      <c r="I62" s="1532"/>
      <c r="J62" s="1536">
        <v>1000000</v>
      </c>
      <c r="K62" s="1531"/>
      <c r="L62" s="1632">
        <f t="shared" si="0"/>
        <v>9.0909090909090917</v>
      </c>
    </row>
    <row r="63" spans="1:15" ht="21" customHeight="1" x14ac:dyDescent="0.2">
      <c r="A63" s="764">
        <v>133702</v>
      </c>
      <c r="B63" s="861" t="s">
        <v>639</v>
      </c>
      <c r="C63" s="770"/>
      <c r="D63" s="769">
        <f>7500000+9000000</f>
        <v>16500000</v>
      </c>
      <c r="E63" s="770">
        <v>16500000</v>
      </c>
      <c r="F63" s="770">
        <v>16500000</v>
      </c>
      <c r="G63" s="766"/>
      <c r="H63" s="773">
        <f t="shared" si="1"/>
        <v>0</v>
      </c>
      <c r="I63" s="1532"/>
      <c r="J63" s="1536">
        <v>16500000</v>
      </c>
      <c r="K63" s="1531"/>
      <c r="L63" s="1632">
        <f t="shared" si="0"/>
        <v>100</v>
      </c>
    </row>
    <row r="64" spans="1:15" ht="21" customHeight="1" x14ac:dyDescent="0.2">
      <c r="A64" s="1182">
        <v>133511</v>
      </c>
      <c r="B64" s="861" t="s">
        <v>765</v>
      </c>
      <c r="C64" s="770"/>
      <c r="D64" s="769">
        <v>1500000</v>
      </c>
      <c r="E64" s="770">
        <v>1500000</v>
      </c>
      <c r="F64" s="770">
        <v>1500000</v>
      </c>
      <c r="G64" s="766"/>
      <c r="H64" s="773">
        <f t="shared" si="1"/>
        <v>0</v>
      </c>
      <c r="I64" s="1532"/>
      <c r="J64" s="1536">
        <v>1500000</v>
      </c>
      <c r="K64" s="1531"/>
      <c r="L64" s="1632">
        <f t="shared" si="0"/>
        <v>100</v>
      </c>
    </row>
    <row r="65" spans="1:14" ht="21" customHeight="1" x14ac:dyDescent="0.2">
      <c r="A65" s="765">
        <v>133705</v>
      </c>
      <c r="B65" s="861" t="s">
        <v>261</v>
      </c>
      <c r="C65" s="770"/>
      <c r="D65" s="769">
        <v>182372000</v>
      </c>
      <c r="E65" s="770">
        <v>182372000</v>
      </c>
      <c r="F65" s="770">
        <v>182372000</v>
      </c>
      <c r="G65" s="766"/>
      <c r="H65" s="773">
        <f t="shared" si="1"/>
        <v>0</v>
      </c>
      <c r="I65" s="1532"/>
      <c r="J65" s="1536">
        <v>182372000</v>
      </c>
      <c r="K65" s="1531"/>
      <c r="L65" s="1632">
        <f t="shared" si="0"/>
        <v>100</v>
      </c>
    </row>
    <row r="66" spans="1:14" s="1295" customFormat="1" ht="21" customHeight="1" x14ac:dyDescent="0.2">
      <c r="A66" s="1396">
        <v>133301</v>
      </c>
      <c r="B66" s="1397" t="s">
        <v>790</v>
      </c>
      <c r="C66" s="1398"/>
      <c r="D66" s="1399"/>
      <c r="E66" s="1398">
        <v>3000000</v>
      </c>
      <c r="F66" s="1398">
        <v>3000000</v>
      </c>
      <c r="G66" s="1400"/>
      <c r="H66" s="1401">
        <f t="shared" si="1"/>
        <v>3000000</v>
      </c>
      <c r="I66" s="1533"/>
      <c r="J66" s="1537">
        <v>0</v>
      </c>
      <c r="K66" s="1539"/>
      <c r="L66" s="1637">
        <f t="shared" si="0"/>
        <v>0</v>
      </c>
    </row>
    <row r="67" spans="1:14" ht="9.9499999999999993" customHeight="1" thickBot="1" x14ac:dyDescent="0.25">
      <c r="A67" s="804"/>
      <c r="B67" s="1546"/>
      <c r="C67" s="1547"/>
      <c r="D67" s="1548"/>
      <c r="E67" s="1547"/>
      <c r="F67" s="1538"/>
      <c r="G67" s="1538"/>
      <c r="H67" s="1542"/>
      <c r="I67" s="1534"/>
      <c r="J67" s="1538"/>
      <c r="K67" s="1540"/>
      <c r="L67" s="1638" t="str">
        <f t="shared" si="0"/>
        <v/>
      </c>
    </row>
    <row r="68" spans="1:14" s="723" customFormat="1" ht="20.100000000000001" customHeight="1" thickBot="1" x14ac:dyDescent="0.25">
      <c r="A68" s="805"/>
      <c r="B68" s="1381" t="s">
        <v>265</v>
      </c>
      <c r="C68" s="1382">
        <f>C8+C50</f>
        <v>1623164898</v>
      </c>
      <c r="D68" s="1383">
        <f>D8+D50</f>
        <v>1919309190</v>
      </c>
      <c r="E68" s="1382">
        <f>E8+E50</f>
        <v>2259764040</v>
      </c>
      <c r="F68" s="1382">
        <f>F8+F50</f>
        <v>2259764040</v>
      </c>
      <c r="G68" s="1382">
        <f>G8+G50</f>
        <v>0</v>
      </c>
      <c r="H68" s="1384">
        <f t="shared" si="1"/>
        <v>340454850</v>
      </c>
      <c r="I68" s="1541">
        <f>I8+I50</f>
        <v>30000000</v>
      </c>
      <c r="J68" s="1382">
        <f>J8+J50</f>
        <v>350979138</v>
      </c>
      <c r="K68" s="1541">
        <f>K8+K50</f>
        <v>0</v>
      </c>
      <c r="L68" s="1639">
        <f t="shared" si="0"/>
        <v>15.531671970494759</v>
      </c>
      <c r="N68" s="798"/>
    </row>
    <row r="69" spans="1:14" s="723" customFormat="1" ht="15.95" customHeight="1" x14ac:dyDescent="0.2">
      <c r="A69" s="863"/>
      <c r="B69" s="864"/>
      <c r="C69" s="865"/>
      <c r="D69" s="865"/>
      <c r="E69" s="865"/>
      <c r="F69" s="865"/>
      <c r="G69" s="865"/>
      <c r="H69" s="866"/>
      <c r="I69" s="865"/>
      <c r="J69" s="865"/>
      <c r="K69" s="865"/>
      <c r="L69" s="1640" t="str">
        <f t="shared" si="0"/>
        <v/>
      </c>
    </row>
    <row r="70" spans="1:14" s="845" customFormat="1" ht="30" customHeight="1" thickBot="1" x14ac:dyDescent="0.25">
      <c r="A70" s="867"/>
      <c r="B70" s="1816" t="s">
        <v>713</v>
      </c>
      <c r="C70" s="1817"/>
      <c r="D70" s="868"/>
      <c r="E70" s="868"/>
      <c r="F70" s="868"/>
      <c r="G70" s="868"/>
      <c r="H70" s="869"/>
      <c r="I70" s="868"/>
      <c r="J70" s="868"/>
      <c r="K70" s="868"/>
      <c r="L70" s="1641" t="str">
        <f t="shared" si="0"/>
        <v/>
      </c>
    </row>
    <row r="71" spans="1:14" s="850" customFormat="1" ht="15.95" hidden="1" customHeight="1" thickBot="1" x14ac:dyDescent="0.25">
      <c r="A71" s="846"/>
      <c r="B71" s="847" t="s">
        <v>71</v>
      </c>
      <c r="C71" s="875"/>
      <c r="D71" s="848"/>
      <c r="E71" s="848" t="e">
        <f>E72+#REF!</f>
        <v>#REF!</v>
      </c>
      <c r="F71" s="848" t="e">
        <f>F72+#REF!</f>
        <v>#REF!</v>
      </c>
      <c r="G71" s="848" t="e">
        <f>G72+#REF!</f>
        <v>#REF!</v>
      </c>
      <c r="H71" s="1304"/>
      <c r="I71" s="1304" t="e">
        <f>I72+#REF!</f>
        <v>#REF!</v>
      </c>
      <c r="J71" s="849" t="e">
        <f>J72+#REF!</f>
        <v>#REF!</v>
      </c>
      <c r="K71" s="849" t="e">
        <f>K72+#REF!</f>
        <v>#REF!</v>
      </c>
      <c r="L71" s="1642" t="e">
        <f t="shared" si="0"/>
        <v>#REF!</v>
      </c>
      <c r="M71" s="845"/>
    </row>
    <row r="72" spans="1:14" s="850" customFormat="1" ht="15.95" hidden="1" customHeight="1" x14ac:dyDescent="0.2">
      <c r="A72" s="851"/>
      <c r="B72" s="972" t="s">
        <v>70</v>
      </c>
      <c r="C72" s="876">
        <f>SUM(C73:C73)</f>
        <v>0</v>
      </c>
      <c r="D72" s="852">
        <f t="shared" ref="D72:K72" si="6">SUM(D73:D73)</f>
        <v>0</v>
      </c>
      <c r="E72" s="852">
        <f t="shared" si="6"/>
        <v>0</v>
      </c>
      <c r="F72" s="852">
        <f t="shared" si="6"/>
        <v>0</v>
      </c>
      <c r="G72" s="852">
        <f t="shared" si="6"/>
        <v>0</v>
      </c>
      <c r="H72" s="1305"/>
      <c r="I72" s="1305">
        <f t="shared" si="6"/>
        <v>0</v>
      </c>
      <c r="J72" s="853">
        <f t="shared" si="6"/>
        <v>0</v>
      </c>
      <c r="K72" s="853">
        <f t="shared" si="6"/>
        <v>0</v>
      </c>
      <c r="L72" s="1643" t="str">
        <f t="shared" si="0"/>
        <v/>
      </c>
      <c r="M72" s="845"/>
    </row>
    <row r="73" spans="1:14" s="882" customFormat="1" ht="19.5" customHeight="1" thickBot="1" x14ac:dyDescent="0.25">
      <c r="A73" s="880"/>
      <c r="B73" s="1060" t="s">
        <v>259</v>
      </c>
      <c r="C73" s="1822"/>
      <c r="D73" s="1823"/>
      <c r="E73" s="1823"/>
      <c r="F73" s="1823"/>
      <c r="G73" s="1823"/>
      <c r="H73" s="1824"/>
      <c r="I73" s="1549"/>
      <c r="J73" s="1550"/>
      <c r="K73" s="1549"/>
      <c r="L73" s="1644" t="str">
        <f t="shared" ref="L73:L99" si="7">IF(F73=0,"",J73/F73*100)</f>
        <v/>
      </c>
      <c r="M73" s="881"/>
    </row>
    <row r="74" spans="1:14" s="879" customFormat="1" ht="31.5" customHeight="1" thickBot="1" x14ac:dyDescent="0.25">
      <c r="A74" s="883"/>
      <c r="B74" s="1061" t="s">
        <v>708</v>
      </c>
      <c r="C74" s="1062">
        <v>2285980</v>
      </c>
      <c r="D74" s="1062">
        <v>2285980</v>
      </c>
      <c r="E74" s="1062">
        <v>2285980</v>
      </c>
      <c r="F74" s="1062">
        <v>2285980</v>
      </c>
      <c r="G74" s="1062">
        <v>2285982</v>
      </c>
      <c r="H74" s="1062">
        <v>2285983</v>
      </c>
      <c r="I74" s="1551">
        <v>2285984</v>
      </c>
      <c r="J74" s="1062">
        <v>2285980</v>
      </c>
      <c r="K74" s="1555" t="e">
        <f>K71+#REF!</f>
        <v>#REF!</v>
      </c>
      <c r="L74" s="1645">
        <f t="shared" si="7"/>
        <v>100</v>
      </c>
      <c r="M74" s="878"/>
    </row>
    <row r="75" spans="1:14" s="879" customFormat="1" ht="19.5" customHeight="1" thickBot="1" x14ac:dyDescent="0.25">
      <c r="A75" s="883"/>
      <c r="B75" s="973" t="s">
        <v>780</v>
      </c>
      <c r="C75" s="1057">
        <f>C74</f>
        <v>2285980</v>
      </c>
      <c r="D75" s="1111">
        <f>D74</f>
        <v>2285980</v>
      </c>
      <c r="E75" s="1111">
        <f>E74</f>
        <v>2285980</v>
      </c>
      <c r="F75" s="1111">
        <f t="shared" ref="F75" si="8">F74</f>
        <v>2285980</v>
      </c>
      <c r="G75" s="1111">
        <f t="shared" ref="G75" si="9">G74</f>
        <v>2285982</v>
      </c>
      <c r="H75" s="1111">
        <f t="shared" ref="H75" si="10">H74</f>
        <v>2285983</v>
      </c>
      <c r="I75" s="1111">
        <f t="shared" ref="I75" si="11">I74</f>
        <v>2285984</v>
      </c>
      <c r="J75" s="1057">
        <f t="shared" ref="J75" si="12">J74</f>
        <v>2285980</v>
      </c>
      <c r="K75" s="1555" t="e">
        <f>K80+K83</f>
        <v>#REF!</v>
      </c>
      <c r="L75" s="1653">
        <f t="shared" si="7"/>
        <v>100</v>
      </c>
      <c r="M75" s="878"/>
    </row>
    <row r="76" spans="1:14" s="879" customFormat="1" ht="19.5" customHeight="1" thickBot="1" x14ac:dyDescent="0.25">
      <c r="A76" s="877"/>
      <c r="B76" s="1332"/>
      <c r="C76" s="1111"/>
      <c r="D76" s="1111"/>
      <c r="E76" s="1111"/>
      <c r="F76" s="1333"/>
      <c r="G76" s="1333"/>
      <c r="H76" s="1334"/>
      <c r="I76" s="878"/>
      <c r="J76" s="976"/>
      <c r="K76" s="878"/>
      <c r="L76" s="1646" t="str">
        <f t="shared" si="7"/>
        <v/>
      </c>
      <c r="M76" s="878"/>
    </row>
    <row r="77" spans="1:14" s="879" customFormat="1" ht="32.25" thickBot="1" x14ac:dyDescent="0.25">
      <c r="A77" s="877"/>
      <c r="B77" s="1335" t="s">
        <v>793</v>
      </c>
      <c r="C77" s="1062"/>
      <c r="D77" s="1062">
        <v>0</v>
      </c>
      <c r="E77" s="1062">
        <f>5817+520</f>
        <v>6337</v>
      </c>
      <c r="F77" s="1062">
        <f t="shared" ref="F77:I77" si="13">5817+520</f>
        <v>6337</v>
      </c>
      <c r="G77" s="1062">
        <f t="shared" si="13"/>
        <v>6337</v>
      </c>
      <c r="H77" s="1062">
        <f t="shared" si="13"/>
        <v>6337</v>
      </c>
      <c r="I77" s="1551">
        <f t="shared" si="13"/>
        <v>6337</v>
      </c>
      <c r="J77" s="1062">
        <v>0</v>
      </c>
      <c r="K77" s="878"/>
      <c r="L77" s="1645">
        <f t="shared" si="7"/>
        <v>0</v>
      </c>
      <c r="M77" s="878"/>
    </row>
    <row r="78" spans="1:14" s="879" customFormat="1" ht="19.5" customHeight="1" thickBot="1" x14ac:dyDescent="0.25">
      <c r="A78" s="877"/>
      <c r="B78" s="973" t="s">
        <v>781</v>
      </c>
      <c r="C78" s="1057">
        <f>C77</f>
        <v>0</v>
      </c>
      <c r="D78" s="1111">
        <f>D77</f>
        <v>0</v>
      </c>
      <c r="E78" s="1111">
        <f>E77</f>
        <v>6337</v>
      </c>
      <c r="F78" s="1111">
        <f t="shared" ref="F78" si="14">F77</f>
        <v>6337</v>
      </c>
      <c r="G78" s="1111">
        <f t="shared" ref="G78" si="15">G77</f>
        <v>6337</v>
      </c>
      <c r="H78" s="1111">
        <f t="shared" ref="H78" si="16">H77</f>
        <v>6337</v>
      </c>
      <c r="I78" s="1111">
        <f t="shared" ref="I78" si="17">I77</f>
        <v>6337</v>
      </c>
      <c r="J78" s="1057">
        <f t="shared" ref="J78" si="18">J77</f>
        <v>0</v>
      </c>
      <c r="K78" s="878"/>
      <c r="L78" s="1653">
        <f>IF(F78=0,"",J78/F78*100)</f>
        <v>0</v>
      </c>
      <c r="M78" s="878"/>
    </row>
    <row r="79" spans="1:14" s="879" customFormat="1" ht="9.75" customHeight="1" x14ac:dyDescent="0.2">
      <c r="A79" s="877"/>
      <c r="B79" s="977" t="s">
        <v>385</v>
      </c>
      <c r="C79" s="1058"/>
      <c r="D79" s="1074"/>
      <c r="E79" s="1074"/>
      <c r="F79" s="1074"/>
      <c r="G79" s="1074"/>
      <c r="H79" s="1563"/>
      <c r="I79" s="1564"/>
      <c r="J79" s="1565"/>
      <c r="K79" s="878"/>
      <c r="L79" s="1646" t="str">
        <f t="shared" si="7"/>
        <v/>
      </c>
      <c r="M79" s="878"/>
    </row>
    <row r="80" spans="1:14" s="879" customFormat="1" ht="31.5" customHeight="1" thickBot="1" x14ac:dyDescent="0.25">
      <c r="A80" s="877"/>
      <c r="B80" s="974" t="s">
        <v>763</v>
      </c>
      <c r="C80" s="1059">
        <v>1245500</v>
      </c>
      <c r="D80" s="1059">
        <f>1245500+7580</f>
        <v>1253080</v>
      </c>
      <c r="E80" s="1059">
        <f>1245500+7580</f>
        <v>1253080</v>
      </c>
      <c r="F80" s="1059">
        <f t="shared" ref="F80:I80" si="19">1245500+7580</f>
        <v>1253080</v>
      </c>
      <c r="G80" s="1059">
        <f t="shared" si="19"/>
        <v>1253080</v>
      </c>
      <c r="H80" s="1059">
        <f t="shared" si="19"/>
        <v>1253080</v>
      </c>
      <c r="I80" s="1552">
        <f t="shared" si="19"/>
        <v>1253080</v>
      </c>
      <c r="J80" s="1059">
        <v>631568</v>
      </c>
      <c r="K80" s="1556">
        <f t="shared" ref="K80" si="20">SUM(K81:K82)</f>
        <v>0</v>
      </c>
      <c r="L80" s="1647">
        <f t="shared" si="7"/>
        <v>50.401251316755513</v>
      </c>
      <c r="M80" s="878"/>
    </row>
    <row r="81" spans="1:13" s="879" customFormat="1" ht="19.5" customHeight="1" thickBot="1" x14ac:dyDescent="0.25">
      <c r="A81" s="877"/>
      <c r="B81" s="973" t="s">
        <v>709</v>
      </c>
      <c r="C81" s="1057">
        <f>C80</f>
        <v>1245500</v>
      </c>
      <c r="D81" s="1057">
        <f>D80</f>
        <v>1253080</v>
      </c>
      <c r="E81" s="1057">
        <f>E80</f>
        <v>1253080</v>
      </c>
      <c r="F81" s="1057">
        <f t="shared" ref="F81" si="21">F80</f>
        <v>1253080</v>
      </c>
      <c r="G81" s="1057">
        <f t="shared" ref="G81" si="22">G80</f>
        <v>1253080</v>
      </c>
      <c r="H81" s="1057">
        <f t="shared" ref="H81" si="23">H80</f>
        <v>1253080</v>
      </c>
      <c r="I81" s="1057">
        <f t="shared" ref="I81" si="24">I80</f>
        <v>1253080</v>
      </c>
      <c r="J81" s="1057">
        <f t="shared" ref="J81" si="25">J80</f>
        <v>631568</v>
      </c>
      <c r="K81" s="1553"/>
      <c r="L81" s="1653">
        <f t="shared" si="7"/>
        <v>50.401251316755513</v>
      </c>
      <c r="M81" s="878"/>
    </row>
    <row r="82" spans="1:13" s="879" customFormat="1" ht="9.75" customHeight="1" thickBot="1" x14ac:dyDescent="0.25">
      <c r="A82" s="884"/>
      <c r="B82" s="978"/>
      <c r="C82" s="976"/>
      <c r="D82" s="975"/>
      <c r="E82" s="976"/>
      <c r="F82" s="976"/>
      <c r="G82" s="976"/>
      <c r="H82" s="1110"/>
      <c r="I82" s="1553"/>
      <c r="J82" s="1554"/>
      <c r="K82" s="1553"/>
      <c r="L82" s="1645" t="str">
        <f t="shared" si="7"/>
        <v/>
      </c>
      <c r="M82" s="878"/>
    </row>
    <row r="83" spans="1:13" s="879" customFormat="1" ht="19.5" customHeight="1" thickBot="1" x14ac:dyDescent="0.25">
      <c r="A83" s="877"/>
      <c r="B83" s="973" t="s">
        <v>266</v>
      </c>
      <c r="C83" s="1057">
        <f>+C81+C75</f>
        <v>3531480</v>
      </c>
      <c r="D83" s="740">
        <f>+D81+D75</f>
        <v>3539060</v>
      </c>
      <c r="E83" s="740">
        <f>+E81+E75+E78</f>
        <v>3545397</v>
      </c>
      <c r="F83" s="740">
        <f t="shared" ref="F83" si="26">+F81+F75+F78</f>
        <v>3545397</v>
      </c>
      <c r="G83" s="740">
        <f t="shared" ref="G83:J83" si="27">+G81+G75+G78</f>
        <v>3545399</v>
      </c>
      <c r="H83" s="740">
        <f t="shared" si="27"/>
        <v>3545400</v>
      </c>
      <c r="I83" s="740">
        <f t="shared" si="27"/>
        <v>3545401</v>
      </c>
      <c r="J83" s="740">
        <f t="shared" si="27"/>
        <v>2917548</v>
      </c>
      <c r="K83" s="1557" t="e">
        <f>SUM(#REF!)</f>
        <v>#REF!</v>
      </c>
      <c r="L83" s="1654">
        <f t="shared" si="7"/>
        <v>82.291151033297538</v>
      </c>
      <c r="M83" s="878"/>
    </row>
    <row r="84" spans="1:13" s="723" customFormat="1" ht="15.95" hidden="1" customHeight="1" thickBot="1" x14ac:dyDescent="0.25">
      <c r="A84" s="799"/>
      <c r="B84" s="785" t="s">
        <v>71</v>
      </c>
      <c r="C84" s="741">
        <f>C85+C88+C91</f>
        <v>0</v>
      </c>
      <c r="D84" s="740">
        <f>D85+D88+D91</f>
        <v>0</v>
      </c>
      <c r="E84" s="740">
        <f>E85+E88+E91</f>
        <v>0</v>
      </c>
      <c r="F84" s="740">
        <f t="shared" ref="F84" si="28">F85+F88+F91</f>
        <v>0</v>
      </c>
      <c r="G84" s="740">
        <f t="shared" ref="G84" si="29">G85+G88+G91</f>
        <v>0</v>
      </c>
      <c r="H84" s="740">
        <f t="shared" ref="H84" si="30">H85+H88+H91</f>
        <v>0</v>
      </c>
      <c r="I84" s="740">
        <f t="shared" ref="I84" si="31">I85+I88+I91</f>
        <v>0</v>
      </c>
      <c r="J84" s="740">
        <f t="shared" ref="J84" si="32">J85+J88+J91</f>
        <v>0</v>
      </c>
      <c r="K84" s="1119">
        <f t="shared" ref="K84" si="33">K85+K88</f>
        <v>0</v>
      </c>
      <c r="L84" s="1648" t="str">
        <f t="shared" si="7"/>
        <v/>
      </c>
    </row>
    <row r="85" spans="1:13" s="723" customFormat="1" ht="15.95" hidden="1" customHeight="1" thickBot="1" x14ac:dyDescent="0.25">
      <c r="A85" s="800"/>
      <c r="B85" s="1064" t="s">
        <v>70</v>
      </c>
      <c r="C85" s="1065">
        <f>SUM(C86:C87)</f>
        <v>0</v>
      </c>
      <c r="D85" s="1066">
        <f>SUM(D86:D87)</f>
        <v>0</v>
      </c>
      <c r="E85" s="1066">
        <f>SUM(E86:E87)</f>
        <v>0</v>
      </c>
      <c r="F85" s="1066">
        <f t="shared" ref="F85" si="34">SUM(F86:F87)</f>
        <v>0</v>
      </c>
      <c r="G85" s="1066">
        <f t="shared" ref="G85" si="35">SUM(G86:G87)</f>
        <v>0</v>
      </c>
      <c r="H85" s="1066">
        <f t="shared" ref="H85" si="36">SUM(H86:H87)</f>
        <v>0</v>
      </c>
      <c r="I85" s="1066">
        <f t="shared" ref="I85" si="37">SUM(I86:I87)</f>
        <v>0</v>
      </c>
      <c r="J85" s="1066">
        <f t="shared" ref="J85" si="38">SUM(J86:J87)</f>
        <v>0</v>
      </c>
      <c r="K85" s="1558">
        <f t="shared" ref="K85" si="39">SUM(K86:K87)</f>
        <v>0</v>
      </c>
      <c r="L85" s="1649" t="str">
        <f t="shared" si="7"/>
        <v/>
      </c>
    </row>
    <row r="86" spans="1:13" s="723" customFormat="1" ht="15.95" hidden="1" customHeight="1" thickBot="1" x14ac:dyDescent="0.25">
      <c r="A86" s="800"/>
      <c r="B86" s="1067"/>
      <c r="C86" s="1068"/>
      <c r="D86" s="1069"/>
      <c r="E86" s="1069"/>
      <c r="F86" s="1069"/>
      <c r="G86" s="1069"/>
      <c r="H86" s="1069"/>
      <c r="I86" s="1069"/>
      <c r="J86" s="1069"/>
      <c r="K86" s="1559"/>
      <c r="L86" s="1650" t="str">
        <f t="shared" si="7"/>
        <v/>
      </c>
    </row>
    <row r="87" spans="1:13" s="723" customFormat="1" ht="15.95" hidden="1" customHeight="1" thickBot="1" x14ac:dyDescent="0.25">
      <c r="A87" s="800"/>
      <c r="B87" s="1070"/>
      <c r="C87" s="1068"/>
      <c r="D87" s="1069"/>
      <c r="E87" s="1069"/>
      <c r="F87" s="1069"/>
      <c r="G87" s="1069"/>
      <c r="H87" s="1069"/>
      <c r="I87" s="1069"/>
      <c r="J87" s="1069"/>
      <c r="K87" s="1559"/>
      <c r="L87" s="1650" t="str">
        <f t="shared" si="7"/>
        <v/>
      </c>
    </row>
    <row r="88" spans="1:13" s="723" customFormat="1" ht="15.95" hidden="1" customHeight="1" thickBot="1" x14ac:dyDescent="0.25">
      <c r="A88" s="800"/>
      <c r="B88" s="1064" t="s">
        <v>53</v>
      </c>
      <c r="C88" s="1065">
        <f>SUM(C89:C90)</f>
        <v>0</v>
      </c>
      <c r="D88" s="1066">
        <f>SUM(D89:D90)</f>
        <v>0</v>
      </c>
      <c r="E88" s="1066">
        <f>SUM(E89:E90)</f>
        <v>0</v>
      </c>
      <c r="F88" s="1066">
        <f t="shared" ref="F88" si="40">SUM(F89:F90)</f>
        <v>0</v>
      </c>
      <c r="G88" s="1066">
        <f t="shared" ref="G88" si="41">SUM(G89:G90)</f>
        <v>0</v>
      </c>
      <c r="H88" s="1066">
        <f t="shared" ref="H88" si="42">SUM(H89:H90)</f>
        <v>0</v>
      </c>
      <c r="I88" s="1066">
        <f t="shared" ref="I88" si="43">SUM(I89:I90)</f>
        <v>0</v>
      </c>
      <c r="J88" s="1066">
        <f t="shared" ref="J88" si="44">SUM(J89:J90)</f>
        <v>0</v>
      </c>
      <c r="K88" s="1560">
        <f t="shared" ref="K88" si="45">SUM(K89:K91)</f>
        <v>0</v>
      </c>
      <c r="L88" s="1651" t="str">
        <f t="shared" si="7"/>
        <v/>
      </c>
    </row>
    <row r="89" spans="1:13" s="723" customFormat="1" ht="15.95" hidden="1" customHeight="1" thickBot="1" x14ac:dyDescent="0.25">
      <c r="A89" s="800"/>
      <c r="B89" s="1064"/>
      <c r="C89" s="1068"/>
      <c r="D89" s="1069"/>
      <c r="E89" s="1069"/>
      <c r="F89" s="1069"/>
      <c r="G89" s="1069"/>
      <c r="H89" s="1069"/>
      <c r="I89" s="1069"/>
      <c r="J89" s="1069"/>
      <c r="K89" s="1559"/>
      <c r="L89" s="1650" t="str">
        <f t="shared" si="7"/>
        <v/>
      </c>
    </row>
    <row r="90" spans="1:13" s="723" customFormat="1" ht="15.95" hidden="1" customHeight="1" thickBot="1" x14ac:dyDescent="0.25">
      <c r="A90" s="800"/>
      <c r="B90" s="1064"/>
      <c r="C90" s="1068"/>
      <c r="D90" s="1069"/>
      <c r="E90" s="1069"/>
      <c r="F90" s="1069"/>
      <c r="G90" s="1069"/>
      <c r="H90" s="1069"/>
      <c r="I90" s="1069"/>
      <c r="J90" s="1069"/>
      <c r="K90" s="1559"/>
      <c r="L90" s="1650" t="str">
        <f t="shared" si="7"/>
        <v/>
      </c>
    </row>
    <row r="91" spans="1:13" s="723" customFormat="1" ht="15.95" hidden="1" customHeight="1" thickBot="1" x14ac:dyDescent="0.25">
      <c r="A91" s="800"/>
      <c r="B91" s="1064" t="s">
        <v>690</v>
      </c>
      <c r="C91" s="1071"/>
      <c r="D91" s="1072"/>
      <c r="E91" s="1072"/>
      <c r="F91" s="1072"/>
      <c r="G91" s="1072"/>
      <c r="H91" s="1072"/>
      <c r="I91" s="1072"/>
      <c r="J91" s="1072"/>
      <c r="K91" s="1561"/>
      <c r="L91" s="1638" t="str">
        <f t="shared" si="7"/>
        <v/>
      </c>
    </row>
    <row r="92" spans="1:13" s="723" customFormat="1" ht="15.95" hidden="1" customHeight="1" thickBot="1" x14ac:dyDescent="0.25">
      <c r="A92" s="799"/>
      <c r="B92" s="784" t="s">
        <v>72</v>
      </c>
      <c r="C92" s="741">
        <f>C95+C93</f>
        <v>0</v>
      </c>
      <c r="D92" s="740">
        <f>D95+D93</f>
        <v>0</v>
      </c>
      <c r="E92" s="740">
        <f>E95+E93</f>
        <v>0</v>
      </c>
      <c r="F92" s="740">
        <f t="shared" ref="F92" si="46">F95+F93</f>
        <v>0</v>
      </c>
      <c r="G92" s="740">
        <f t="shared" ref="G92" si="47">G95+G93</f>
        <v>0</v>
      </c>
      <c r="H92" s="740">
        <f t="shared" ref="H92" si="48">H95+H93</f>
        <v>0</v>
      </c>
      <c r="I92" s="740">
        <f t="shared" ref="I92" si="49">I95+I93</f>
        <v>0</v>
      </c>
      <c r="J92" s="740">
        <f t="shared" ref="J92" si="50">J95+J93</f>
        <v>0</v>
      </c>
      <c r="K92" s="1119">
        <f t="shared" ref="K92" si="51">K95+K93</f>
        <v>0</v>
      </c>
      <c r="L92" s="1648" t="str">
        <f t="shared" si="7"/>
        <v/>
      </c>
    </row>
    <row r="93" spans="1:13" s="723" customFormat="1" ht="15.95" hidden="1" customHeight="1" thickBot="1" x14ac:dyDescent="0.25">
      <c r="A93" s="801"/>
      <c r="B93" s="1073" t="s">
        <v>74</v>
      </c>
      <c r="C93" s="1065">
        <f>SUM(C94)</f>
        <v>0</v>
      </c>
      <c r="D93" s="1066">
        <f>SUM(D94)</f>
        <v>0</v>
      </c>
      <c r="E93" s="1066">
        <f>SUM(E94)</f>
        <v>0</v>
      </c>
      <c r="F93" s="1066">
        <f t="shared" ref="F93" si="52">SUM(F94)</f>
        <v>0</v>
      </c>
      <c r="G93" s="1066">
        <f t="shared" ref="G93" si="53">SUM(G94)</f>
        <v>0</v>
      </c>
      <c r="H93" s="1066">
        <f t="shared" ref="H93" si="54">SUM(H94)</f>
        <v>0</v>
      </c>
      <c r="I93" s="1066">
        <f t="shared" ref="I93" si="55">SUM(I94)</f>
        <v>0</v>
      </c>
      <c r="J93" s="1066">
        <f t="shared" ref="J93" si="56">SUM(J94)</f>
        <v>0</v>
      </c>
      <c r="K93" s="1558">
        <f t="shared" ref="K93" si="57">SUM(K94)</f>
        <v>0</v>
      </c>
      <c r="L93" s="1649" t="str">
        <f t="shared" si="7"/>
        <v/>
      </c>
    </row>
    <row r="94" spans="1:13" s="723" customFormat="1" ht="15.95" hidden="1" customHeight="1" thickBot="1" x14ac:dyDescent="0.25">
      <c r="A94" s="801"/>
      <c r="B94" s="1067"/>
      <c r="C94" s="1068"/>
      <c r="D94" s="1069"/>
      <c r="E94" s="1069"/>
      <c r="F94" s="1069"/>
      <c r="G94" s="1069"/>
      <c r="H94" s="1069"/>
      <c r="I94" s="1069"/>
      <c r="J94" s="1069"/>
      <c r="K94" s="1562"/>
      <c r="L94" s="1652" t="str">
        <f t="shared" si="7"/>
        <v/>
      </c>
    </row>
    <row r="95" spans="1:13" s="723" customFormat="1" ht="15.95" hidden="1" customHeight="1" thickBot="1" x14ac:dyDescent="0.25">
      <c r="A95" s="800"/>
      <c r="B95" s="1073" t="s">
        <v>52</v>
      </c>
      <c r="C95" s="1065">
        <f>SUM(C96:C96)</f>
        <v>0</v>
      </c>
      <c r="D95" s="1066">
        <f>SUM(D96:D96)</f>
        <v>0</v>
      </c>
      <c r="E95" s="1066">
        <f>SUM(E96:E96)</f>
        <v>0</v>
      </c>
      <c r="F95" s="1066">
        <f t="shared" ref="F95" si="58">SUM(F96:F96)</f>
        <v>0</v>
      </c>
      <c r="G95" s="1066">
        <f t="shared" ref="G95" si="59">SUM(G96:G96)</f>
        <v>0</v>
      </c>
      <c r="H95" s="1066">
        <f t="shared" ref="H95" si="60">SUM(H96:H96)</f>
        <v>0</v>
      </c>
      <c r="I95" s="1066">
        <f t="shared" ref="I95" si="61">SUM(I96:I96)</f>
        <v>0</v>
      </c>
      <c r="J95" s="1066">
        <f t="shared" ref="J95" si="62">SUM(J96:J96)</f>
        <v>0</v>
      </c>
      <c r="K95" s="1558">
        <f t="shared" ref="K95" si="63">SUM(K96:K96)</f>
        <v>0</v>
      </c>
      <c r="L95" s="1649" t="str">
        <f t="shared" si="7"/>
        <v/>
      </c>
    </row>
    <row r="96" spans="1:13" s="723" customFormat="1" ht="15.95" hidden="1" customHeight="1" thickBot="1" x14ac:dyDescent="0.25">
      <c r="A96" s="800"/>
      <c r="B96" s="1070"/>
      <c r="C96" s="1068"/>
      <c r="D96" s="1069"/>
      <c r="E96" s="1069"/>
      <c r="F96" s="1069"/>
      <c r="G96" s="1069"/>
      <c r="H96" s="1069"/>
      <c r="I96" s="1069"/>
      <c r="J96" s="1069"/>
      <c r="K96" s="1562"/>
      <c r="L96" s="1652" t="str">
        <f t="shared" si="7"/>
        <v/>
      </c>
    </row>
    <row r="97" spans="1:12" s="723" customFormat="1" ht="15.95" hidden="1" customHeight="1" thickBot="1" x14ac:dyDescent="0.25">
      <c r="A97" s="799"/>
      <c r="B97" s="784" t="s">
        <v>111</v>
      </c>
      <c r="C97" s="741">
        <f>C84+C92</f>
        <v>0</v>
      </c>
      <c r="D97" s="740">
        <f>D84+D92</f>
        <v>0</v>
      </c>
      <c r="E97" s="740">
        <f>E84+E92</f>
        <v>0</v>
      </c>
      <c r="F97" s="740">
        <f t="shared" ref="F97" si="64">F84+F92</f>
        <v>0</v>
      </c>
      <c r="G97" s="740">
        <f t="shared" ref="G97:J97" si="65">G84+G92</f>
        <v>0</v>
      </c>
      <c r="H97" s="740">
        <f t="shared" si="65"/>
        <v>0</v>
      </c>
      <c r="I97" s="740">
        <f t="shared" si="65"/>
        <v>0</v>
      </c>
      <c r="J97" s="740">
        <f t="shared" si="65"/>
        <v>0</v>
      </c>
      <c r="K97" s="1119">
        <f t="shared" ref="K97" si="66">K84+K92</f>
        <v>0</v>
      </c>
      <c r="L97" s="1648" t="str">
        <f t="shared" si="7"/>
        <v/>
      </c>
    </row>
    <row r="98" spans="1:12" s="723" customFormat="1" ht="15.95" hidden="1" customHeight="1" thickBot="1" x14ac:dyDescent="0.25">
      <c r="A98" s="799"/>
      <c r="B98" s="784"/>
      <c r="C98" s="741"/>
      <c r="D98" s="740"/>
      <c r="E98" s="740"/>
      <c r="F98" s="740"/>
      <c r="G98" s="740"/>
      <c r="H98" s="740"/>
      <c r="I98" s="740"/>
      <c r="J98" s="740"/>
      <c r="K98" s="1119"/>
      <c r="L98" s="1648" t="str">
        <f t="shared" si="7"/>
        <v/>
      </c>
    </row>
    <row r="99" spans="1:12" s="723" customFormat="1" ht="20.100000000000001" customHeight="1" thickBot="1" x14ac:dyDescent="0.25">
      <c r="A99" s="799"/>
      <c r="B99" s="784" t="s">
        <v>267</v>
      </c>
      <c r="C99" s="741">
        <f>C68+C83</f>
        <v>1626696378</v>
      </c>
      <c r="D99" s="740">
        <f>D68+D83</f>
        <v>1922848250</v>
      </c>
      <c r="E99" s="740">
        <f>E68+E83</f>
        <v>2263309437</v>
      </c>
      <c r="F99" s="740">
        <f t="shared" ref="F99" si="67">F68+F83</f>
        <v>2263309437</v>
      </c>
      <c r="G99" s="740">
        <f t="shared" ref="G99:J99" si="68">G68+G83</f>
        <v>3545399</v>
      </c>
      <c r="H99" s="740">
        <f t="shared" si="68"/>
        <v>344000250</v>
      </c>
      <c r="I99" s="740">
        <f t="shared" si="68"/>
        <v>33545401</v>
      </c>
      <c r="J99" s="740">
        <f t="shared" si="68"/>
        <v>353896686</v>
      </c>
      <c r="K99" s="1119" t="e">
        <f>K68+#REF!</f>
        <v>#REF!</v>
      </c>
      <c r="L99" s="1648">
        <f t="shared" si="7"/>
        <v>15.636248416349444</v>
      </c>
    </row>
    <row r="100" spans="1:12" x14ac:dyDescent="0.2">
      <c r="H100" s="984"/>
    </row>
    <row r="102" spans="1:12" x14ac:dyDescent="0.2">
      <c r="C102" s="802"/>
    </row>
  </sheetData>
  <mergeCells count="2347">
    <mergeCell ref="C73:H73"/>
    <mergeCell ref="XEF2:XEL2"/>
    <mergeCell ref="XEM2:XES2"/>
    <mergeCell ref="XET2:XEZ2"/>
    <mergeCell ref="XFA2:XFD2"/>
    <mergeCell ref="A2:H2"/>
    <mergeCell ref="XCW2:XDC2"/>
    <mergeCell ref="XDD2:XDJ2"/>
    <mergeCell ref="XDK2:XDQ2"/>
    <mergeCell ref="XDR2:XDX2"/>
    <mergeCell ref="XDY2:XEE2"/>
    <mergeCell ref="XBN2:XBT2"/>
    <mergeCell ref="XBU2:XCA2"/>
    <mergeCell ref="XCB2:XCH2"/>
    <mergeCell ref="XCI2:XCO2"/>
    <mergeCell ref="XCP2:XCV2"/>
    <mergeCell ref="XAE2:XAK2"/>
    <mergeCell ref="XAL2:XAR2"/>
    <mergeCell ref="XAS2:XAY2"/>
    <mergeCell ref="XAZ2:XBF2"/>
    <mergeCell ref="XBG2:XBM2"/>
    <mergeCell ref="WYV2:WZB2"/>
    <mergeCell ref="WZC2:WZI2"/>
    <mergeCell ref="WZJ2:WZP2"/>
    <mergeCell ref="WZQ2:WZW2"/>
    <mergeCell ref="WZX2:XAD2"/>
    <mergeCell ref="WXM2:WXS2"/>
    <mergeCell ref="WXT2:WXZ2"/>
    <mergeCell ref="WYA2:WYG2"/>
    <mergeCell ref="WYH2:WYN2"/>
    <mergeCell ref="WYO2:WYU2"/>
    <mergeCell ref="WWD2:WWJ2"/>
    <mergeCell ref="WWK2:WWQ2"/>
    <mergeCell ref="WWR2:WWX2"/>
    <mergeCell ref="WWY2:WXE2"/>
    <mergeCell ref="WXF2:WXL2"/>
    <mergeCell ref="WUU2:WVA2"/>
    <mergeCell ref="WVB2:WVH2"/>
    <mergeCell ref="WVI2:WVO2"/>
    <mergeCell ref="WVP2:WVV2"/>
    <mergeCell ref="WVW2:WWC2"/>
    <mergeCell ref="WTL2:WTR2"/>
    <mergeCell ref="WTS2:WTY2"/>
    <mergeCell ref="WTZ2:WUF2"/>
    <mergeCell ref="WUG2:WUM2"/>
    <mergeCell ref="WUN2:WUT2"/>
    <mergeCell ref="WSC2:WSI2"/>
    <mergeCell ref="WSJ2:WSP2"/>
    <mergeCell ref="WSQ2:WSW2"/>
    <mergeCell ref="WSX2:WTD2"/>
    <mergeCell ref="WTE2:WTK2"/>
    <mergeCell ref="WQT2:WQZ2"/>
    <mergeCell ref="WRA2:WRG2"/>
    <mergeCell ref="WRH2:WRN2"/>
    <mergeCell ref="WRO2:WRU2"/>
    <mergeCell ref="WRV2:WSB2"/>
    <mergeCell ref="WPK2:WPQ2"/>
    <mergeCell ref="WPR2:WPX2"/>
    <mergeCell ref="WPY2:WQE2"/>
    <mergeCell ref="WQF2:WQL2"/>
    <mergeCell ref="WQM2:WQS2"/>
    <mergeCell ref="WOB2:WOH2"/>
    <mergeCell ref="WOI2:WOO2"/>
    <mergeCell ref="WOP2:WOV2"/>
    <mergeCell ref="WOW2:WPC2"/>
    <mergeCell ref="WPD2:WPJ2"/>
    <mergeCell ref="WMS2:WMY2"/>
    <mergeCell ref="WMZ2:WNF2"/>
    <mergeCell ref="WNG2:WNM2"/>
    <mergeCell ref="WNN2:WNT2"/>
    <mergeCell ref="WNU2:WOA2"/>
    <mergeCell ref="WLJ2:WLP2"/>
    <mergeCell ref="WLQ2:WLW2"/>
    <mergeCell ref="WLX2:WMD2"/>
    <mergeCell ref="WME2:WMK2"/>
    <mergeCell ref="WML2:WMR2"/>
    <mergeCell ref="WKA2:WKG2"/>
    <mergeCell ref="WKH2:WKN2"/>
    <mergeCell ref="WKO2:WKU2"/>
    <mergeCell ref="WKV2:WLB2"/>
    <mergeCell ref="WLC2:WLI2"/>
    <mergeCell ref="WIR2:WIX2"/>
    <mergeCell ref="WIY2:WJE2"/>
    <mergeCell ref="WJF2:WJL2"/>
    <mergeCell ref="WJM2:WJS2"/>
    <mergeCell ref="WJT2:WJZ2"/>
    <mergeCell ref="WHI2:WHO2"/>
    <mergeCell ref="WHP2:WHV2"/>
    <mergeCell ref="WHW2:WIC2"/>
    <mergeCell ref="WID2:WIJ2"/>
    <mergeCell ref="WIK2:WIQ2"/>
    <mergeCell ref="WFZ2:WGF2"/>
    <mergeCell ref="WGG2:WGM2"/>
    <mergeCell ref="WGN2:WGT2"/>
    <mergeCell ref="WGU2:WHA2"/>
    <mergeCell ref="WHB2:WHH2"/>
    <mergeCell ref="WEQ2:WEW2"/>
    <mergeCell ref="WEX2:WFD2"/>
    <mergeCell ref="WFE2:WFK2"/>
    <mergeCell ref="WFL2:WFR2"/>
    <mergeCell ref="WFS2:WFY2"/>
    <mergeCell ref="WDH2:WDN2"/>
    <mergeCell ref="WDO2:WDU2"/>
    <mergeCell ref="WDV2:WEB2"/>
    <mergeCell ref="WEC2:WEI2"/>
    <mergeCell ref="WEJ2:WEP2"/>
    <mergeCell ref="WBY2:WCE2"/>
    <mergeCell ref="WCF2:WCL2"/>
    <mergeCell ref="WCM2:WCS2"/>
    <mergeCell ref="WCT2:WCZ2"/>
    <mergeCell ref="WDA2:WDG2"/>
    <mergeCell ref="WAP2:WAV2"/>
    <mergeCell ref="WAW2:WBC2"/>
    <mergeCell ref="WBD2:WBJ2"/>
    <mergeCell ref="WBK2:WBQ2"/>
    <mergeCell ref="WBR2:WBX2"/>
    <mergeCell ref="VZG2:VZM2"/>
    <mergeCell ref="VZN2:VZT2"/>
    <mergeCell ref="VZU2:WAA2"/>
    <mergeCell ref="WAB2:WAH2"/>
    <mergeCell ref="WAI2:WAO2"/>
    <mergeCell ref="VXX2:VYD2"/>
    <mergeCell ref="VYE2:VYK2"/>
    <mergeCell ref="VYL2:VYR2"/>
    <mergeCell ref="VYS2:VYY2"/>
    <mergeCell ref="VYZ2:VZF2"/>
    <mergeCell ref="VWO2:VWU2"/>
    <mergeCell ref="VWV2:VXB2"/>
    <mergeCell ref="VXC2:VXI2"/>
    <mergeCell ref="VXJ2:VXP2"/>
    <mergeCell ref="VXQ2:VXW2"/>
    <mergeCell ref="VVF2:VVL2"/>
    <mergeCell ref="VVM2:VVS2"/>
    <mergeCell ref="VVT2:VVZ2"/>
    <mergeCell ref="VWA2:VWG2"/>
    <mergeCell ref="VWH2:VWN2"/>
    <mergeCell ref="VTW2:VUC2"/>
    <mergeCell ref="VUD2:VUJ2"/>
    <mergeCell ref="VUK2:VUQ2"/>
    <mergeCell ref="VUR2:VUX2"/>
    <mergeCell ref="VUY2:VVE2"/>
    <mergeCell ref="VSN2:VST2"/>
    <mergeCell ref="VSU2:VTA2"/>
    <mergeCell ref="VTB2:VTH2"/>
    <mergeCell ref="VTI2:VTO2"/>
    <mergeCell ref="VTP2:VTV2"/>
    <mergeCell ref="VRE2:VRK2"/>
    <mergeCell ref="VRL2:VRR2"/>
    <mergeCell ref="VRS2:VRY2"/>
    <mergeCell ref="VRZ2:VSF2"/>
    <mergeCell ref="VSG2:VSM2"/>
    <mergeCell ref="VPV2:VQB2"/>
    <mergeCell ref="VQC2:VQI2"/>
    <mergeCell ref="VQJ2:VQP2"/>
    <mergeCell ref="VQQ2:VQW2"/>
    <mergeCell ref="VQX2:VRD2"/>
    <mergeCell ref="VOM2:VOS2"/>
    <mergeCell ref="VOT2:VOZ2"/>
    <mergeCell ref="VPA2:VPG2"/>
    <mergeCell ref="VPH2:VPN2"/>
    <mergeCell ref="VPO2:VPU2"/>
    <mergeCell ref="VND2:VNJ2"/>
    <mergeCell ref="VNK2:VNQ2"/>
    <mergeCell ref="VNR2:VNX2"/>
    <mergeCell ref="VNY2:VOE2"/>
    <mergeCell ref="VOF2:VOL2"/>
    <mergeCell ref="VLU2:VMA2"/>
    <mergeCell ref="VMB2:VMH2"/>
    <mergeCell ref="VMI2:VMO2"/>
    <mergeCell ref="VMP2:VMV2"/>
    <mergeCell ref="VMW2:VNC2"/>
    <mergeCell ref="VKL2:VKR2"/>
    <mergeCell ref="VKS2:VKY2"/>
    <mergeCell ref="VKZ2:VLF2"/>
    <mergeCell ref="VLG2:VLM2"/>
    <mergeCell ref="VLN2:VLT2"/>
    <mergeCell ref="VJC2:VJI2"/>
    <mergeCell ref="VJJ2:VJP2"/>
    <mergeCell ref="VJQ2:VJW2"/>
    <mergeCell ref="VJX2:VKD2"/>
    <mergeCell ref="VKE2:VKK2"/>
    <mergeCell ref="VHT2:VHZ2"/>
    <mergeCell ref="VIA2:VIG2"/>
    <mergeCell ref="VIH2:VIN2"/>
    <mergeCell ref="VIO2:VIU2"/>
    <mergeCell ref="VIV2:VJB2"/>
    <mergeCell ref="VGK2:VGQ2"/>
    <mergeCell ref="VGR2:VGX2"/>
    <mergeCell ref="VGY2:VHE2"/>
    <mergeCell ref="VHF2:VHL2"/>
    <mergeCell ref="VHM2:VHS2"/>
    <mergeCell ref="VFB2:VFH2"/>
    <mergeCell ref="VFI2:VFO2"/>
    <mergeCell ref="VFP2:VFV2"/>
    <mergeCell ref="VFW2:VGC2"/>
    <mergeCell ref="VGD2:VGJ2"/>
    <mergeCell ref="VDS2:VDY2"/>
    <mergeCell ref="VDZ2:VEF2"/>
    <mergeCell ref="VEG2:VEM2"/>
    <mergeCell ref="VEN2:VET2"/>
    <mergeCell ref="VEU2:VFA2"/>
    <mergeCell ref="VCJ2:VCP2"/>
    <mergeCell ref="VCQ2:VCW2"/>
    <mergeCell ref="VCX2:VDD2"/>
    <mergeCell ref="VDE2:VDK2"/>
    <mergeCell ref="VDL2:VDR2"/>
    <mergeCell ref="VBA2:VBG2"/>
    <mergeCell ref="VBH2:VBN2"/>
    <mergeCell ref="VBO2:VBU2"/>
    <mergeCell ref="VBV2:VCB2"/>
    <mergeCell ref="VCC2:VCI2"/>
    <mergeCell ref="UZR2:UZX2"/>
    <mergeCell ref="UZY2:VAE2"/>
    <mergeCell ref="VAF2:VAL2"/>
    <mergeCell ref="VAM2:VAS2"/>
    <mergeCell ref="VAT2:VAZ2"/>
    <mergeCell ref="UYI2:UYO2"/>
    <mergeCell ref="UYP2:UYV2"/>
    <mergeCell ref="UYW2:UZC2"/>
    <mergeCell ref="UZD2:UZJ2"/>
    <mergeCell ref="UZK2:UZQ2"/>
    <mergeCell ref="UWZ2:UXF2"/>
    <mergeCell ref="UXG2:UXM2"/>
    <mergeCell ref="UXN2:UXT2"/>
    <mergeCell ref="UXU2:UYA2"/>
    <mergeCell ref="UYB2:UYH2"/>
    <mergeCell ref="UVQ2:UVW2"/>
    <mergeCell ref="UVX2:UWD2"/>
    <mergeCell ref="UWE2:UWK2"/>
    <mergeCell ref="UWL2:UWR2"/>
    <mergeCell ref="UWS2:UWY2"/>
    <mergeCell ref="UUH2:UUN2"/>
    <mergeCell ref="UUO2:UUU2"/>
    <mergeCell ref="UUV2:UVB2"/>
    <mergeCell ref="UVC2:UVI2"/>
    <mergeCell ref="UVJ2:UVP2"/>
    <mergeCell ref="USY2:UTE2"/>
    <mergeCell ref="UTF2:UTL2"/>
    <mergeCell ref="UTM2:UTS2"/>
    <mergeCell ref="UTT2:UTZ2"/>
    <mergeCell ref="UUA2:UUG2"/>
    <mergeCell ref="URP2:URV2"/>
    <mergeCell ref="URW2:USC2"/>
    <mergeCell ref="USD2:USJ2"/>
    <mergeCell ref="USK2:USQ2"/>
    <mergeCell ref="USR2:USX2"/>
    <mergeCell ref="UQG2:UQM2"/>
    <mergeCell ref="UQN2:UQT2"/>
    <mergeCell ref="UQU2:URA2"/>
    <mergeCell ref="URB2:URH2"/>
    <mergeCell ref="URI2:URO2"/>
    <mergeCell ref="UOX2:UPD2"/>
    <mergeCell ref="UPE2:UPK2"/>
    <mergeCell ref="UPL2:UPR2"/>
    <mergeCell ref="UPS2:UPY2"/>
    <mergeCell ref="UPZ2:UQF2"/>
    <mergeCell ref="UNO2:UNU2"/>
    <mergeCell ref="UNV2:UOB2"/>
    <mergeCell ref="UOC2:UOI2"/>
    <mergeCell ref="UOJ2:UOP2"/>
    <mergeCell ref="UOQ2:UOW2"/>
    <mergeCell ref="UMF2:UML2"/>
    <mergeCell ref="UMM2:UMS2"/>
    <mergeCell ref="UMT2:UMZ2"/>
    <mergeCell ref="UNA2:UNG2"/>
    <mergeCell ref="UNH2:UNN2"/>
    <mergeCell ref="UKW2:ULC2"/>
    <mergeCell ref="ULD2:ULJ2"/>
    <mergeCell ref="ULK2:ULQ2"/>
    <mergeCell ref="ULR2:ULX2"/>
    <mergeCell ref="ULY2:UME2"/>
    <mergeCell ref="UJN2:UJT2"/>
    <mergeCell ref="UJU2:UKA2"/>
    <mergeCell ref="UKB2:UKH2"/>
    <mergeCell ref="UKI2:UKO2"/>
    <mergeCell ref="UKP2:UKV2"/>
    <mergeCell ref="UIE2:UIK2"/>
    <mergeCell ref="UIL2:UIR2"/>
    <mergeCell ref="UIS2:UIY2"/>
    <mergeCell ref="UIZ2:UJF2"/>
    <mergeCell ref="UJG2:UJM2"/>
    <mergeCell ref="UGV2:UHB2"/>
    <mergeCell ref="UHC2:UHI2"/>
    <mergeCell ref="UHJ2:UHP2"/>
    <mergeCell ref="UHQ2:UHW2"/>
    <mergeCell ref="UHX2:UID2"/>
    <mergeCell ref="UFM2:UFS2"/>
    <mergeCell ref="UFT2:UFZ2"/>
    <mergeCell ref="UGA2:UGG2"/>
    <mergeCell ref="UGH2:UGN2"/>
    <mergeCell ref="UGO2:UGU2"/>
    <mergeCell ref="UED2:UEJ2"/>
    <mergeCell ref="UEK2:UEQ2"/>
    <mergeCell ref="UER2:UEX2"/>
    <mergeCell ref="UEY2:UFE2"/>
    <mergeCell ref="UFF2:UFL2"/>
    <mergeCell ref="UCU2:UDA2"/>
    <mergeCell ref="UDB2:UDH2"/>
    <mergeCell ref="UDI2:UDO2"/>
    <mergeCell ref="UDP2:UDV2"/>
    <mergeCell ref="UDW2:UEC2"/>
    <mergeCell ref="UBL2:UBR2"/>
    <mergeCell ref="UBS2:UBY2"/>
    <mergeCell ref="UBZ2:UCF2"/>
    <mergeCell ref="UCG2:UCM2"/>
    <mergeCell ref="UCN2:UCT2"/>
    <mergeCell ref="UAC2:UAI2"/>
    <mergeCell ref="UAJ2:UAP2"/>
    <mergeCell ref="UAQ2:UAW2"/>
    <mergeCell ref="UAX2:UBD2"/>
    <mergeCell ref="UBE2:UBK2"/>
    <mergeCell ref="TYT2:TYZ2"/>
    <mergeCell ref="TZA2:TZG2"/>
    <mergeCell ref="TZH2:TZN2"/>
    <mergeCell ref="TZO2:TZU2"/>
    <mergeCell ref="TZV2:UAB2"/>
    <mergeCell ref="TXK2:TXQ2"/>
    <mergeCell ref="TXR2:TXX2"/>
    <mergeCell ref="TXY2:TYE2"/>
    <mergeCell ref="TYF2:TYL2"/>
    <mergeCell ref="TYM2:TYS2"/>
    <mergeCell ref="TWB2:TWH2"/>
    <mergeCell ref="TWI2:TWO2"/>
    <mergeCell ref="TWP2:TWV2"/>
    <mergeCell ref="TWW2:TXC2"/>
    <mergeCell ref="TXD2:TXJ2"/>
    <mergeCell ref="TUS2:TUY2"/>
    <mergeCell ref="TUZ2:TVF2"/>
    <mergeCell ref="TVG2:TVM2"/>
    <mergeCell ref="TVN2:TVT2"/>
    <mergeCell ref="TVU2:TWA2"/>
    <mergeCell ref="TTJ2:TTP2"/>
    <mergeCell ref="TTQ2:TTW2"/>
    <mergeCell ref="TTX2:TUD2"/>
    <mergeCell ref="TUE2:TUK2"/>
    <mergeCell ref="TUL2:TUR2"/>
    <mergeCell ref="TSA2:TSG2"/>
    <mergeCell ref="TSH2:TSN2"/>
    <mergeCell ref="TSO2:TSU2"/>
    <mergeCell ref="TSV2:TTB2"/>
    <mergeCell ref="TTC2:TTI2"/>
    <mergeCell ref="TQR2:TQX2"/>
    <mergeCell ref="TQY2:TRE2"/>
    <mergeCell ref="TRF2:TRL2"/>
    <mergeCell ref="TRM2:TRS2"/>
    <mergeCell ref="TRT2:TRZ2"/>
    <mergeCell ref="TPI2:TPO2"/>
    <mergeCell ref="TPP2:TPV2"/>
    <mergeCell ref="TPW2:TQC2"/>
    <mergeCell ref="TQD2:TQJ2"/>
    <mergeCell ref="TQK2:TQQ2"/>
    <mergeCell ref="TNZ2:TOF2"/>
    <mergeCell ref="TOG2:TOM2"/>
    <mergeCell ref="TON2:TOT2"/>
    <mergeCell ref="TOU2:TPA2"/>
    <mergeCell ref="TPB2:TPH2"/>
    <mergeCell ref="TMQ2:TMW2"/>
    <mergeCell ref="TMX2:TND2"/>
    <mergeCell ref="TNE2:TNK2"/>
    <mergeCell ref="TNL2:TNR2"/>
    <mergeCell ref="TNS2:TNY2"/>
    <mergeCell ref="TLH2:TLN2"/>
    <mergeCell ref="TLO2:TLU2"/>
    <mergeCell ref="TLV2:TMB2"/>
    <mergeCell ref="TMC2:TMI2"/>
    <mergeCell ref="TMJ2:TMP2"/>
    <mergeCell ref="TJY2:TKE2"/>
    <mergeCell ref="TKF2:TKL2"/>
    <mergeCell ref="TKM2:TKS2"/>
    <mergeCell ref="TKT2:TKZ2"/>
    <mergeCell ref="TLA2:TLG2"/>
    <mergeCell ref="TIP2:TIV2"/>
    <mergeCell ref="TIW2:TJC2"/>
    <mergeCell ref="TJD2:TJJ2"/>
    <mergeCell ref="TJK2:TJQ2"/>
    <mergeCell ref="TJR2:TJX2"/>
    <mergeCell ref="THG2:THM2"/>
    <mergeCell ref="THN2:THT2"/>
    <mergeCell ref="THU2:TIA2"/>
    <mergeCell ref="TIB2:TIH2"/>
    <mergeCell ref="TII2:TIO2"/>
    <mergeCell ref="TFX2:TGD2"/>
    <mergeCell ref="TGE2:TGK2"/>
    <mergeCell ref="TGL2:TGR2"/>
    <mergeCell ref="TGS2:TGY2"/>
    <mergeCell ref="TGZ2:THF2"/>
    <mergeCell ref="TEO2:TEU2"/>
    <mergeCell ref="TEV2:TFB2"/>
    <mergeCell ref="TFC2:TFI2"/>
    <mergeCell ref="TFJ2:TFP2"/>
    <mergeCell ref="TFQ2:TFW2"/>
    <mergeCell ref="TDF2:TDL2"/>
    <mergeCell ref="TDM2:TDS2"/>
    <mergeCell ref="TDT2:TDZ2"/>
    <mergeCell ref="TEA2:TEG2"/>
    <mergeCell ref="TEH2:TEN2"/>
    <mergeCell ref="TBW2:TCC2"/>
    <mergeCell ref="TCD2:TCJ2"/>
    <mergeCell ref="TCK2:TCQ2"/>
    <mergeCell ref="TCR2:TCX2"/>
    <mergeCell ref="TCY2:TDE2"/>
    <mergeCell ref="TAN2:TAT2"/>
    <mergeCell ref="TAU2:TBA2"/>
    <mergeCell ref="TBB2:TBH2"/>
    <mergeCell ref="TBI2:TBO2"/>
    <mergeCell ref="TBP2:TBV2"/>
    <mergeCell ref="SZE2:SZK2"/>
    <mergeCell ref="SZL2:SZR2"/>
    <mergeCell ref="SZS2:SZY2"/>
    <mergeCell ref="SZZ2:TAF2"/>
    <mergeCell ref="TAG2:TAM2"/>
    <mergeCell ref="SXV2:SYB2"/>
    <mergeCell ref="SYC2:SYI2"/>
    <mergeCell ref="SYJ2:SYP2"/>
    <mergeCell ref="SYQ2:SYW2"/>
    <mergeCell ref="SYX2:SZD2"/>
    <mergeCell ref="SWM2:SWS2"/>
    <mergeCell ref="SWT2:SWZ2"/>
    <mergeCell ref="SXA2:SXG2"/>
    <mergeCell ref="SXH2:SXN2"/>
    <mergeCell ref="SXO2:SXU2"/>
    <mergeCell ref="SVD2:SVJ2"/>
    <mergeCell ref="SVK2:SVQ2"/>
    <mergeCell ref="SVR2:SVX2"/>
    <mergeCell ref="SVY2:SWE2"/>
    <mergeCell ref="SWF2:SWL2"/>
    <mergeCell ref="STU2:SUA2"/>
    <mergeCell ref="SUB2:SUH2"/>
    <mergeCell ref="SUI2:SUO2"/>
    <mergeCell ref="SUP2:SUV2"/>
    <mergeCell ref="SUW2:SVC2"/>
    <mergeCell ref="SSL2:SSR2"/>
    <mergeCell ref="SSS2:SSY2"/>
    <mergeCell ref="SSZ2:STF2"/>
    <mergeCell ref="STG2:STM2"/>
    <mergeCell ref="STN2:STT2"/>
    <mergeCell ref="SRC2:SRI2"/>
    <mergeCell ref="SRJ2:SRP2"/>
    <mergeCell ref="SRQ2:SRW2"/>
    <mergeCell ref="SRX2:SSD2"/>
    <mergeCell ref="SSE2:SSK2"/>
    <mergeCell ref="SPT2:SPZ2"/>
    <mergeCell ref="SQA2:SQG2"/>
    <mergeCell ref="SQH2:SQN2"/>
    <mergeCell ref="SQO2:SQU2"/>
    <mergeCell ref="SQV2:SRB2"/>
    <mergeCell ref="SOK2:SOQ2"/>
    <mergeCell ref="SOR2:SOX2"/>
    <mergeCell ref="SOY2:SPE2"/>
    <mergeCell ref="SPF2:SPL2"/>
    <mergeCell ref="SPM2:SPS2"/>
    <mergeCell ref="SNB2:SNH2"/>
    <mergeCell ref="SNI2:SNO2"/>
    <mergeCell ref="SNP2:SNV2"/>
    <mergeCell ref="SNW2:SOC2"/>
    <mergeCell ref="SOD2:SOJ2"/>
    <mergeCell ref="SLS2:SLY2"/>
    <mergeCell ref="SLZ2:SMF2"/>
    <mergeCell ref="SMG2:SMM2"/>
    <mergeCell ref="SMN2:SMT2"/>
    <mergeCell ref="SMU2:SNA2"/>
    <mergeCell ref="SKJ2:SKP2"/>
    <mergeCell ref="SKQ2:SKW2"/>
    <mergeCell ref="SKX2:SLD2"/>
    <mergeCell ref="SLE2:SLK2"/>
    <mergeCell ref="SLL2:SLR2"/>
    <mergeCell ref="SJA2:SJG2"/>
    <mergeCell ref="SJH2:SJN2"/>
    <mergeCell ref="SJO2:SJU2"/>
    <mergeCell ref="SJV2:SKB2"/>
    <mergeCell ref="SKC2:SKI2"/>
    <mergeCell ref="SHR2:SHX2"/>
    <mergeCell ref="SHY2:SIE2"/>
    <mergeCell ref="SIF2:SIL2"/>
    <mergeCell ref="SIM2:SIS2"/>
    <mergeCell ref="SIT2:SIZ2"/>
    <mergeCell ref="SGI2:SGO2"/>
    <mergeCell ref="SGP2:SGV2"/>
    <mergeCell ref="SGW2:SHC2"/>
    <mergeCell ref="SHD2:SHJ2"/>
    <mergeCell ref="SHK2:SHQ2"/>
    <mergeCell ref="SEZ2:SFF2"/>
    <mergeCell ref="SFG2:SFM2"/>
    <mergeCell ref="SFN2:SFT2"/>
    <mergeCell ref="SFU2:SGA2"/>
    <mergeCell ref="SGB2:SGH2"/>
    <mergeCell ref="SDQ2:SDW2"/>
    <mergeCell ref="SDX2:SED2"/>
    <mergeCell ref="SEE2:SEK2"/>
    <mergeCell ref="SEL2:SER2"/>
    <mergeCell ref="SES2:SEY2"/>
    <mergeCell ref="SCH2:SCN2"/>
    <mergeCell ref="SCO2:SCU2"/>
    <mergeCell ref="SCV2:SDB2"/>
    <mergeCell ref="SDC2:SDI2"/>
    <mergeCell ref="SDJ2:SDP2"/>
    <mergeCell ref="SAY2:SBE2"/>
    <mergeCell ref="SBF2:SBL2"/>
    <mergeCell ref="SBM2:SBS2"/>
    <mergeCell ref="SBT2:SBZ2"/>
    <mergeCell ref="SCA2:SCG2"/>
    <mergeCell ref="RZP2:RZV2"/>
    <mergeCell ref="RZW2:SAC2"/>
    <mergeCell ref="SAD2:SAJ2"/>
    <mergeCell ref="SAK2:SAQ2"/>
    <mergeCell ref="SAR2:SAX2"/>
    <mergeCell ref="RYG2:RYM2"/>
    <mergeCell ref="RYN2:RYT2"/>
    <mergeCell ref="RYU2:RZA2"/>
    <mergeCell ref="RZB2:RZH2"/>
    <mergeCell ref="RZI2:RZO2"/>
    <mergeCell ref="RWX2:RXD2"/>
    <mergeCell ref="RXE2:RXK2"/>
    <mergeCell ref="RXL2:RXR2"/>
    <mergeCell ref="RXS2:RXY2"/>
    <mergeCell ref="RXZ2:RYF2"/>
    <mergeCell ref="RVO2:RVU2"/>
    <mergeCell ref="RVV2:RWB2"/>
    <mergeCell ref="RWC2:RWI2"/>
    <mergeCell ref="RWJ2:RWP2"/>
    <mergeCell ref="RWQ2:RWW2"/>
    <mergeCell ref="RUF2:RUL2"/>
    <mergeCell ref="RUM2:RUS2"/>
    <mergeCell ref="RUT2:RUZ2"/>
    <mergeCell ref="RVA2:RVG2"/>
    <mergeCell ref="RVH2:RVN2"/>
    <mergeCell ref="RSW2:RTC2"/>
    <mergeCell ref="RTD2:RTJ2"/>
    <mergeCell ref="RTK2:RTQ2"/>
    <mergeCell ref="RTR2:RTX2"/>
    <mergeCell ref="RTY2:RUE2"/>
    <mergeCell ref="RRN2:RRT2"/>
    <mergeCell ref="RRU2:RSA2"/>
    <mergeCell ref="RSB2:RSH2"/>
    <mergeCell ref="RSI2:RSO2"/>
    <mergeCell ref="RSP2:RSV2"/>
    <mergeCell ref="RQE2:RQK2"/>
    <mergeCell ref="RQL2:RQR2"/>
    <mergeCell ref="RQS2:RQY2"/>
    <mergeCell ref="RQZ2:RRF2"/>
    <mergeCell ref="RRG2:RRM2"/>
    <mergeCell ref="ROV2:RPB2"/>
    <mergeCell ref="RPC2:RPI2"/>
    <mergeCell ref="RPJ2:RPP2"/>
    <mergeCell ref="RPQ2:RPW2"/>
    <mergeCell ref="RPX2:RQD2"/>
    <mergeCell ref="RNM2:RNS2"/>
    <mergeCell ref="RNT2:RNZ2"/>
    <mergeCell ref="ROA2:ROG2"/>
    <mergeCell ref="ROH2:RON2"/>
    <mergeCell ref="ROO2:ROU2"/>
    <mergeCell ref="RMD2:RMJ2"/>
    <mergeCell ref="RMK2:RMQ2"/>
    <mergeCell ref="RMR2:RMX2"/>
    <mergeCell ref="RMY2:RNE2"/>
    <mergeCell ref="RNF2:RNL2"/>
    <mergeCell ref="RKU2:RLA2"/>
    <mergeCell ref="RLB2:RLH2"/>
    <mergeCell ref="RLI2:RLO2"/>
    <mergeCell ref="RLP2:RLV2"/>
    <mergeCell ref="RLW2:RMC2"/>
    <mergeCell ref="RJL2:RJR2"/>
    <mergeCell ref="RJS2:RJY2"/>
    <mergeCell ref="RJZ2:RKF2"/>
    <mergeCell ref="RKG2:RKM2"/>
    <mergeCell ref="RKN2:RKT2"/>
    <mergeCell ref="RIC2:RII2"/>
    <mergeCell ref="RIJ2:RIP2"/>
    <mergeCell ref="RIQ2:RIW2"/>
    <mergeCell ref="RIX2:RJD2"/>
    <mergeCell ref="RJE2:RJK2"/>
    <mergeCell ref="RGT2:RGZ2"/>
    <mergeCell ref="RHA2:RHG2"/>
    <mergeCell ref="RHH2:RHN2"/>
    <mergeCell ref="RHO2:RHU2"/>
    <mergeCell ref="RHV2:RIB2"/>
    <mergeCell ref="RFK2:RFQ2"/>
    <mergeCell ref="RFR2:RFX2"/>
    <mergeCell ref="RFY2:RGE2"/>
    <mergeCell ref="RGF2:RGL2"/>
    <mergeCell ref="RGM2:RGS2"/>
    <mergeCell ref="REB2:REH2"/>
    <mergeCell ref="REI2:REO2"/>
    <mergeCell ref="REP2:REV2"/>
    <mergeCell ref="REW2:RFC2"/>
    <mergeCell ref="RFD2:RFJ2"/>
    <mergeCell ref="RCS2:RCY2"/>
    <mergeCell ref="RCZ2:RDF2"/>
    <mergeCell ref="RDG2:RDM2"/>
    <mergeCell ref="RDN2:RDT2"/>
    <mergeCell ref="RDU2:REA2"/>
    <mergeCell ref="RBJ2:RBP2"/>
    <mergeCell ref="RBQ2:RBW2"/>
    <mergeCell ref="RBX2:RCD2"/>
    <mergeCell ref="RCE2:RCK2"/>
    <mergeCell ref="RCL2:RCR2"/>
    <mergeCell ref="RAA2:RAG2"/>
    <mergeCell ref="RAH2:RAN2"/>
    <mergeCell ref="RAO2:RAU2"/>
    <mergeCell ref="RAV2:RBB2"/>
    <mergeCell ref="RBC2:RBI2"/>
    <mergeCell ref="QYR2:QYX2"/>
    <mergeCell ref="QYY2:QZE2"/>
    <mergeCell ref="QZF2:QZL2"/>
    <mergeCell ref="QZM2:QZS2"/>
    <mergeCell ref="QZT2:QZZ2"/>
    <mergeCell ref="QXI2:QXO2"/>
    <mergeCell ref="QXP2:QXV2"/>
    <mergeCell ref="QXW2:QYC2"/>
    <mergeCell ref="QYD2:QYJ2"/>
    <mergeCell ref="QYK2:QYQ2"/>
    <mergeCell ref="QVZ2:QWF2"/>
    <mergeCell ref="QWG2:QWM2"/>
    <mergeCell ref="QWN2:QWT2"/>
    <mergeCell ref="QWU2:QXA2"/>
    <mergeCell ref="QXB2:QXH2"/>
    <mergeCell ref="QUQ2:QUW2"/>
    <mergeCell ref="QUX2:QVD2"/>
    <mergeCell ref="QVE2:QVK2"/>
    <mergeCell ref="QVL2:QVR2"/>
    <mergeCell ref="QVS2:QVY2"/>
    <mergeCell ref="QTH2:QTN2"/>
    <mergeCell ref="QTO2:QTU2"/>
    <mergeCell ref="QTV2:QUB2"/>
    <mergeCell ref="QUC2:QUI2"/>
    <mergeCell ref="QUJ2:QUP2"/>
    <mergeCell ref="QRY2:QSE2"/>
    <mergeCell ref="QSF2:QSL2"/>
    <mergeCell ref="QSM2:QSS2"/>
    <mergeCell ref="QST2:QSZ2"/>
    <mergeCell ref="QTA2:QTG2"/>
    <mergeCell ref="QQP2:QQV2"/>
    <mergeCell ref="QQW2:QRC2"/>
    <mergeCell ref="QRD2:QRJ2"/>
    <mergeCell ref="QRK2:QRQ2"/>
    <mergeCell ref="QRR2:QRX2"/>
    <mergeCell ref="QPG2:QPM2"/>
    <mergeCell ref="QPN2:QPT2"/>
    <mergeCell ref="QPU2:QQA2"/>
    <mergeCell ref="QQB2:QQH2"/>
    <mergeCell ref="QQI2:QQO2"/>
    <mergeCell ref="QNX2:QOD2"/>
    <mergeCell ref="QOE2:QOK2"/>
    <mergeCell ref="QOL2:QOR2"/>
    <mergeCell ref="QOS2:QOY2"/>
    <mergeCell ref="QOZ2:QPF2"/>
    <mergeCell ref="QMO2:QMU2"/>
    <mergeCell ref="QMV2:QNB2"/>
    <mergeCell ref="QNC2:QNI2"/>
    <mergeCell ref="QNJ2:QNP2"/>
    <mergeCell ref="QNQ2:QNW2"/>
    <mergeCell ref="QLF2:QLL2"/>
    <mergeCell ref="QLM2:QLS2"/>
    <mergeCell ref="QLT2:QLZ2"/>
    <mergeCell ref="QMA2:QMG2"/>
    <mergeCell ref="QMH2:QMN2"/>
    <mergeCell ref="QJW2:QKC2"/>
    <mergeCell ref="QKD2:QKJ2"/>
    <mergeCell ref="QKK2:QKQ2"/>
    <mergeCell ref="QKR2:QKX2"/>
    <mergeCell ref="QKY2:QLE2"/>
    <mergeCell ref="QIN2:QIT2"/>
    <mergeCell ref="QIU2:QJA2"/>
    <mergeCell ref="QJB2:QJH2"/>
    <mergeCell ref="QJI2:QJO2"/>
    <mergeCell ref="QJP2:QJV2"/>
    <mergeCell ref="QHE2:QHK2"/>
    <mergeCell ref="QHL2:QHR2"/>
    <mergeCell ref="QHS2:QHY2"/>
    <mergeCell ref="QHZ2:QIF2"/>
    <mergeCell ref="QIG2:QIM2"/>
    <mergeCell ref="QFV2:QGB2"/>
    <mergeCell ref="QGC2:QGI2"/>
    <mergeCell ref="QGJ2:QGP2"/>
    <mergeCell ref="QGQ2:QGW2"/>
    <mergeCell ref="QGX2:QHD2"/>
    <mergeCell ref="QEM2:QES2"/>
    <mergeCell ref="QET2:QEZ2"/>
    <mergeCell ref="QFA2:QFG2"/>
    <mergeCell ref="QFH2:QFN2"/>
    <mergeCell ref="QFO2:QFU2"/>
    <mergeCell ref="QDD2:QDJ2"/>
    <mergeCell ref="QDK2:QDQ2"/>
    <mergeCell ref="QDR2:QDX2"/>
    <mergeCell ref="QDY2:QEE2"/>
    <mergeCell ref="QEF2:QEL2"/>
    <mergeCell ref="QBU2:QCA2"/>
    <mergeCell ref="QCB2:QCH2"/>
    <mergeCell ref="QCI2:QCO2"/>
    <mergeCell ref="QCP2:QCV2"/>
    <mergeCell ref="QCW2:QDC2"/>
    <mergeCell ref="QAL2:QAR2"/>
    <mergeCell ref="QAS2:QAY2"/>
    <mergeCell ref="QAZ2:QBF2"/>
    <mergeCell ref="QBG2:QBM2"/>
    <mergeCell ref="QBN2:QBT2"/>
    <mergeCell ref="PZC2:PZI2"/>
    <mergeCell ref="PZJ2:PZP2"/>
    <mergeCell ref="PZQ2:PZW2"/>
    <mergeCell ref="PZX2:QAD2"/>
    <mergeCell ref="QAE2:QAK2"/>
    <mergeCell ref="PXT2:PXZ2"/>
    <mergeCell ref="PYA2:PYG2"/>
    <mergeCell ref="PYH2:PYN2"/>
    <mergeCell ref="PYO2:PYU2"/>
    <mergeCell ref="PYV2:PZB2"/>
    <mergeCell ref="PWK2:PWQ2"/>
    <mergeCell ref="PWR2:PWX2"/>
    <mergeCell ref="PWY2:PXE2"/>
    <mergeCell ref="PXF2:PXL2"/>
    <mergeCell ref="PXM2:PXS2"/>
    <mergeCell ref="PVB2:PVH2"/>
    <mergeCell ref="PVI2:PVO2"/>
    <mergeCell ref="PVP2:PVV2"/>
    <mergeCell ref="PVW2:PWC2"/>
    <mergeCell ref="PWD2:PWJ2"/>
    <mergeCell ref="PTS2:PTY2"/>
    <mergeCell ref="PTZ2:PUF2"/>
    <mergeCell ref="PUG2:PUM2"/>
    <mergeCell ref="PUN2:PUT2"/>
    <mergeCell ref="PUU2:PVA2"/>
    <mergeCell ref="PSJ2:PSP2"/>
    <mergeCell ref="PSQ2:PSW2"/>
    <mergeCell ref="PSX2:PTD2"/>
    <mergeCell ref="PTE2:PTK2"/>
    <mergeCell ref="PTL2:PTR2"/>
    <mergeCell ref="PRA2:PRG2"/>
    <mergeCell ref="PRH2:PRN2"/>
    <mergeCell ref="PRO2:PRU2"/>
    <mergeCell ref="PRV2:PSB2"/>
    <mergeCell ref="PSC2:PSI2"/>
    <mergeCell ref="PPR2:PPX2"/>
    <mergeCell ref="PPY2:PQE2"/>
    <mergeCell ref="PQF2:PQL2"/>
    <mergeCell ref="PQM2:PQS2"/>
    <mergeCell ref="PQT2:PQZ2"/>
    <mergeCell ref="POI2:POO2"/>
    <mergeCell ref="POP2:POV2"/>
    <mergeCell ref="POW2:PPC2"/>
    <mergeCell ref="PPD2:PPJ2"/>
    <mergeCell ref="PPK2:PPQ2"/>
    <mergeCell ref="PMZ2:PNF2"/>
    <mergeCell ref="PNG2:PNM2"/>
    <mergeCell ref="PNN2:PNT2"/>
    <mergeCell ref="PNU2:POA2"/>
    <mergeCell ref="POB2:POH2"/>
    <mergeCell ref="PLQ2:PLW2"/>
    <mergeCell ref="PLX2:PMD2"/>
    <mergeCell ref="PME2:PMK2"/>
    <mergeCell ref="PML2:PMR2"/>
    <mergeCell ref="PMS2:PMY2"/>
    <mergeCell ref="PKH2:PKN2"/>
    <mergeCell ref="PKO2:PKU2"/>
    <mergeCell ref="PKV2:PLB2"/>
    <mergeCell ref="PLC2:PLI2"/>
    <mergeCell ref="PLJ2:PLP2"/>
    <mergeCell ref="PIY2:PJE2"/>
    <mergeCell ref="PJF2:PJL2"/>
    <mergeCell ref="PJM2:PJS2"/>
    <mergeCell ref="PJT2:PJZ2"/>
    <mergeCell ref="PKA2:PKG2"/>
    <mergeCell ref="PHP2:PHV2"/>
    <mergeCell ref="PHW2:PIC2"/>
    <mergeCell ref="PID2:PIJ2"/>
    <mergeCell ref="PIK2:PIQ2"/>
    <mergeCell ref="PIR2:PIX2"/>
    <mergeCell ref="PGG2:PGM2"/>
    <mergeCell ref="PGN2:PGT2"/>
    <mergeCell ref="PGU2:PHA2"/>
    <mergeCell ref="PHB2:PHH2"/>
    <mergeCell ref="PHI2:PHO2"/>
    <mergeCell ref="PEX2:PFD2"/>
    <mergeCell ref="PFE2:PFK2"/>
    <mergeCell ref="PFL2:PFR2"/>
    <mergeCell ref="PFS2:PFY2"/>
    <mergeCell ref="PFZ2:PGF2"/>
    <mergeCell ref="PDO2:PDU2"/>
    <mergeCell ref="PDV2:PEB2"/>
    <mergeCell ref="PEC2:PEI2"/>
    <mergeCell ref="PEJ2:PEP2"/>
    <mergeCell ref="PEQ2:PEW2"/>
    <mergeCell ref="PCF2:PCL2"/>
    <mergeCell ref="PCM2:PCS2"/>
    <mergeCell ref="PCT2:PCZ2"/>
    <mergeCell ref="PDA2:PDG2"/>
    <mergeCell ref="PDH2:PDN2"/>
    <mergeCell ref="PAW2:PBC2"/>
    <mergeCell ref="PBD2:PBJ2"/>
    <mergeCell ref="PBK2:PBQ2"/>
    <mergeCell ref="PBR2:PBX2"/>
    <mergeCell ref="PBY2:PCE2"/>
    <mergeCell ref="OZN2:OZT2"/>
    <mergeCell ref="OZU2:PAA2"/>
    <mergeCell ref="PAB2:PAH2"/>
    <mergeCell ref="PAI2:PAO2"/>
    <mergeCell ref="PAP2:PAV2"/>
    <mergeCell ref="OYE2:OYK2"/>
    <mergeCell ref="OYL2:OYR2"/>
    <mergeCell ref="OYS2:OYY2"/>
    <mergeCell ref="OYZ2:OZF2"/>
    <mergeCell ref="OZG2:OZM2"/>
    <mergeCell ref="OWV2:OXB2"/>
    <mergeCell ref="OXC2:OXI2"/>
    <mergeCell ref="OXJ2:OXP2"/>
    <mergeCell ref="OXQ2:OXW2"/>
    <mergeCell ref="OXX2:OYD2"/>
    <mergeCell ref="OVM2:OVS2"/>
    <mergeCell ref="OVT2:OVZ2"/>
    <mergeCell ref="OWA2:OWG2"/>
    <mergeCell ref="OWH2:OWN2"/>
    <mergeCell ref="OWO2:OWU2"/>
    <mergeCell ref="OUD2:OUJ2"/>
    <mergeCell ref="OUK2:OUQ2"/>
    <mergeCell ref="OUR2:OUX2"/>
    <mergeCell ref="OUY2:OVE2"/>
    <mergeCell ref="OVF2:OVL2"/>
    <mergeCell ref="OSU2:OTA2"/>
    <mergeCell ref="OTB2:OTH2"/>
    <mergeCell ref="OTI2:OTO2"/>
    <mergeCell ref="OTP2:OTV2"/>
    <mergeCell ref="OTW2:OUC2"/>
    <mergeCell ref="ORL2:ORR2"/>
    <mergeCell ref="ORS2:ORY2"/>
    <mergeCell ref="ORZ2:OSF2"/>
    <mergeCell ref="OSG2:OSM2"/>
    <mergeCell ref="OSN2:OST2"/>
    <mergeCell ref="OQC2:OQI2"/>
    <mergeCell ref="OQJ2:OQP2"/>
    <mergeCell ref="OQQ2:OQW2"/>
    <mergeCell ref="OQX2:ORD2"/>
    <mergeCell ref="ORE2:ORK2"/>
    <mergeCell ref="OOT2:OOZ2"/>
    <mergeCell ref="OPA2:OPG2"/>
    <mergeCell ref="OPH2:OPN2"/>
    <mergeCell ref="OPO2:OPU2"/>
    <mergeCell ref="OPV2:OQB2"/>
    <mergeCell ref="ONK2:ONQ2"/>
    <mergeCell ref="ONR2:ONX2"/>
    <mergeCell ref="ONY2:OOE2"/>
    <mergeCell ref="OOF2:OOL2"/>
    <mergeCell ref="OOM2:OOS2"/>
    <mergeCell ref="OMB2:OMH2"/>
    <mergeCell ref="OMI2:OMO2"/>
    <mergeCell ref="OMP2:OMV2"/>
    <mergeCell ref="OMW2:ONC2"/>
    <mergeCell ref="OND2:ONJ2"/>
    <mergeCell ref="OKS2:OKY2"/>
    <mergeCell ref="OKZ2:OLF2"/>
    <mergeCell ref="OLG2:OLM2"/>
    <mergeCell ref="OLN2:OLT2"/>
    <mergeCell ref="OLU2:OMA2"/>
    <mergeCell ref="OJJ2:OJP2"/>
    <mergeCell ref="OJQ2:OJW2"/>
    <mergeCell ref="OJX2:OKD2"/>
    <mergeCell ref="OKE2:OKK2"/>
    <mergeCell ref="OKL2:OKR2"/>
    <mergeCell ref="OIA2:OIG2"/>
    <mergeCell ref="OIH2:OIN2"/>
    <mergeCell ref="OIO2:OIU2"/>
    <mergeCell ref="OIV2:OJB2"/>
    <mergeCell ref="OJC2:OJI2"/>
    <mergeCell ref="OGR2:OGX2"/>
    <mergeCell ref="OGY2:OHE2"/>
    <mergeCell ref="OHF2:OHL2"/>
    <mergeCell ref="OHM2:OHS2"/>
    <mergeCell ref="OHT2:OHZ2"/>
    <mergeCell ref="OFI2:OFO2"/>
    <mergeCell ref="OFP2:OFV2"/>
    <mergeCell ref="OFW2:OGC2"/>
    <mergeCell ref="OGD2:OGJ2"/>
    <mergeCell ref="OGK2:OGQ2"/>
    <mergeCell ref="ODZ2:OEF2"/>
    <mergeCell ref="OEG2:OEM2"/>
    <mergeCell ref="OEN2:OET2"/>
    <mergeCell ref="OEU2:OFA2"/>
    <mergeCell ref="OFB2:OFH2"/>
    <mergeCell ref="OCQ2:OCW2"/>
    <mergeCell ref="OCX2:ODD2"/>
    <mergeCell ref="ODE2:ODK2"/>
    <mergeCell ref="ODL2:ODR2"/>
    <mergeCell ref="ODS2:ODY2"/>
    <mergeCell ref="OBH2:OBN2"/>
    <mergeCell ref="OBO2:OBU2"/>
    <mergeCell ref="OBV2:OCB2"/>
    <mergeCell ref="OCC2:OCI2"/>
    <mergeCell ref="OCJ2:OCP2"/>
    <mergeCell ref="NZY2:OAE2"/>
    <mergeCell ref="OAF2:OAL2"/>
    <mergeCell ref="OAM2:OAS2"/>
    <mergeCell ref="OAT2:OAZ2"/>
    <mergeCell ref="OBA2:OBG2"/>
    <mergeCell ref="NYP2:NYV2"/>
    <mergeCell ref="NYW2:NZC2"/>
    <mergeCell ref="NZD2:NZJ2"/>
    <mergeCell ref="NZK2:NZQ2"/>
    <mergeCell ref="NZR2:NZX2"/>
    <mergeCell ref="NXG2:NXM2"/>
    <mergeCell ref="NXN2:NXT2"/>
    <mergeCell ref="NXU2:NYA2"/>
    <mergeCell ref="NYB2:NYH2"/>
    <mergeCell ref="NYI2:NYO2"/>
    <mergeCell ref="NVX2:NWD2"/>
    <mergeCell ref="NWE2:NWK2"/>
    <mergeCell ref="NWL2:NWR2"/>
    <mergeCell ref="NWS2:NWY2"/>
    <mergeCell ref="NWZ2:NXF2"/>
    <mergeCell ref="NUO2:NUU2"/>
    <mergeCell ref="NUV2:NVB2"/>
    <mergeCell ref="NVC2:NVI2"/>
    <mergeCell ref="NVJ2:NVP2"/>
    <mergeCell ref="NVQ2:NVW2"/>
    <mergeCell ref="NTF2:NTL2"/>
    <mergeCell ref="NTM2:NTS2"/>
    <mergeCell ref="NTT2:NTZ2"/>
    <mergeCell ref="NUA2:NUG2"/>
    <mergeCell ref="NUH2:NUN2"/>
    <mergeCell ref="NRW2:NSC2"/>
    <mergeCell ref="NSD2:NSJ2"/>
    <mergeCell ref="NSK2:NSQ2"/>
    <mergeCell ref="NSR2:NSX2"/>
    <mergeCell ref="NSY2:NTE2"/>
    <mergeCell ref="NQN2:NQT2"/>
    <mergeCell ref="NQU2:NRA2"/>
    <mergeCell ref="NRB2:NRH2"/>
    <mergeCell ref="NRI2:NRO2"/>
    <mergeCell ref="NRP2:NRV2"/>
    <mergeCell ref="NPE2:NPK2"/>
    <mergeCell ref="NPL2:NPR2"/>
    <mergeCell ref="NPS2:NPY2"/>
    <mergeCell ref="NPZ2:NQF2"/>
    <mergeCell ref="NQG2:NQM2"/>
    <mergeCell ref="NNV2:NOB2"/>
    <mergeCell ref="NOC2:NOI2"/>
    <mergeCell ref="NOJ2:NOP2"/>
    <mergeCell ref="NOQ2:NOW2"/>
    <mergeCell ref="NOX2:NPD2"/>
    <mergeCell ref="NMM2:NMS2"/>
    <mergeCell ref="NMT2:NMZ2"/>
    <mergeCell ref="NNA2:NNG2"/>
    <mergeCell ref="NNH2:NNN2"/>
    <mergeCell ref="NNO2:NNU2"/>
    <mergeCell ref="NLD2:NLJ2"/>
    <mergeCell ref="NLK2:NLQ2"/>
    <mergeCell ref="NLR2:NLX2"/>
    <mergeCell ref="NLY2:NME2"/>
    <mergeCell ref="NMF2:NML2"/>
    <mergeCell ref="NJU2:NKA2"/>
    <mergeCell ref="NKB2:NKH2"/>
    <mergeCell ref="NKI2:NKO2"/>
    <mergeCell ref="NKP2:NKV2"/>
    <mergeCell ref="NKW2:NLC2"/>
    <mergeCell ref="NIL2:NIR2"/>
    <mergeCell ref="NIS2:NIY2"/>
    <mergeCell ref="NIZ2:NJF2"/>
    <mergeCell ref="NJG2:NJM2"/>
    <mergeCell ref="NJN2:NJT2"/>
    <mergeCell ref="NHC2:NHI2"/>
    <mergeCell ref="NHJ2:NHP2"/>
    <mergeCell ref="NHQ2:NHW2"/>
    <mergeCell ref="NHX2:NID2"/>
    <mergeCell ref="NIE2:NIK2"/>
    <mergeCell ref="NFT2:NFZ2"/>
    <mergeCell ref="NGA2:NGG2"/>
    <mergeCell ref="NGH2:NGN2"/>
    <mergeCell ref="NGO2:NGU2"/>
    <mergeCell ref="NGV2:NHB2"/>
    <mergeCell ref="NEK2:NEQ2"/>
    <mergeCell ref="NER2:NEX2"/>
    <mergeCell ref="NEY2:NFE2"/>
    <mergeCell ref="NFF2:NFL2"/>
    <mergeCell ref="NFM2:NFS2"/>
    <mergeCell ref="NDB2:NDH2"/>
    <mergeCell ref="NDI2:NDO2"/>
    <mergeCell ref="NDP2:NDV2"/>
    <mergeCell ref="NDW2:NEC2"/>
    <mergeCell ref="NED2:NEJ2"/>
    <mergeCell ref="NBS2:NBY2"/>
    <mergeCell ref="NBZ2:NCF2"/>
    <mergeCell ref="NCG2:NCM2"/>
    <mergeCell ref="NCN2:NCT2"/>
    <mergeCell ref="NCU2:NDA2"/>
    <mergeCell ref="NAJ2:NAP2"/>
    <mergeCell ref="NAQ2:NAW2"/>
    <mergeCell ref="NAX2:NBD2"/>
    <mergeCell ref="NBE2:NBK2"/>
    <mergeCell ref="NBL2:NBR2"/>
    <mergeCell ref="MZA2:MZG2"/>
    <mergeCell ref="MZH2:MZN2"/>
    <mergeCell ref="MZO2:MZU2"/>
    <mergeCell ref="MZV2:NAB2"/>
    <mergeCell ref="NAC2:NAI2"/>
    <mergeCell ref="MXR2:MXX2"/>
    <mergeCell ref="MXY2:MYE2"/>
    <mergeCell ref="MYF2:MYL2"/>
    <mergeCell ref="MYM2:MYS2"/>
    <mergeCell ref="MYT2:MYZ2"/>
    <mergeCell ref="MWI2:MWO2"/>
    <mergeCell ref="MWP2:MWV2"/>
    <mergeCell ref="MWW2:MXC2"/>
    <mergeCell ref="MXD2:MXJ2"/>
    <mergeCell ref="MXK2:MXQ2"/>
    <mergeCell ref="MUZ2:MVF2"/>
    <mergeCell ref="MVG2:MVM2"/>
    <mergeCell ref="MVN2:MVT2"/>
    <mergeCell ref="MVU2:MWA2"/>
    <mergeCell ref="MWB2:MWH2"/>
    <mergeCell ref="MTQ2:MTW2"/>
    <mergeCell ref="MTX2:MUD2"/>
    <mergeCell ref="MUE2:MUK2"/>
    <mergeCell ref="MUL2:MUR2"/>
    <mergeCell ref="MUS2:MUY2"/>
    <mergeCell ref="MSH2:MSN2"/>
    <mergeCell ref="MSO2:MSU2"/>
    <mergeCell ref="MSV2:MTB2"/>
    <mergeCell ref="MTC2:MTI2"/>
    <mergeCell ref="MTJ2:MTP2"/>
    <mergeCell ref="MQY2:MRE2"/>
    <mergeCell ref="MRF2:MRL2"/>
    <mergeCell ref="MRM2:MRS2"/>
    <mergeCell ref="MRT2:MRZ2"/>
    <mergeCell ref="MSA2:MSG2"/>
    <mergeCell ref="MPP2:MPV2"/>
    <mergeCell ref="MPW2:MQC2"/>
    <mergeCell ref="MQD2:MQJ2"/>
    <mergeCell ref="MQK2:MQQ2"/>
    <mergeCell ref="MQR2:MQX2"/>
    <mergeCell ref="MOG2:MOM2"/>
    <mergeCell ref="MON2:MOT2"/>
    <mergeCell ref="MOU2:MPA2"/>
    <mergeCell ref="MPB2:MPH2"/>
    <mergeCell ref="MPI2:MPO2"/>
    <mergeCell ref="MMX2:MND2"/>
    <mergeCell ref="MNE2:MNK2"/>
    <mergeCell ref="MNL2:MNR2"/>
    <mergeCell ref="MNS2:MNY2"/>
    <mergeCell ref="MNZ2:MOF2"/>
    <mergeCell ref="MLO2:MLU2"/>
    <mergeCell ref="MLV2:MMB2"/>
    <mergeCell ref="MMC2:MMI2"/>
    <mergeCell ref="MMJ2:MMP2"/>
    <mergeCell ref="MMQ2:MMW2"/>
    <mergeCell ref="MKF2:MKL2"/>
    <mergeCell ref="MKM2:MKS2"/>
    <mergeCell ref="MKT2:MKZ2"/>
    <mergeCell ref="MLA2:MLG2"/>
    <mergeCell ref="MLH2:MLN2"/>
    <mergeCell ref="MIW2:MJC2"/>
    <mergeCell ref="MJD2:MJJ2"/>
    <mergeCell ref="MJK2:MJQ2"/>
    <mergeCell ref="MJR2:MJX2"/>
    <mergeCell ref="MJY2:MKE2"/>
    <mergeCell ref="MHN2:MHT2"/>
    <mergeCell ref="MHU2:MIA2"/>
    <mergeCell ref="MIB2:MIH2"/>
    <mergeCell ref="MII2:MIO2"/>
    <mergeCell ref="MIP2:MIV2"/>
    <mergeCell ref="MGE2:MGK2"/>
    <mergeCell ref="MGL2:MGR2"/>
    <mergeCell ref="MGS2:MGY2"/>
    <mergeCell ref="MGZ2:MHF2"/>
    <mergeCell ref="MHG2:MHM2"/>
    <mergeCell ref="MEV2:MFB2"/>
    <mergeCell ref="MFC2:MFI2"/>
    <mergeCell ref="MFJ2:MFP2"/>
    <mergeCell ref="MFQ2:MFW2"/>
    <mergeCell ref="MFX2:MGD2"/>
    <mergeCell ref="MDM2:MDS2"/>
    <mergeCell ref="MDT2:MDZ2"/>
    <mergeCell ref="MEA2:MEG2"/>
    <mergeCell ref="MEH2:MEN2"/>
    <mergeCell ref="MEO2:MEU2"/>
    <mergeCell ref="MCD2:MCJ2"/>
    <mergeCell ref="MCK2:MCQ2"/>
    <mergeCell ref="MCR2:MCX2"/>
    <mergeCell ref="MCY2:MDE2"/>
    <mergeCell ref="MDF2:MDL2"/>
    <mergeCell ref="MAU2:MBA2"/>
    <mergeCell ref="MBB2:MBH2"/>
    <mergeCell ref="MBI2:MBO2"/>
    <mergeCell ref="MBP2:MBV2"/>
    <mergeCell ref="MBW2:MCC2"/>
    <mergeCell ref="LZL2:LZR2"/>
    <mergeCell ref="LZS2:LZY2"/>
    <mergeCell ref="LZZ2:MAF2"/>
    <mergeCell ref="MAG2:MAM2"/>
    <mergeCell ref="MAN2:MAT2"/>
    <mergeCell ref="LYC2:LYI2"/>
    <mergeCell ref="LYJ2:LYP2"/>
    <mergeCell ref="LYQ2:LYW2"/>
    <mergeCell ref="LYX2:LZD2"/>
    <mergeCell ref="LZE2:LZK2"/>
    <mergeCell ref="LWT2:LWZ2"/>
    <mergeCell ref="LXA2:LXG2"/>
    <mergeCell ref="LXH2:LXN2"/>
    <mergeCell ref="LXO2:LXU2"/>
    <mergeCell ref="LXV2:LYB2"/>
    <mergeCell ref="LVK2:LVQ2"/>
    <mergeCell ref="LVR2:LVX2"/>
    <mergeCell ref="LVY2:LWE2"/>
    <mergeCell ref="LWF2:LWL2"/>
    <mergeCell ref="LWM2:LWS2"/>
    <mergeCell ref="LUB2:LUH2"/>
    <mergeCell ref="LUI2:LUO2"/>
    <mergeCell ref="LUP2:LUV2"/>
    <mergeCell ref="LUW2:LVC2"/>
    <mergeCell ref="LVD2:LVJ2"/>
    <mergeCell ref="LSS2:LSY2"/>
    <mergeCell ref="LSZ2:LTF2"/>
    <mergeCell ref="LTG2:LTM2"/>
    <mergeCell ref="LTN2:LTT2"/>
    <mergeCell ref="LTU2:LUA2"/>
    <mergeCell ref="LRJ2:LRP2"/>
    <mergeCell ref="LRQ2:LRW2"/>
    <mergeCell ref="LRX2:LSD2"/>
    <mergeCell ref="LSE2:LSK2"/>
    <mergeCell ref="LSL2:LSR2"/>
    <mergeCell ref="LQA2:LQG2"/>
    <mergeCell ref="LQH2:LQN2"/>
    <mergeCell ref="LQO2:LQU2"/>
    <mergeCell ref="LQV2:LRB2"/>
    <mergeCell ref="LRC2:LRI2"/>
    <mergeCell ref="LOR2:LOX2"/>
    <mergeCell ref="LOY2:LPE2"/>
    <mergeCell ref="LPF2:LPL2"/>
    <mergeCell ref="LPM2:LPS2"/>
    <mergeCell ref="LPT2:LPZ2"/>
    <mergeCell ref="LNI2:LNO2"/>
    <mergeCell ref="LNP2:LNV2"/>
    <mergeCell ref="LNW2:LOC2"/>
    <mergeCell ref="LOD2:LOJ2"/>
    <mergeCell ref="LOK2:LOQ2"/>
    <mergeCell ref="LLZ2:LMF2"/>
    <mergeCell ref="LMG2:LMM2"/>
    <mergeCell ref="LMN2:LMT2"/>
    <mergeCell ref="LMU2:LNA2"/>
    <mergeCell ref="LNB2:LNH2"/>
    <mergeCell ref="LKQ2:LKW2"/>
    <mergeCell ref="LKX2:LLD2"/>
    <mergeCell ref="LLE2:LLK2"/>
    <mergeCell ref="LLL2:LLR2"/>
    <mergeCell ref="LLS2:LLY2"/>
    <mergeCell ref="LJH2:LJN2"/>
    <mergeCell ref="LJO2:LJU2"/>
    <mergeCell ref="LJV2:LKB2"/>
    <mergeCell ref="LKC2:LKI2"/>
    <mergeCell ref="LKJ2:LKP2"/>
    <mergeCell ref="LHY2:LIE2"/>
    <mergeCell ref="LIF2:LIL2"/>
    <mergeCell ref="LIM2:LIS2"/>
    <mergeCell ref="LIT2:LIZ2"/>
    <mergeCell ref="LJA2:LJG2"/>
    <mergeCell ref="LGP2:LGV2"/>
    <mergeCell ref="LGW2:LHC2"/>
    <mergeCell ref="LHD2:LHJ2"/>
    <mergeCell ref="LHK2:LHQ2"/>
    <mergeCell ref="LHR2:LHX2"/>
    <mergeCell ref="LFG2:LFM2"/>
    <mergeCell ref="LFN2:LFT2"/>
    <mergeCell ref="LFU2:LGA2"/>
    <mergeCell ref="LGB2:LGH2"/>
    <mergeCell ref="LGI2:LGO2"/>
    <mergeCell ref="LDX2:LED2"/>
    <mergeCell ref="LEE2:LEK2"/>
    <mergeCell ref="LEL2:LER2"/>
    <mergeCell ref="LES2:LEY2"/>
    <mergeCell ref="LEZ2:LFF2"/>
    <mergeCell ref="LCO2:LCU2"/>
    <mergeCell ref="LCV2:LDB2"/>
    <mergeCell ref="LDC2:LDI2"/>
    <mergeCell ref="LDJ2:LDP2"/>
    <mergeCell ref="LDQ2:LDW2"/>
    <mergeCell ref="LBF2:LBL2"/>
    <mergeCell ref="LBM2:LBS2"/>
    <mergeCell ref="LBT2:LBZ2"/>
    <mergeCell ref="LCA2:LCG2"/>
    <mergeCell ref="LCH2:LCN2"/>
    <mergeCell ref="KZW2:LAC2"/>
    <mergeCell ref="LAD2:LAJ2"/>
    <mergeCell ref="LAK2:LAQ2"/>
    <mergeCell ref="LAR2:LAX2"/>
    <mergeCell ref="LAY2:LBE2"/>
    <mergeCell ref="KYN2:KYT2"/>
    <mergeCell ref="KYU2:KZA2"/>
    <mergeCell ref="KZB2:KZH2"/>
    <mergeCell ref="KZI2:KZO2"/>
    <mergeCell ref="KZP2:KZV2"/>
    <mergeCell ref="KXE2:KXK2"/>
    <mergeCell ref="KXL2:KXR2"/>
    <mergeCell ref="KXS2:KXY2"/>
    <mergeCell ref="KXZ2:KYF2"/>
    <mergeCell ref="KYG2:KYM2"/>
    <mergeCell ref="KVV2:KWB2"/>
    <mergeCell ref="KWC2:KWI2"/>
    <mergeCell ref="KWJ2:KWP2"/>
    <mergeCell ref="KWQ2:KWW2"/>
    <mergeCell ref="KWX2:KXD2"/>
    <mergeCell ref="KUM2:KUS2"/>
    <mergeCell ref="KUT2:KUZ2"/>
    <mergeCell ref="KVA2:KVG2"/>
    <mergeCell ref="KVH2:KVN2"/>
    <mergeCell ref="KVO2:KVU2"/>
    <mergeCell ref="KTD2:KTJ2"/>
    <mergeCell ref="KTK2:KTQ2"/>
    <mergeCell ref="KTR2:KTX2"/>
    <mergeCell ref="KTY2:KUE2"/>
    <mergeCell ref="KUF2:KUL2"/>
    <mergeCell ref="KRU2:KSA2"/>
    <mergeCell ref="KSB2:KSH2"/>
    <mergeCell ref="KSI2:KSO2"/>
    <mergeCell ref="KSP2:KSV2"/>
    <mergeCell ref="KSW2:KTC2"/>
    <mergeCell ref="KQL2:KQR2"/>
    <mergeCell ref="KQS2:KQY2"/>
    <mergeCell ref="KQZ2:KRF2"/>
    <mergeCell ref="KRG2:KRM2"/>
    <mergeCell ref="KRN2:KRT2"/>
    <mergeCell ref="KPC2:KPI2"/>
    <mergeCell ref="KPJ2:KPP2"/>
    <mergeCell ref="KPQ2:KPW2"/>
    <mergeCell ref="KPX2:KQD2"/>
    <mergeCell ref="KQE2:KQK2"/>
    <mergeCell ref="KNT2:KNZ2"/>
    <mergeCell ref="KOA2:KOG2"/>
    <mergeCell ref="KOH2:KON2"/>
    <mergeCell ref="KOO2:KOU2"/>
    <mergeCell ref="KOV2:KPB2"/>
    <mergeCell ref="KMK2:KMQ2"/>
    <mergeCell ref="KMR2:KMX2"/>
    <mergeCell ref="KMY2:KNE2"/>
    <mergeCell ref="KNF2:KNL2"/>
    <mergeCell ref="KNM2:KNS2"/>
    <mergeCell ref="KLB2:KLH2"/>
    <mergeCell ref="KLI2:KLO2"/>
    <mergeCell ref="KLP2:KLV2"/>
    <mergeCell ref="KLW2:KMC2"/>
    <mergeCell ref="KMD2:KMJ2"/>
    <mergeCell ref="KJS2:KJY2"/>
    <mergeCell ref="KJZ2:KKF2"/>
    <mergeCell ref="KKG2:KKM2"/>
    <mergeCell ref="KKN2:KKT2"/>
    <mergeCell ref="KKU2:KLA2"/>
    <mergeCell ref="KIJ2:KIP2"/>
    <mergeCell ref="KIQ2:KIW2"/>
    <mergeCell ref="KIX2:KJD2"/>
    <mergeCell ref="KJE2:KJK2"/>
    <mergeCell ref="KJL2:KJR2"/>
    <mergeCell ref="KHA2:KHG2"/>
    <mergeCell ref="KHH2:KHN2"/>
    <mergeCell ref="KHO2:KHU2"/>
    <mergeCell ref="KHV2:KIB2"/>
    <mergeCell ref="KIC2:KII2"/>
    <mergeCell ref="KFR2:KFX2"/>
    <mergeCell ref="KFY2:KGE2"/>
    <mergeCell ref="KGF2:KGL2"/>
    <mergeCell ref="KGM2:KGS2"/>
    <mergeCell ref="KGT2:KGZ2"/>
    <mergeCell ref="KEI2:KEO2"/>
    <mergeCell ref="KEP2:KEV2"/>
    <mergeCell ref="KEW2:KFC2"/>
    <mergeCell ref="KFD2:KFJ2"/>
    <mergeCell ref="KFK2:KFQ2"/>
    <mergeCell ref="KCZ2:KDF2"/>
    <mergeCell ref="KDG2:KDM2"/>
    <mergeCell ref="KDN2:KDT2"/>
    <mergeCell ref="KDU2:KEA2"/>
    <mergeCell ref="KEB2:KEH2"/>
    <mergeCell ref="KBQ2:KBW2"/>
    <mergeCell ref="KBX2:KCD2"/>
    <mergeCell ref="KCE2:KCK2"/>
    <mergeCell ref="KCL2:KCR2"/>
    <mergeCell ref="KCS2:KCY2"/>
    <mergeCell ref="KAH2:KAN2"/>
    <mergeCell ref="KAO2:KAU2"/>
    <mergeCell ref="KAV2:KBB2"/>
    <mergeCell ref="KBC2:KBI2"/>
    <mergeCell ref="KBJ2:KBP2"/>
    <mergeCell ref="JYY2:JZE2"/>
    <mergeCell ref="JZF2:JZL2"/>
    <mergeCell ref="JZM2:JZS2"/>
    <mergeCell ref="JZT2:JZZ2"/>
    <mergeCell ref="KAA2:KAG2"/>
    <mergeCell ref="JXP2:JXV2"/>
    <mergeCell ref="JXW2:JYC2"/>
    <mergeCell ref="JYD2:JYJ2"/>
    <mergeCell ref="JYK2:JYQ2"/>
    <mergeCell ref="JYR2:JYX2"/>
    <mergeCell ref="JWG2:JWM2"/>
    <mergeCell ref="JWN2:JWT2"/>
    <mergeCell ref="JWU2:JXA2"/>
    <mergeCell ref="JXB2:JXH2"/>
    <mergeCell ref="JXI2:JXO2"/>
    <mergeCell ref="JUX2:JVD2"/>
    <mergeCell ref="JVE2:JVK2"/>
    <mergeCell ref="JVL2:JVR2"/>
    <mergeCell ref="JVS2:JVY2"/>
    <mergeCell ref="JVZ2:JWF2"/>
    <mergeCell ref="JTO2:JTU2"/>
    <mergeCell ref="JTV2:JUB2"/>
    <mergeCell ref="JUC2:JUI2"/>
    <mergeCell ref="JUJ2:JUP2"/>
    <mergeCell ref="JUQ2:JUW2"/>
    <mergeCell ref="JSF2:JSL2"/>
    <mergeCell ref="JSM2:JSS2"/>
    <mergeCell ref="JST2:JSZ2"/>
    <mergeCell ref="JTA2:JTG2"/>
    <mergeCell ref="JTH2:JTN2"/>
    <mergeCell ref="JQW2:JRC2"/>
    <mergeCell ref="JRD2:JRJ2"/>
    <mergeCell ref="JRK2:JRQ2"/>
    <mergeCell ref="JRR2:JRX2"/>
    <mergeCell ref="JRY2:JSE2"/>
    <mergeCell ref="JPN2:JPT2"/>
    <mergeCell ref="JPU2:JQA2"/>
    <mergeCell ref="JQB2:JQH2"/>
    <mergeCell ref="JQI2:JQO2"/>
    <mergeCell ref="JQP2:JQV2"/>
    <mergeCell ref="JOE2:JOK2"/>
    <mergeCell ref="JOL2:JOR2"/>
    <mergeCell ref="JOS2:JOY2"/>
    <mergeCell ref="JOZ2:JPF2"/>
    <mergeCell ref="JPG2:JPM2"/>
    <mergeCell ref="JMV2:JNB2"/>
    <mergeCell ref="JNC2:JNI2"/>
    <mergeCell ref="JNJ2:JNP2"/>
    <mergeCell ref="JNQ2:JNW2"/>
    <mergeCell ref="JNX2:JOD2"/>
    <mergeCell ref="JLM2:JLS2"/>
    <mergeCell ref="JLT2:JLZ2"/>
    <mergeCell ref="JMA2:JMG2"/>
    <mergeCell ref="JMH2:JMN2"/>
    <mergeCell ref="JMO2:JMU2"/>
    <mergeCell ref="JKD2:JKJ2"/>
    <mergeCell ref="JKK2:JKQ2"/>
    <mergeCell ref="JKR2:JKX2"/>
    <mergeCell ref="JKY2:JLE2"/>
    <mergeCell ref="JLF2:JLL2"/>
    <mergeCell ref="JIU2:JJA2"/>
    <mergeCell ref="JJB2:JJH2"/>
    <mergeCell ref="JJI2:JJO2"/>
    <mergeCell ref="JJP2:JJV2"/>
    <mergeCell ref="JJW2:JKC2"/>
    <mergeCell ref="JHL2:JHR2"/>
    <mergeCell ref="JHS2:JHY2"/>
    <mergeCell ref="JHZ2:JIF2"/>
    <mergeCell ref="JIG2:JIM2"/>
    <mergeCell ref="JIN2:JIT2"/>
    <mergeCell ref="JGC2:JGI2"/>
    <mergeCell ref="JGJ2:JGP2"/>
    <mergeCell ref="JGQ2:JGW2"/>
    <mergeCell ref="JGX2:JHD2"/>
    <mergeCell ref="JHE2:JHK2"/>
    <mergeCell ref="JET2:JEZ2"/>
    <mergeCell ref="JFA2:JFG2"/>
    <mergeCell ref="JFH2:JFN2"/>
    <mergeCell ref="JFO2:JFU2"/>
    <mergeCell ref="JFV2:JGB2"/>
    <mergeCell ref="JDK2:JDQ2"/>
    <mergeCell ref="JDR2:JDX2"/>
    <mergeCell ref="JDY2:JEE2"/>
    <mergeCell ref="JEF2:JEL2"/>
    <mergeCell ref="JEM2:JES2"/>
    <mergeCell ref="JCB2:JCH2"/>
    <mergeCell ref="JCI2:JCO2"/>
    <mergeCell ref="JCP2:JCV2"/>
    <mergeCell ref="JCW2:JDC2"/>
    <mergeCell ref="JDD2:JDJ2"/>
    <mergeCell ref="JAS2:JAY2"/>
    <mergeCell ref="JAZ2:JBF2"/>
    <mergeCell ref="JBG2:JBM2"/>
    <mergeCell ref="JBN2:JBT2"/>
    <mergeCell ref="JBU2:JCA2"/>
    <mergeCell ref="IZJ2:IZP2"/>
    <mergeCell ref="IZQ2:IZW2"/>
    <mergeCell ref="IZX2:JAD2"/>
    <mergeCell ref="JAE2:JAK2"/>
    <mergeCell ref="JAL2:JAR2"/>
    <mergeCell ref="IYA2:IYG2"/>
    <mergeCell ref="IYH2:IYN2"/>
    <mergeCell ref="IYO2:IYU2"/>
    <mergeCell ref="IYV2:IZB2"/>
    <mergeCell ref="IZC2:IZI2"/>
    <mergeCell ref="IWR2:IWX2"/>
    <mergeCell ref="IWY2:IXE2"/>
    <mergeCell ref="IXF2:IXL2"/>
    <mergeCell ref="IXM2:IXS2"/>
    <mergeCell ref="IXT2:IXZ2"/>
    <mergeCell ref="IVI2:IVO2"/>
    <mergeCell ref="IVP2:IVV2"/>
    <mergeCell ref="IVW2:IWC2"/>
    <mergeCell ref="IWD2:IWJ2"/>
    <mergeCell ref="IWK2:IWQ2"/>
    <mergeCell ref="ITZ2:IUF2"/>
    <mergeCell ref="IUG2:IUM2"/>
    <mergeCell ref="IUN2:IUT2"/>
    <mergeCell ref="IUU2:IVA2"/>
    <mergeCell ref="IVB2:IVH2"/>
    <mergeCell ref="ISQ2:ISW2"/>
    <mergeCell ref="ISX2:ITD2"/>
    <mergeCell ref="ITE2:ITK2"/>
    <mergeCell ref="ITL2:ITR2"/>
    <mergeCell ref="ITS2:ITY2"/>
    <mergeCell ref="IRH2:IRN2"/>
    <mergeCell ref="IRO2:IRU2"/>
    <mergeCell ref="IRV2:ISB2"/>
    <mergeCell ref="ISC2:ISI2"/>
    <mergeCell ref="ISJ2:ISP2"/>
    <mergeCell ref="IPY2:IQE2"/>
    <mergeCell ref="IQF2:IQL2"/>
    <mergeCell ref="IQM2:IQS2"/>
    <mergeCell ref="IQT2:IQZ2"/>
    <mergeCell ref="IRA2:IRG2"/>
    <mergeCell ref="IOP2:IOV2"/>
    <mergeCell ref="IOW2:IPC2"/>
    <mergeCell ref="IPD2:IPJ2"/>
    <mergeCell ref="IPK2:IPQ2"/>
    <mergeCell ref="IPR2:IPX2"/>
    <mergeCell ref="ING2:INM2"/>
    <mergeCell ref="INN2:INT2"/>
    <mergeCell ref="INU2:IOA2"/>
    <mergeCell ref="IOB2:IOH2"/>
    <mergeCell ref="IOI2:IOO2"/>
    <mergeCell ref="ILX2:IMD2"/>
    <mergeCell ref="IME2:IMK2"/>
    <mergeCell ref="IML2:IMR2"/>
    <mergeCell ref="IMS2:IMY2"/>
    <mergeCell ref="IMZ2:INF2"/>
    <mergeCell ref="IKO2:IKU2"/>
    <mergeCell ref="IKV2:ILB2"/>
    <mergeCell ref="ILC2:ILI2"/>
    <mergeCell ref="ILJ2:ILP2"/>
    <mergeCell ref="ILQ2:ILW2"/>
    <mergeCell ref="IJF2:IJL2"/>
    <mergeCell ref="IJM2:IJS2"/>
    <mergeCell ref="IJT2:IJZ2"/>
    <mergeCell ref="IKA2:IKG2"/>
    <mergeCell ref="IKH2:IKN2"/>
    <mergeCell ref="IHW2:IIC2"/>
    <mergeCell ref="IID2:IIJ2"/>
    <mergeCell ref="IIK2:IIQ2"/>
    <mergeCell ref="IIR2:IIX2"/>
    <mergeCell ref="IIY2:IJE2"/>
    <mergeCell ref="IGN2:IGT2"/>
    <mergeCell ref="IGU2:IHA2"/>
    <mergeCell ref="IHB2:IHH2"/>
    <mergeCell ref="IHI2:IHO2"/>
    <mergeCell ref="IHP2:IHV2"/>
    <mergeCell ref="IFE2:IFK2"/>
    <mergeCell ref="IFL2:IFR2"/>
    <mergeCell ref="IFS2:IFY2"/>
    <mergeCell ref="IFZ2:IGF2"/>
    <mergeCell ref="IGG2:IGM2"/>
    <mergeCell ref="IDV2:IEB2"/>
    <mergeCell ref="IEC2:IEI2"/>
    <mergeCell ref="IEJ2:IEP2"/>
    <mergeCell ref="IEQ2:IEW2"/>
    <mergeCell ref="IEX2:IFD2"/>
    <mergeCell ref="ICM2:ICS2"/>
    <mergeCell ref="ICT2:ICZ2"/>
    <mergeCell ref="IDA2:IDG2"/>
    <mergeCell ref="IDH2:IDN2"/>
    <mergeCell ref="IDO2:IDU2"/>
    <mergeCell ref="IBD2:IBJ2"/>
    <mergeCell ref="IBK2:IBQ2"/>
    <mergeCell ref="IBR2:IBX2"/>
    <mergeCell ref="IBY2:ICE2"/>
    <mergeCell ref="ICF2:ICL2"/>
    <mergeCell ref="HZU2:IAA2"/>
    <mergeCell ref="IAB2:IAH2"/>
    <mergeCell ref="IAI2:IAO2"/>
    <mergeCell ref="IAP2:IAV2"/>
    <mergeCell ref="IAW2:IBC2"/>
    <mergeCell ref="HYL2:HYR2"/>
    <mergeCell ref="HYS2:HYY2"/>
    <mergeCell ref="HYZ2:HZF2"/>
    <mergeCell ref="HZG2:HZM2"/>
    <mergeCell ref="HZN2:HZT2"/>
    <mergeCell ref="HXC2:HXI2"/>
    <mergeCell ref="HXJ2:HXP2"/>
    <mergeCell ref="HXQ2:HXW2"/>
    <mergeCell ref="HXX2:HYD2"/>
    <mergeCell ref="HYE2:HYK2"/>
    <mergeCell ref="HVT2:HVZ2"/>
    <mergeCell ref="HWA2:HWG2"/>
    <mergeCell ref="HWH2:HWN2"/>
    <mergeCell ref="HWO2:HWU2"/>
    <mergeCell ref="HWV2:HXB2"/>
    <mergeCell ref="HUK2:HUQ2"/>
    <mergeCell ref="HUR2:HUX2"/>
    <mergeCell ref="HUY2:HVE2"/>
    <mergeCell ref="HVF2:HVL2"/>
    <mergeCell ref="HVM2:HVS2"/>
    <mergeCell ref="HTB2:HTH2"/>
    <mergeCell ref="HTI2:HTO2"/>
    <mergeCell ref="HTP2:HTV2"/>
    <mergeCell ref="HTW2:HUC2"/>
    <mergeCell ref="HUD2:HUJ2"/>
    <mergeCell ref="HRS2:HRY2"/>
    <mergeCell ref="HRZ2:HSF2"/>
    <mergeCell ref="HSG2:HSM2"/>
    <mergeCell ref="HSN2:HST2"/>
    <mergeCell ref="HSU2:HTA2"/>
    <mergeCell ref="HQJ2:HQP2"/>
    <mergeCell ref="HQQ2:HQW2"/>
    <mergeCell ref="HQX2:HRD2"/>
    <mergeCell ref="HRE2:HRK2"/>
    <mergeCell ref="HRL2:HRR2"/>
    <mergeCell ref="HPA2:HPG2"/>
    <mergeCell ref="HPH2:HPN2"/>
    <mergeCell ref="HPO2:HPU2"/>
    <mergeCell ref="HPV2:HQB2"/>
    <mergeCell ref="HQC2:HQI2"/>
    <mergeCell ref="HNR2:HNX2"/>
    <mergeCell ref="HNY2:HOE2"/>
    <mergeCell ref="HOF2:HOL2"/>
    <mergeCell ref="HOM2:HOS2"/>
    <mergeCell ref="HOT2:HOZ2"/>
    <mergeCell ref="HMI2:HMO2"/>
    <mergeCell ref="HMP2:HMV2"/>
    <mergeCell ref="HMW2:HNC2"/>
    <mergeCell ref="HND2:HNJ2"/>
    <mergeCell ref="HNK2:HNQ2"/>
    <mergeCell ref="HKZ2:HLF2"/>
    <mergeCell ref="HLG2:HLM2"/>
    <mergeCell ref="HLN2:HLT2"/>
    <mergeCell ref="HLU2:HMA2"/>
    <mergeCell ref="HMB2:HMH2"/>
    <mergeCell ref="HJQ2:HJW2"/>
    <mergeCell ref="HJX2:HKD2"/>
    <mergeCell ref="HKE2:HKK2"/>
    <mergeCell ref="HKL2:HKR2"/>
    <mergeCell ref="HKS2:HKY2"/>
    <mergeCell ref="HIH2:HIN2"/>
    <mergeCell ref="HIO2:HIU2"/>
    <mergeCell ref="HIV2:HJB2"/>
    <mergeCell ref="HJC2:HJI2"/>
    <mergeCell ref="HJJ2:HJP2"/>
    <mergeCell ref="HGY2:HHE2"/>
    <mergeCell ref="HHF2:HHL2"/>
    <mergeCell ref="HHM2:HHS2"/>
    <mergeCell ref="HHT2:HHZ2"/>
    <mergeCell ref="HIA2:HIG2"/>
    <mergeCell ref="HFP2:HFV2"/>
    <mergeCell ref="HFW2:HGC2"/>
    <mergeCell ref="HGD2:HGJ2"/>
    <mergeCell ref="HGK2:HGQ2"/>
    <mergeCell ref="HGR2:HGX2"/>
    <mergeCell ref="HEG2:HEM2"/>
    <mergeCell ref="HEN2:HET2"/>
    <mergeCell ref="HEU2:HFA2"/>
    <mergeCell ref="HFB2:HFH2"/>
    <mergeCell ref="HFI2:HFO2"/>
    <mergeCell ref="HCX2:HDD2"/>
    <mergeCell ref="HDE2:HDK2"/>
    <mergeCell ref="HDL2:HDR2"/>
    <mergeCell ref="HDS2:HDY2"/>
    <mergeCell ref="HDZ2:HEF2"/>
    <mergeCell ref="HBO2:HBU2"/>
    <mergeCell ref="HBV2:HCB2"/>
    <mergeCell ref="HCC2:HCI2"/>
    <mergeCell ref="HCJ2:HCP2"/>
    <mergeCell ref="HCQ2:HCW2"/>
    <mergeCell ref="HAF2:HAL2"/>
    <mergeCell ref="HAM2:HAS2"/>
    <mergeCell ref="HAT2:HAZ2"/>
    <mergeCell ref="HBA2:HBG2"/>
    <mergeCell ref="HBH2:HBN2"/>
    <mergeCell ref="GYW2:GZC2"/>
    <mergeCell ref="GZD2:GZJ2"/>
    <mergeCell ref="GZK2:GZQ2"/>
    <mergeCell ref="GZR2:GZX2"/>
    <mergeCell ref="GZY2:HAE2"/>
    <mergeCell ref="GXN2:GXT2"/>
    <mergeCell ref="GXU2:GYA2"/>
    <mergeCell ref="GYB2:GYH2"/>
    <mergeCell ref="GYI2:GYO2"/>
    <mergeCell ref="GYP2:GYV2"/>
    <mergeCell ref="GWE2:GWK2"/>
    <mergeCell ref="GWL2:GWR2"/>
    <mergeCell ref="GWS2:GWY2"/>
    <mergeCell ref="GWZ2:GXF2"/>
    <mergeCell ref="GXG2:GXM2"/>
    <mergeCell ref="GUV2:GVB2"/>
    <mergeCell ref="GVC2:GVI2"/>
    <mergeCell ref="GVJ2:GVP2"/>
    <mergeCell ref="GVQ2:GVW2"/>
    <mergeCell ref="GVX2:GWD2"/>
    <mergeCell ref="GTM2:GTS2"/>
    <mergeCell ref="GTT2:GTZ2"/>
    <mergeCell ref="GUA2:GUG2"/>
    <mergeCell ref="GUH2:GUN2"/>
    <mergeCell ref="GUO2:GUU2"/>
    <mergeCell ref="GSD2:GSJ2"/>
    <mergeCell ref="GSK2:GSQ2"/>
    <mergeCell ref="GSR2:GSX2"/>
    <mergeCell ref="GSY2:GTE2"/>
    <mergeCell ref="GTF2:GTL2"/>
    <mergeCell ref="GQU2:GRA2"/>
    <mergeCell ref="GRB2:GRH2"/>
    <mergeCell ref="GRI2:GRO2"/>
    <mergeCell ref="GRP2:GRV2"/>
    <mergeCell ref="GRW2:GSC2"/>
    <mergeCell ref="GPL2:GPR2"/>
    <mergeCell ref="GPS2:GPY2"/>
    <mergeCell ref="GPZ2:GQF2"/>
    <mergeCell ref="GQG2:GQM2"/>
    <mergeCell ref="GQN2:GQT2"/>
    <mergeCell ref="GOC2:GOI2"/>
    <mergeCell ref="GOJ2:GOP2"/>
    <mergeCell ref="GOQ2:GOW2"/>
    <mergeCell ref="GOX2:GPD2"/>
    <mergeCell ref="GPE2:GPK2"/>
    <mergeCell ref="GMT2:GMZ2"/>
    <mergeCell ref="GNA2:GNG2"/>
    <mergeCell ref="GNH2:GNN2"/>
    <mergeCell ref="GNO2:GNU2"/>
    <mergeCell ref="GNV2:GOB2"/>
    <mergeCell ref="GLK2:GLQ2"/>
    <mergeCell ref="GLR2:GLX2"/>
    <mergeCell ref="GLY2:GME2"/>
    <mergeCell ref="GMF2:GML2"/>
    <mergeCell ref="GMM2:GMS2"/>
    <mergeCell ref="GKB2:GKH2"/>
    <mergeCell ref="GKI2:GKO2"/>
    <mergeCell ref="GKP2:GKV2"/>
    <mergeCell ref="GKW2:GLC2"/>
    <mergeCell ref="GLD2:GLJ2"/>
    <mergeCell ref="GIS2:GIY2"/>
    <mergeCell ref="GIZ2:GJF2"/>
    <mergeCell ref="GJG2:GJM2"/>
    <mergeCell ref="GJN2:GJT2"/>
    <mergeCell ref="GJU2:GKA2"/>
    <mergeCell ref="GHJ2:GHP2"/>
    <mergeCell ref="GHQ2:GHW2"/>
    <mergeCell ref="GHX2:GID2"/>
    <mergeCell ref="GIE2:GIK2"/>
    <mergeCell ref="GIL2:GIR2"/>
    <mergeCell ref="GGA2:GGG2"/>
    <mergeCell ref="GGH2:GGN2"/>
    <mergeCell ref="GGO2:GGU2"/>
    <mergeCell ref="GGV2:GHB2"/>
    <mergeCell ref="GHC2:GHI2"/>
    <mergeCell ref="GER2:GEX2"/>
    <mergeCell ref="GEY2:GFE2"/>
    <mergeCell ref="GFF2:GFL2"/>
    <mergeCell ref="GFM2:GFS2"/>
    <mergeCell ref="GFT2:GFZ2"/>
    <mergeCell ref="GDI2:GDO2"/>
    <mergeCell ref="GDP2:GDV2"/>
    <mergeCell ref="GDW2:GEC2"/>
    <mergeCell ref="GED2:GEJ2"/>
    <mergeCell ref="GEK2:GEQ2"/>
    <mergeCell ref="GBZ2:GCF2"/>
    <mergeCell ref="GCG2:GCM2"/>
    <mergeCell ref="GCN2:GCT2"/>
    <mergeCell ref="GCU2:GDA2"/>
    <mergeCell ref="GDB2:GDH2"/>
    <mergeCell ref="GAQ2:GAW2"/>
    <mergeCell ref="GAX2:GBD2"/>
    <mergeCell ref="GBE2:GBK2"/>
    <mergeCell ref="GBL2:GBR2"/>
    <mergeCell ref="GBS2:GBY2"/>
    <mergeCell ref="FZH2:FZN2"/>
    <mergeCell ref="FZO2:FZU2"/>
    <mergeCell ref="FZV2:GAB2"/>
    <mergeCell ref="GAC2:GAI2"/>
    <mergeCell ref="GAJ2:GAP2"/>
    <mergeCell ref="FXY2:FYE2"/>
    <mergeCell ref="FYF2:FYL2"/>
    <mergeCell ref="FYM2:FYS2"/>
    <mergeCell ref="FYT2:FYZ2"/>
    <mergeCell ref="FZA2:FZG2"/>
    <mergeCell ref="FWP2:FWV2"/>
    <mergeCell ref="FWW2:FXC2"/>
    <mergeCell ref="FXD2:FXJ2"/>
    <mergeCell ref="FXK2:FXQ2"/>
    <mergeCell ref="FXR2:FXX2"/>
    <mergeCell ref="FVG2:FVM2"/>
    <mergeCell ref="FVN2:FVT2"/>
    <mergeCell ref="FVU2:FWA2"/>
    <mergeCell ref="FWB2:FWH2"/>
    <mergeCell ref="FWI2:FWO2"/>
    <mergeCell ref="FTX2:FUD2"/>
    <mergeCell ref="FUE2:FUK2"/>
    <mergeCell ref="FUL2:FUR2"/>
    <mergeCell ref="FUS2:FUY2"/>
    <mergeCell ref="FUZ2:FVF2"/>
    <mergeCell ref="FSO2:FSU2"/>
    <mergeCell ref="FSV2:FTB2"/>
    <mergeCell ref="FTC2:FTI2"/>
    <mergeCell ref="FTJ2:FTP2"/>
    <mergeCell ref="FTQ2:FTW2"/>
    <mergeCell ref="FRF2:FRL2"/>
    <mergeCell ref="FRM2:FRS2"/>
    <mergeCell ref="FRT2:FRZ2"/>
    <mergeCell ref="FSA2:FSG2"/>
    <mergeCell ref="FSH2:FSN2"/>
    <mergeCell ref="FPW2:FQC2"/>
    <mergeCell ref="FQD2:FQJ2"/>
    <mergeCell ref="FQK2:FQQ2"/>
    <mergeCell ref="FQR2:FQX2"/>
    <mergeCell ref="FQY2:FRE2"/>
    <mergeCell ref="FON2:FOT2"/>
    <mergeCell ref="FOU2:FPA2"/>
    <mergeCell ref="FPB2:FPH2"/>
    <mergeCell ref="FPI2:FPO2"/>
    <mergeCell ref="FPP2:FPV2"/>
    <mergeCell ref="FNE2:FNK2"/>
    <mergeCell ref="FNL2:FNR2"/>
    <mergeCell ref="FNS2:FNY2"/>
    <mergeCell ref="FNZ2:FOF2"/>
    <mergeCell ref="FOG2:FOM2"/>
    <mergeCell ref="FLV2:FMB2"/>
    <mergeCell ref="FMC2:FMI2"/>
    <mergeCell ref="FMJ2:FMP2"/>
    <mergeCell ref="FMQ2:FMW2"/>
    <mergeCell ref="FMX2:FND2"/>
    <mergeCell ref="FKM2:FKS2"/>
    <mergeCell ref="FKT2:FKZ2"/>
    <mergeCell ref="FLA2:FLG2"/>
    <mergeCell ref="FLH2:FLN2"/>
    <mergeCell ref="FLO2:FLU2"/>
    <mergeCell ref="FJD2:FJJ2"/>
    <mergeCell ref="FJK2:FJQ2"/>
    <mergeCell ref="FJR2:FJX2"/>
    <mergeCell ref="FJY2:FKE2"/>
    <mergeCell ref="FKF2:FKL2"/>
    <mergeCell ref="FHU2:FIA2"/>
    <mergeCell ref="FIB2:FIH2"/>
    <mergeCell ref="FII2:FIO2"/>
    <mergeCell ref="FIP2:FIV2"/>
    <mergeCell ref="FIW2:FJC2"/>
    <mergeCell ref="FGL2:FGR2"/>
    <mergeCell ref="FGS2:FGY2"/>
    <mergeCell ref="FGZ2:FHF2"/>
    <mergeCell ref="FHG2:FHM2"/>
    <mergeCell ref="FHN2:FHT2"/>
    <mergeCell ref="FFC2:FFI2"/>
    <mergeCell ref="FFJ2:FFP2"/>
    <mergeCell ref="FFQ2:FFW2"/>
    <mergeCell ref="FFX2:FGD2"/>
    <mergeCell ref="FGE2:FGK2"/>
    <mergeCell ref="FDT2:FDZ2"/>
    <mergeCell ref="FEA2:FEG2"/>
    <mergeCell ref="FEH2:FEN2"/>
    <mergeCell ref="FEO2:FEU2"/>
    <mergeCell ref="FEV2:FFB2"/>
    <mergeCell ref="FCK2:FCQ2"/>
    <mergeCell ref="FCR2:FCX2"/>
    <mergeCell ref="FCY2:FDE2"/>
    <mergeCell ref="FDF2:FDL2"/>
    <mergeCell ref="FDM2:FDS2"/>
    <mergeCell ref="FBB2:FBH2"/>
    <mergeCell ref="FBI2:FBO2"/>
    <mergeCell ref="FBP2:FBV2"/>
    <mergeCell ref="FBW2:FCC2"/>
    <mergeCell ref="FCD2:FCJ2"/>
    <mergeCell ref="EZS2:EZY2"/>
    <mergeCell ref="EZZ2:FAF2"/>
    <mergeCell ref="FAG2:FAM2"/>
    <mergeCell ref="FAN2:FAT2"/>
    <mergeCell ref="FAU2:FBA2"/>
    <mergeCell ref="EYJ2:EYP2"/>
    <mergeCell ref="EYQ2:EYW2"/>
    <mergeCell ref="EYX2:EZD2"/>
    <mergeCell ref="EZE2:EZK2"/>
    <mergeCell ref="EZL2:EZR2"/>
    <mergeCell ref="EXA2:EXG2"/>
    <mergeCell ref="EXH2:EXN2"/>
    <mergeCell ref="EXO2:EXU2"/>
    <mergeCell ref="EXV2:EYB2"/>
    <mergeCell ref="EYC2:EYI2"/>
    <mergeCell ref="EVR2:EVX2"/>
    <mergeCell ref="EVY2:EWE2"/>
    <mergeCell ref="EWF2:EWL2"/>
    <mergeCell ref="EWM2:EWS2"/>
    <mergeCell ref="EWT2:EWZ2"/>
    <mergeCell ref="EUI2:EUO2"/>
    <mergeCell ref="EUP2:EUV2"/>
    <mergeCell ref="EUW2:EVC2"/>
    <mergeCell ref="EVD2:EVJ2"/>
    <mergeCell ref="EVK2:EVQ2"/>
    <mergeCell ref="ESZ2:ETF2"/>
    <mergeCell ref="ETG2:ETM2"/>
    <mergeCell ref="ETN2:ETT2"/>
    <mergeCell ref="ETU2:EUA2"/>
    <mergeCell ref="EUB2:EUH2"/>
    <mergeCell ref="ERQ2:ERW2"/>
    <mergeCell ref="ERX2:ESD2"/>
    <mergeCell ref="ESE2:ESK2"/>
    <mergeCell ref="ESL2:ESR2"/>
    <mergeCell ref="ESS2:ESY2"/>
    <mergeCell ref="EQH2:EQN2"/>
    <mergeCell ref="EQO2:EQU2"/>
    <mergeCell ref="EQV2:ERB2"/>
    <mergeCell ref="ERC2:ERI2"/>
    <mergeCell ref="ERJ2:ERP2"/>
    <mergeCell ref="EOY2:EPE2"/>
    <mergeCell ref="EPF2:EPL2"/>
    <mergeCell ref="EPM2:EPS2"/>
    <mergeCell ref="EPT2:EPZ2"/>
    <mergeCell ref="EQA2:EQG2"/>
    <mergeCell ref="ENP2:ENV2"/>
    <mergeCell ref="ENW2:EOC2"/>
    <mergeCell ref="EOD2:EOJ2"/>
    <mergeCell ref="EOK2:EOQ2"/>
    <mergeCell ref="EOR2:EOX2"/>
    <mergeCell ref="EMG2:EMM2"/>
    <mergeCell ref="EMN2:EMT2"/>
    <mergeCell ref="EMU2:ENA2"/>
    <mergeCell ref="ENB2:ENH2"/>
    <mergeCell ref="ENI2:ENO2"/>
    <mergeCell ref="EKX2:ELD2"/>
    <mergeCell ref="ELE2:ELK2"/>
    <mergeCell ref="ELL2:ELR2"/>
    <mergeCell ref="ELS2:ELY2"/>
    <mergeCell ref="ELZ2:EMF2"/>
    <mergeCell ref="EJO2:EJU2"/>
    <mergeCell ref="EJV2:EKB2"/>
    <mergeCell ref="EKC2:EKI2"/>
    <mergeCell ref="EKJ2:EKP2"/>
    <mergeCell ref="EKQ2:EKW2"/>
    <mergeCell ref="EIF2:EIL2"/>
    <mergeCell ref="EIM2:EIS2"/>
    <mergeCell ref="EIT2:EIZ2"/>
    <mergeCell ref="EJA2:EJG2"/>
    <mergeCell ref="EJH2:EJN2"/>
    <mergeCell ref="EGW2:EHC2"/>
    <mergeCell ref="EHD2:EHJ2"/>
    <mergeCell ref="EHK2:EHQ2"/>
    <mergeCell ref="EHR2:EHX2"/>
    <mergeCell ref="EHY2:EIE2"/>
    <mergeCell ref="EFN2:EFT2"/>
    <mergeCell ref="EFU2:EGA2"/>
    <mergeCell ref="EGB2:EGH2"/>
    <mergeCell ref="EGI2:EGO2"/>
    <mergeCell ref="EGP2:EGV2"/>
    <mergeCell ref="EEE2:EEK2"/>
    <mergeCell ref="EEL2:EER2"/>
    <mergeCell ref="EES2:EEY2"/>
    <mergeCell ref="EEZ2:EFF2"/>
    <mergeCell ref="EFG2:EFM2"/>
    <mergeCell ref="ECV2:EDB2"/>
    <mergeCell ref="EDC2:EDI2"/>
    <mergeCell ref="EDJ2:EDP2"/>
    <mergeCell ref="EDQ2:EDW2"/>
    <mergeCell ref="EDX2:EED2"/>
    <mergeCell ref="EBM2:EBS2"/>
    <mergeCell ref="EBT2:EBZ2"/>
    <mergeCell ref="ECA2:ECG2"/>
    <mergeCell ref="ECH2:ECN2"/>
    <mergeCell ref="ECO2:ECU2"/>
    <mergeCell ref="EAD2:EAJ2"/>
    <mergeCell ref="EAK2:EAQ2"/>
    <mergeCell ref="EAR2:EAX2"/>
    <mergeCell ref="EAY2:EBE2"/>
    <mergeCell ref="EBF2:EBL2"/>
    <mergeCell ref="DYU2:DZA2"/>
    <mergeCell ref="DZB2:DZH2"/>
    <mergeCell ref="DZI2:DZO2"/>
    <mergeCell ref="DZP2:DZV2"/>
    <mergeCell ref="DZW2:EAC2"/>
    <mergeCell ref="DXL2:DXR2"/>
    <mergeCell ref="DXS2:DXY2"/>
    <mergeCell ref="DXZ2:DYF2"/>
    <mergeCell ref="DYG2:DYM2"/>
    <mergeCell ref="DYN2:DYT2"/>
    <mergeCell ref="DWC2:DWI2"/>
    <mergeCell ref="DWJ2:DWP2"/>
    <mergeCell ref="DWQ2:DWW2"/>
    <mergeCell ref="DWX2:DXD2"/>
    <mergeCell ref="DXE2:DXK2"/>
    <mergeCell ref="DUT2:DUZ2"/>
    <mergeCell ref="DVA2:DVG2"/>
    <mergeCell ref="DVH2:DVN2"/>
    <mergeCell ref="DVO2:DVU2"/>
    <mergeCell ref="DVV2:DWB2"/>
    <mergeCell ref="DTK2:DTQ2"/>
    <mergeCell ref="DTR2:DTX2"/>
    <mergeCell ref="DTY2:DUE2"/>
    <mergeCell ref="DUF2:DUL2"/>
    <mergeCell ref="DUM2:DUS2"/>
    <mergeCell ref="DSB2:DSH2"/>
    <mergeCell ref="DSI2:DSO2"/>
    <mergeCell ref="DSP2:DSV2"/>
    <mergeCell ref="DSW2:DTC2"/>
    <mergeCell ref="DTD2:DTJ2"/>
    <mergeCell ref="DQS2:DQY2"/>
    <mergeCell ref="DQZ2:DRF2"/>
    <mergeCell ref="DRG2:DRM2"/>
    <mergeCell ref="DRN2:DRT2"/>
    <mergeCell ref="DRU2:DSA2"/>
    <mergeCell ref="DPJ2:DPP2"/>
    <mergeCell ref="DPQ2:DPW2"/>
    <mergeCell ref="DPX2:DQD2"/>
    <mergeCell ref="DQE2:DQK2"/>
    <mergeCell ref="DQL2:DQR2"/>
    <mergeCell ref="DOA2:DOG2"/>
    <mergeCell ref="DOH2:DON2"/>
    <mergeCell ref="DOO2:DOU2"/>
    <mergeCell ref="DOV2:DPB2"/>
    <mergeCell ref="DPC2:DPI2"/>
    <mergeCell ref="DMR2:DMX2"/>
    <mergeCell ref="DMY2:DNE2"/>
    <mergeCell ref="DNF2:DNL2"/>
    <mergeCell ref="DNM2:DNS2"/>
    <mergeCell ref="DNT2:DNZ2"/>
    <mergeCell ref="DLI2:DLO2"/>
    <mergeCell ref="DLP2:DLV2"/>
    <mergeCell ref="DLW2:DMC2"/>
    <mergeCell ref="DMD2:DMJ2"/>
    <mergeCell ref="DMK2:DMQ2"/>
    <mergeCell ref="DJZ2:DKF2"/>
    <mergeCell ref="DKG2:DKM2"/>
    <mergeCell ref="DKN2:DKT2"/>
    <mergeCell ref="DKU2:DLA2"/>
    <mergeCell ref="DLB2:DLH2"/>
    <mergeCell ref="DIQ2:DIW2"/>
    <mergeCell ref="DIX2:DJD2"/>
    <mergeCell ref="DJE2:DJK2"/>
    <mergeCell ref="DJL2:DJR2"/>
    <mergeCell ref="DJS2:DJY2"/>
    <mergeCell ref="DHH2:DHN2"/>
    <mergeCell ref="DHO2:DHU2"/>
    <mergeCell ref="DHV2:DIB2"/>
    <mergeCell ref="DIC2:DII2"/>
    <mergeCell ref="DIJ2:DIP2"/>
    <mergeCell ref="DFY2:DGE2"/>
    <mergeCell ref="DGF2:DGL2"/>
    <mergeCell ref="DGM2:DGS2"/>
    <mergeCell ref="DGT2:DGZ2"/>
    <mergeCell ref="DHA2:DHG2"/>
    <mergeCell ref="DEP2:DEV2"/>
    <mergeCell ref="DEW2:DFC2"/>
    <mergeCell ref="DFD2:DFJ2"/>
    <mergeCell ref="DFK2:DFQ2"/>
    <mergeCell ref="DFR2:DFX2"/>
    <mergeCell ref="DDG2:DDM2"/>
    <mergeCell ref="DDN2:DDT2"/>
    <mergeCell ref="DDU2:DEA2"/>
    <mergeCell ref="DEB2:DEH2"/>
    <mergeCell ref="DEI2:DEO2"/>
    <mergeCell ref="DBX2:DCD2"/>
    <mergeCell ref="DCE2:DCK2"/>
    <mergeCell ref="DCL2:DCR2"/>
    <mergeCell ref="DCS2:DCY2"/>
    <mergeCell ref="DCZ2:DDF2"/>
    <mergeCell ref="DAO2:DAU2"/>
    <mergeCell ref="DAV2:DBB2"/>
    <mergeCell ref="DBC2:DBI2"/>
    <mergeCell ref="DBJ2:DBP2"/>
    <mergeCell ref="DBQ2:DBW2"/>
    <mergeCell ref="CZF2:CZL2"/>
    <mergeCell ref="CZM2:CZS2"/>
    <mergeCell ref="CZT2:CZZ2"/>
    <mergeCell ref="DAA2:DAG2"/>
    <mergeCell ref="DAH2:DAN2"/>
    <mergeCell ref="CXW2:CYC2"/>
    <mergeCell ref="CYD2:CYJ2"/>
    <mergeCell ref="CYK2:CYQ2"/>
    <mergeCell ref="CYR2:CYX2"/>
    <mergeCell ref="CYY2:CZE2"/>
    <mergeCell ref="CWN2:CWT2"/>
    <mergeCell ref="CWU2:CXA2"/>
    <mergeCell ref="CXB2:CXH2"/>
    <mergeCell ref="CXI2:CXO2"/>
    <mergeCell ref="CXP2:CXV2"/>
    <mergeCell ref="CVE2:CVK2"/>
    <mergeCell ref="CVL2:CVR2"/>
    <mergeCell ref="CVS2:CVY2"/>
    <mergeCell ref="CVZ2:CWF2"/>
    <mergeCell ref="CWG2:CWM2"/>
    <mergeCell ref="CTV2:CUB2"/>
    <mergeCell ref="CUC2:CUI2"/>
    <mergeCell ref="CUJ2:CUP2"/>
    <mergeCell ref="CUQ2:CUW2"/>
    <mergeCell ref="CUX2:CVD2"/>
    <mergeCell ref="CSM2:CSS2"/>
    <mergeCell ref="CST2:CSZ2"/>
    <mergeCell ref="CTA2:CTG2"/>
    <mergeCell ref="CTH2:CTN2"/>
    <mergeCell ref="CTO2:CTU2"/>
    <mergeCell ref="CRD2:CRJ2"/>
    <mergeCell ref="CRK2:CRQ2"/>
    <mergeCell ref="CRR2:CRX2"/>
    <mergeCell ref="CRY2:CSE2"/>
    <mergeCell ref="CSF2:CSL2"/>
    <mergeCell ref="CPU2:CQA2"/>
    <mergeCell ref="CQB2:CQH2"/>
    <mergeCell ref="CQI2:CQO2"/>
    <mergeCell ref="CQP2:CQV2"/>
    <mergeCell ref="CQW2:CRC2"/>
    <mergeCell ref="COL2:COR2"/>
    <mergeCell ref="COS2:COY2"/>
    <mergeCell ref="COZ2:CPF2"/>
    <mergeCell ref="CPG2:CPM2"/>
    <mergeCell ref="CPN2:CPT2"/>
    <mergeCell ref="CNC2:CNI2"/>
    <mergeCell ref="CNJ2:CNP2"/>
    <mergeCell ref="CNQ2:CNW2"/>
    <mergeCell ref="CNX2:COD2"/>
    <mergeCell ref="COE2:COK2"/>
    <mergeCell ref="CLT2:CLZ2"/>
    <mergeCell ref="CMA2:CMG2"/>
    <mergeCell ref="CMH2:CMN2"/>
    <mergeCell ref="CMO2:CMU2"/>
    <mergeCell ref="CMV2:CNB2"/>
    <mergeCell ref="CKK2:CKQ2"/>
    <mergeCell ref="CKR2:CKX2"/>
    <mergeCell ref="CKY2:CLE2"/>
    <mergeCell ref="CLF2:CLL2"/>
    <mergeCell ref="CLM2:CLS2"/>
    <mergeCell ref="CJB2:CJH2"/>
    <mergeCell ref="CJI2:CJO2"/>
    <mergeCell ref="CJP2:CJV2"/>
    <mergeCell ref="CJW2:CKC2"/>
    <mergeCell ref="CKD2:CKJ2"/>
    <mergeCell ref="CHS2:CHY2"/>
    <mergeCell ref="CHZ2:CIF2"/>
    <mergeCell ref="CIG2:CIM2"/>
    <mergeCell ref="CIN2:CIT2"/>
    <mergeCell ref="CIU2:CJA2"/>
    <mergeCell ref="CGJ2:CGP2"/>
    <mergeCell ref="CGQ2:CGW2"/>
    <mergeCell ref="CGX2:CHD2"/>
    <mergeCell ref="CHE2:CHK2"/>
    <mergeCell ref="CHL2:CHR2"/>
    <mergeCell ref="CFA2:CFG2"/>
    <mergeCell ref="CFH2:CFN2"/>
    <mergeCell ref="CFO2:CFU2"/>
    <mergeCell ref="CFV2:CGB2"/>
    <mergeCell ref="CGC2:CGI2"/>
    <mergeCell ref="CDR2:CDX2"/>
    <mergeCell ref="CDY2:CEE2"/>
    <mergeCell ref="CEF2:CEL2"/>
    <mergeCell ref="CEM2:CES2"/>
    <mergeCell ref="CET2:CEZ2"/>
    <mergeCell ref="CCI2:CCO2"/>
    <mergeCell ref="CCP2:CCV2"/>
    <mergeCell ref="CCW2:CDC2"/>
    <mergeCell ref="CDD2:CDJ2"/>
    <mergeCell ref="CDK2:CDQ2"/>
    <mergeCell ref="CAZ2:CBF2"/>
    <mergeCell ref="CBG2:CBM2"/>
    <mergeCell ref="CBN2:CBT2"/>
    <mergeCell ref="CBU2:CCA2"/>
    <mergeCell ref="CCB2:CCH2"/>
    <mergeCell ref="BZQ2:BZW2"/>
    <mergeCell ref="BZX2:CAD2"/>
    <mergeCell ref="CAE2:CAK2"/>
    <mergeCell ref="CAL2:CAR2"/>
    <mergeCell ref="CAS2:CAY2"/>
    <mergeCell ref="BYH2:BYN2"/>
    <mergeCell ref="BYO2:BYU2"/>
    <mergeCell ref="BYV2:BZB2"/>
    <mergeCell ref="BZC2:BZI2"/>
    <mergeCell ref="BZJ2:BZP2"/>
    <mergeCell ref="BWY2:BXE2"/>
    <mergeCell ref="BXF2:BXL2"/>
    <mergeCell ref="BXM2:BXS2"/>
    <mergeCell ref="BXT2:BXZ2"/>
    <mergeCell ref="BYA2:BYG2"/>
    <mergeCell ref="BVP2:BVV2"/>
    <mergeCell ref="BVW2:BWC2"/>
    <mergeCell ref="BWD2:BWJ2"/>
    <mergeCell ref="BWK2:BWQ2"/>
    <mergeCell ref="BWR2:BWX2"/>
    <mergeCell ref="BUG2:BUM2"/>
    <mergeCell ref="BUN2:BUT2"/>
    <mergeCell ref="BUU2:BVA2"/>
    <mergeCell ref="BVB2:BVH2"/>
    <mergeCell ref="BVI2:BVO2"/>
    <mergeCell ref="BSX2:BTD2"/>
    <mergeCell ref="BTE2:BTK2"/>
    <mergeCell ref="BTL2:BTR2"/>
    <mergeCell ref="BTS2:BTY2"/>
    <mergeCell ref="BTZ2:BUF2"/>
    <mergeCell ref="BRO2:BRU2"/>
    <mergeCell ref="BRV2:BSB2"/>
    <mergeCell ref="BSC2:BSI2"/>
    <mergeCell ref="BSJ2:BSP2"/>
    <mergeCell ref="BSQ2:BSW2"/>
    <mergeCell ref="BQF2:BQL2"/>
    <mergeCell ref="BQM2:BQS2"/>
    <mergeCell ref="BQT2:BQZ2"/>
    <mergeCell ref="BRA2:BRG2"/>
    <mergeCell ref="BRH2:BRN2"/>
    <mergeCell ref="BOW2:BPC2"/>
    <mergeCell ref="BPD2:BPJ2"/>
    <mergeCell ref="BPK2:BPQ2"/>
    <mergeCell ref="BPR2:BPX2"/>
    <mergeCell ref="BPY2:BQE2"/>
    <mergeCell ref="BNN2:BNT2"/>
    <mergeCell ref="BNU2:BOA2"/>
    <mergeCell ref="BOB2:BOH2"/>
    <mergeCell ref="BOI2:BOO2"/>
    <mergeCell ref="BOP2:BOV2"/>
    <mergeCell ref="BME2:BMK2"/>
    <mergeCell ref="BML2:BMR2"/>
    <mergeCell ref="BMS2:BMY2"/>
    <mergeCell ref="BMZ2:BNF2"/>
    <mergeCell ref="BNG2:BNM2"/>
    <mergeCell ref="BKV2:BLB2"/>
    <mergeCell ref="BLC2:BLI2"/>
    <mergeCell ref="BLJ2:BLP2"/>
    <mergeCell ref="BLQ2:BLW2"/>
    <mergeCell ref="BLX2:BMD2"/>
    <mergeCell ref="BJM2:BJS2"/>
    <mergeCell ref="BJT2:BJZ2"/>
    <mergeCell ref="BKA2:BKG2"/>
    <mergeCell ref="BKH2:BKN2"/>
    <mergeCell ref="BKO2:BKU2"/>
    <mergeCell ref="BID2:BIJ2"/>
    <mergeCell ref="BIK2:BIQ2"/>
    <mergeCell ref="BIR2:BIX2"/>
    <mergeCell ref="BIY2:BJE2"/>
    <mergeCell ref="BJF2:BJL2"/>
    <mergeCell ref="BGU2:BHA2"/>
    <mergeCell ref="BHB2:BHH2"/>
    <mergeCell ref="BHI2:BHO2"/>
    <mergeCell ref="BHP2:BHV2"/>
    <mergeCell ref="BHW2:BIC2"/>
    <mergeCell ref="BFL2:BFR2"/>
    <mergeCell ref="BFS2:BFY2"/>
    <mergeCell ref="BFZ2:BGF2"/>
    <mergeCell ref="BGG2:BGM2"/>
    <mergeCell ref="BGN2:BGT2"/>
    <mergeCell ref="BEC2:BEI2"/>
    <mergeCell ref="BEJ2:BEP2"/>
    <mergeCell ref="BEQ2:BEW2"/>
    <mergeCell ref="BEX2:BFD2"/>
    <mergeCell ref="BFE2:BFK2"/>
    <mergeCell ref="BCT2:BCZ2"/>
    <mergeCell ref="BDA2:BDG2"/>
    <mergeCell ref="BDH2:BDN2"/>
    <mergeCell ref="BDO2:BDU2"/>
    <mergeCell ref="BDV2:BEB2"/>
    <mergeCell ref="BBK2:BBQ2"/>
    <mergeCell ref="BBR2:BBX2"/>
    <mergeCell ref="BBY2:BCE2"/>
    <mergeCell ref="BCF2:BCL2"/>
    <mergeCell ref="BCM2:BCS2"/>
    <mergeCell ref="BAB2:BAH2"/>
    <mergeCell ref="BAI2:BAO2"/>
    <mergeCell ref="BAP2:BAV2"/>
    <mergeCell ref="BAW2:BBC2"/>
    <mergeCell ref="BBD2:BBJ2"/>
    <mergeCell ref="AYS2:AYY2"/>
    <mergeCell ref="AYZ2:AZF2"/>
    <mergeCell ref="AZG2:AZM2"/>
    <mergeCell ref="AZN2:AZT2"/>
    <mergeCell ref="AZU2:BAA2"/>
    <mergeCell ref="AXJ2:AXP2"/>
    <mergeCell ref="AXQ2:AXW2"/>
    <mergeCell ref="AXX2:AYD2"/>
    <mergeCell ref="AYE2:AYK2"/>
    <mergeCell ref="AYL2:AYR2"/>
    <mergeCell ref="AWA2:AWG2"/>
    <mergeCell ref="AWH2:AWN2"/>
    <mergeCell ref="AWO2:AWU2"/>
    <mergeCell ref="AWV2:AXB2"/>
    <mergeCell ref="AXC2:AXI2"/>
    <mergeCell ref="AUR2:AUX2"/>
    <mergeCell ref="AUY2:AVE2"/>
    <mergeCell ref="AVF2:AVL2"/>
    <mergeCell ref="AVM2:AVS2"/>
    <mergeCell ref="AVT2:AVZ2"/>
    <mergeCell ref="ATI2:ATO2"/>
    <mergeCell ref="ATP2:ATV2"/>
    <mergeCell ref="ATW2:AUC2"/>
    <mergeCell ref="AUD2:AUJ2"/>
    <mergeCell ref="AUK2:AUQ2"/>
    <mergeCell ref="ARZ2:ASF2"/>
    <mergeCell ref="ASG2:ASM2"/>
    <mergeCell ref="ASN2:AST2"/>
    <mergeCell ref="ASU2:ATA2"/>
    <mergeCell ref="ATB2:ATH2"/>
    <mergeCell ref="AQQ2:AQW2"/>
    <mergeCell ref="AQX2:ARD2"/>
    <mergeCell ref="ARE2:ARK2"/>
    <mergeCell ref="ARL2:ARR2"/>
    <mergeCell ref="ARS2:ARY2"/>
    <mergeCell ref="APH2:APN2"/>
    <mergeCell ref="APO2:APU2"/>
    <mergeCell ref="APV2:AQB2"/>
    <mergeCell ref="AQC2:AQI2"/>
    <mergeCell ref="AQJ2:AQP2"/>
    <mergeCell ref="ANY2:AOE2"/>
    <mergeCell ref="AOF2:AOL2"/>
    <mergeCell ref="AOM2:AOS2"/>
    <mergeCell ref="AOT2:AOZ2"/>
    <mergeCell ref="APA2:APG2"/>
    <mergeCell ref="AMP2:AMV2"/>
    <mergeCell ref="AMW2:ANC2"/>
    <mergeCell ref="AND2:ANJ2"/>
    <mergeCell ref="ANK2:ANQ2"/>
    <mergeCell ref="ANR2:ANX2"/>
    <mergeCell ref="ALG2:ALM2"/>
    <mergeCell ref="ALN2:ALT2"/>
    <mergeCell ref="ALU2:AMA2"/>
    <mergeCell ref="AMB2:AMH2"/>
    <mergeCell ref="AMI2:AMO2"/>
    <mergeCell ref="AJX2:AKD2"/>
    <mergeCell ref="AKE2:AKK2"/>
    <mergeCell ref="AKL2:AKR2"/>
    <mergeCell ref="AKS2:AKY2"/>
    <mergeCell ref="AKZ2:ALF2"/>
    <mergeCell ref="AIO2:AIU2"/>
    <mergeCell ref="AIV2:AJB2"/>
    <mergeCell ref="AJC2:AJI2"/>
    <mergeCell ref="AJJ2:AJP2"/>
    <mergeCell ref="AJQ2:AJW2"/>
    <mergeCell ref="AHF2:AHL2"/>
    <mergeCell ref="AHM2:AHS2"/>
    <mergeCell ref="AHT2:AHZ2"/>
    <mergeCell ref="AIA2:AIG2"/>
    <mergeCell ref="AIH2:AIN2"/>
    <mergeCell ref="AFW2:AGC2"/>
    <mergeCell ref="AGD2:AGJ2"/>
    <mergeCell ref="AGK2:AGQ2"/>
    <mergeCell ref="AGR2:AGX2"/>
    <mergeCell ref="AGY2:AHE2"/>
    <mergeCell ref="AEN2:AET2"/>
    <mergeCell ref="AEU2:AFA2"/>
    <mergeCell ref="AFB2:AFH2"/>
    <mergeCell ref="AFI2:AFO2"/>
    <mergeCell ref="AFP2:AFV2"/>
    <mergeCell ref="ADE2:ADK2"/>
    <mergeCell ref="ADL2:ADR2"/>
    <mergeCell ref="ADS2:ADY2"/>
    <mergeCell ref="ADZ2:AEF2"/>
    <mergeCell ref="AEG2:AEM2"/>
    <mergeCell ref="ABV2:ACB2"/>
    <mergeCell ref="ACC2:ACI2"/>
    <mergeCell ref="ACJ2:ACP2"/>
    <mergeCell ref="ACQ2:ACW2"/>
    <mergeCell ref="ACX2:ADD2"/>
    <mergeCell ref="AAM2:AAS2"/>
    <mergeCell ref="AAT2:AAZ2"/>
    <mergeCell ref="ABA2:ABG2"/>
    <mergeCell ref="ABH2:ABN2"/>
    <mergeCell ref="ABO2:ABU2"/>
    <mergeCell ref="ZD2:ZJ2"/>
    <mergeCell ref="ZK2:ZQ2"/>
    <mergeCell ref="ZR2:ZX2"/>
    <mergeCell ref="ZY2:AAE2"/>
    <mergeCell ref="AAF2:AAL2"/>
    <mergeCell ref="XU2:YA2"/>
    <mergeCell ref="YB2:YH2"/>
    <mergeCell ref="YI2:YO2"/>
    <mergeCell ref="YP2:YV2"/>
    <mergeCell ref="YW2:ZC2"/>
    <mergeCell ref="WL2:WR2"/>
    <mergeCell ref="WS2:WY2"/>
    <mergeCell ref="WZ2:XF2"/>
    <mergeCell ref="XG2:XM2"/>
    <mergeCell ref="XN2:XT2"/>
    <mergeCell ref="VC2:VI2"/>
    <mergeCell ref="VJ2:VP2"/>
    <mergeCell ref="VQ2:VW2"/>
    <mergeCell ref="VX2:WD2"/>
    <mergeCell ref="WE2:WK2"/>
    <mergeCell ref="TT2:TZ2"/>
    <mergeCell ref="UA2:UG2"/>
    <mergeCell ref="UH2:UN2"/>
    <mergeCell ref="UO2:UU2"/>
    <mergeCell ref="UV2:VB2"/>
    <mergeCell ref="SK2:SQ2"/>
    <mergeCell ref="SR2:SX2"/>
    <mergeCell ref="SY2:TE2"/>
    <mergeCell ref="TF2:TL2"/>
    <mergeCell ref="TM2:TS2"/>
    <mergeCell ref="RB2:RH2"/>
    <mergeCell ref="RI2:RO2"/>
    <mergeCell ref="RP2:RV2"/>
    <mergeCell ref="RW2:SC2"/>
    <mergeCell ref="SD2:SJ2"/>
    <mergeCell ref="PS2:PY2"/>
    <mergeCell ref="PZ2:QF2"/>
    <mergeCell ref="QG2:QM2"/>
    <mergeCell ref="QN2:QT2"/>
    <mergeCell ref="QU2:RA2"/>
    <mergeCell ref="OJ2:OP2"/>
    <mergeCell ref="OQ2:OW2"/>
    <mergeCell ref="OX2:PD2"/>
    <mergeCell ref="PE2:PK2"/>
    <mergeCell ref="PL2:PR2"/>
    <mergeCell ref="NA2:NG2"/>
    <mergeCell ref="NH2:NN2"/>
    <mergeCell ref="NO2:NU2"/>
    <mergeCell ref="NV2:OB2"/>
    <mergeCell ref="OC2:OI2"/>
    <mergeCell ref="LR2:LX2"/>
    <mergeCell ref="LY2:ME2"/>
    <mergeCell ref="MF2:ML2"/>
    <mergeCell ref="MM2:MS2"/>
    <mergeCell ref="MT2:MZ2"/>
    <mergeCell ref="KI2:KO2"/>
    <mergeCell ref="KP2:KV2"/>
    <mergeCell ref="KW2:LC2"/>
    <mergeCell ref="LD2:LJ2"/>
    <mergeCell ref="LK2:LQ2"/>
    <mergeCell ref="IZ2:JF2"/>
    <mergeCell ref="JG2:JM2"/>
    <mergeCell ref="JN2:JT2"/>
    <mergeCell ref="JU2:KA2"/>
    <mergeCell ref="KB2:KH2"/>
    <mergeCell ref="HQ2:HW2"/>
    <mergeCell ref="HX2:ID2"/>
    <mergeCell ref="IE2:IK2"/>
    <mergeCell ref="IL2:IR2"/>
    <mergeCell ref="IS2:IY2"/>
    <mergeCell ref="GO2:GU2"/>
    <mergeCell ref="GV2:HB2"/>
    <mergeCell ref="HC2:HI2"/>
    <mergeCell ref="HJ2:HP2"/>
    <mergeCell ref="EY2:FE2"/>
    <mergeCell ref="FF2:FL2"/>
    <mergeCell ref="FM2:FS2"/>
    <mergeCell ref="FT2:FZ2"/>
    <mergeCell ref="GA2:GG2"/>
    <mergeCell ref="DP2:DV2"/>
    <mergeCell ref="DW2:EC2"/>
    <mergeCell ref="ED2:EJ2"/>
    <mergeCell ref="EK2:EQ2"/>
    <mergeCell ref="ER2:EX2"/>
    <mergeCell ref="CG2:CM2"/>
    <mergeCell ref="CN2:CT2"/>
    <mergeCell ref="CU2:DA2"/>
    <mergeCell ref="DB2:DH2"/>
    <mergeCell ref="DI2:DO2"/>
    <mergeCell ref="AX2:BD2"/>
    <mergeCell ref="BE2:BK2"/>
    <mergeCell ref="BL2:BR2"/>
    <mergeCell ref="BS2:BY2"/>
    <mergeCell ref="BZ2:CF2"/>
    <mergeCell ref="O2:U2"/>
    <mergeCell ref="V2:AB2"/>
    <mergeCell ref="AC2:AI2"/>
    <mergeCell ref="AJ2:AP2"/>
    <mergeCell ref="AQ2:AW2"/>
    <mergeCell ref="B70:C70"/>
    <mergeCell ref="B3:G3"/>
    <mergeCell ref="B5:L5"/>
    <mergeCell ref="GH2:GN2"/>
    <mergeCell ref="B1:L1"/>
    <mergeCell ref="B4:L4"/>
    <mergeCell ref="B6:L6"/>
  </mergeCells>
  <phoneticPr fontId="0" type="noConversion"/>
  <printOptions horizontalCentered="1"/>
  <pageMargins left="0.19685039370078741" right="0.19685039370078741" top="0.19685039370078741" bottom="0.19685039370078741" header="0.39370078740157483" footer="0.51181102362204722"/>
  <pageSetup paperSize="9" scale="60" orientation="portrait" r:id="rId1"/>
  <rowBreaks count="1" manualBreakCount="1">
    <brk id="68" min="1" max="11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6"/>
  <dimension ref="A1:XFD23"/>
  <sheetViews>
    <sheetView view="pageBreakPreview" topLeftCell="B7" zoomScaleNormal="100" zoomScaleSheetLayoutView="100" workbookViewId="0">
      <selection activeCell="B8" sqref="B8:L22"/>
    </sheetView>
  </sheetViews>
  <sheetFormatPr defaultColWidth="17.6640625" defaultRowHeight="15.75" x14ac:dyDescent="0.2"/>
  <cols>
    <col min="1" max="1" width="11.5" style="356" hidden="1" customWidth="1"/>
    <col min="2" max="2" width="62.33203125" style="357" customWidth="1"/>
    <col min="3" max="3" width="19.33203125" style="357" customWidth="1"/>
    <col min="4" max="4" width="20.83203125" style="357" hidden="1" customWidth="1"/>
    <col min="5" max="5" width="21.83203125" style="357" customWidth="1"/>
    <col min="6" max="6" width="19.83203125" style="357" customWidth="1"/>
    <col min="7" max="8" width="20.83203125" style="357" hidden="1" customWidth="1"/>
    <col min="9" max="9" width="16.83203125" style="357" hidden="1" customWidth="1"/>
    <col min="10" max="10" width="18.5" style="357" customWidth="1"/>
    <col min="11" max="11" width="17.5" style="357" hidden="1" customWidth="1"/>
    <col min="12" max="12" width="11.83203125" style="357" customWidth="1"/>
    <col min="13" max="13" width="17.6640625" style="357" customWidth="1"/>
    <col min="14" max="16384" width="17.6640625" style="357"/>
  </cols>
  <sheetData>
    <row r="1" spans="1:16384" x14ac:dyDescent="0.2">
      <c r="B1" s="1820" t="s">
        <v>826</v>
      </c>
      <c r="C1" s="1820"/>
      <c r="D1" s="1820"/>
      <c r="E1" s="1820"/>
      <c r="F1" s="1820"/>
      <c r="G1" s="1820"/>
      <c r="H1" s="1820"/>
      <c r="I1" s="1820"/>
      <c r="J1" s="1820"/>
      <c r="K1" s="1820"/>
      <c r="L1" s="1820"/>
    </row>
    <row r="2" spans="1:16384" x14ac:dyDescent="0.2">
      <c r="A2" s="1820"/>
      <c r="B2" s="1820"/>
      <c r="C2" s="1820"/>
      <c r="D2" s="1820"/>
      <c r="E2" s="1820"/>
      <c r="F2" s="1820"/>
      <c r="G2" s="1820"/>
      <c r="H2" s="1820"/>
      <c r="I2" s="1075"/>
      <c r="J2" s="1075"/>
      <c r="K2" s="1075"/>
      <c r="L2" s="1075"/>
      <c r="M2" s="1075"/>
      <c r="N2" s="1075"/>
      <c r="O2" s="1825"/>
      <c r="P2" s="1825"/>
      <c r="Q2" s="1825"/>
      <c r="R2" s="1825"/>
      <c r="S2" s="1825"/>
      <c r="T2" s="1825"/>
      <c r="U2" s="1825"/>
      <c r="V2" s="1825"/>
      <c r="W2" s="1825"/>
      <c r="X2" s="1825"/>
      <c r="Y2" s="1825"/>
      <c r="Z2" s="1825"/>
      <c r="AA2" s="1825"/>
      <c r="AB2" s="1825"/>
      <c r="AC2" s="1825"/>
      <c r="AD2" s="1825"/>
      <c r="AE2" s="1825"/>
      <c r="AF2" s="1825"/>
      <c r="AG2" s="1825"/>
      <c r="AH2" s="1825"/>
      <c r="AI2" s="1825"/>
      <c r="AJ2" s="1825"/>
      <c r="AK2" s="1825"/>
      <c r="AL2" s="1825"/>
      <c r="AM2" s="1825"/>
      <c r="AN2" s="1825"/>
      <c r="AO2" s="1825"/>
      <c r="AP2" s="1825"/>
      <c r="AQ2" s="1825"/>
      <c r="AR2" s="1825"/>
      <c r="AS2" s="1825"/>
      <c r="AT2" s="1825"/>
      <c r="AU2" s="1825"/>
      <c r="AV2" s="1825"/>
      <c r="AW2" s="1825"/>
      <c r="AX2" s="1825"/>
      <c r="AY2" s="1825"/>
      <c r="AZ2" s="1825"/>
      <c r="BA2" s="1825"/>
      <c r="BB2" s="1825"/>
      <c r="BC2" s="1825"/>
      <c r="BD2" s="1825"/>
      <c r="BE2" s="1825"/>
      <c r="BF2" s="1825"/>
      <c r="BG2" s="1825"/>
      <c r="BH2" s="1825"/>
      <c r="BI2" s="1825"/>
      <c r="BJ2" s="1825"/>
      <c r="BK2" s="1825"/>
      <c r="BL2" s="1825"/>
      <c r="BM2" s="1825"/>
      <c r="BN2" s="1825"/>
      <c r="BO2" s="1825"/>
      <c r="BP2" s="1825"/>
      <c r="BQ2" s="1825"/>
      <c r="BR2" s="1825"/>
      <c r="BS2" s="1825"/>
      <c r="BT2" s="1825"/>
      <c r="BU2" s="1825"/>
      <c r="BV2" s="1825"/>
      <c r="BW2" s="1825"/>
      <c r="BX2" s="1825"/>
      <c r="BY2" s="1825"/>
      <c r="BZ2" s="1825"/>
      <c r="CA2" s="1825"/>
      <c r="CB2" s="1825"/>
      <c r="CC2" s="1825"/>
      <c r="CD2" s="1825"/>
      <c r="CE2" s="1825"/>
      <c r="CF2" s="1825"/>
      <c r="CG2" s="1825"/>
      <c r="CH2" s="1825"/>
      <c r="CI2" s="1825"/>
      <c r="CJ2" s="1825"/>
      <c r="CK2" s="1825"/>
      <c r="CL2" s="1825"/>
      <c r="CM2" s="1825"/>
      <c r="CN2" s="1825"/>
      <c r="CO2" s="1825"/>
      <c r="CP2" s="1825"/>
      <c r="CQ2" s="1825"/>
      <c r="CR2" s="1825"/>
      <c r="CS2" s="1825"/>
      <c r="CT2" s="1825"/>
      <c r="CU2" s="1825"/>
      <c r="CV2" s="1825"/>
      <c r="CW2" s="1825"/>
      <c r="CX2" s="1825"/>
      <c r="CY2" s="1825"/>
      <c r="CZ2" s="1825"/>
      <c r="DA2" s="1825"/>
      <c r="DB2" s="1825"/>
      <c r="DC2" s="1825"/>
      <c r="DD2" s="1825"/>
      <c r="DE2" s="1825"/>
      <c r="DF2" s="1825"/>
      <c r="DG2" s="1825"/>
      <c r="DH2" s="1825"/>
      <c r="DI2" s="1825"/>
      <c r="DJ2" s="1825"/>
      <c r="DK2" s="1825"/>
      <c r="DL2" s="1825"/>
      <c r="DM2" s="1825"/>
      <c r="DN2" s="1825"/>
      <c r="DO2" s="1825"/>
      <c r="DP2" s="1825"/>
      <c r="DQ2" s="1825"/>
      <c r="DR2" s="1825"/>
      <c r="DS2" s="1825"/>
      <c r="DT2" s="1825"/>
      <c r="DU2" s="1825"/>
      <c r="DV2" s="1825"/>
      <c r="DW2" s="1825"/>
      <c r="DX2" s="1825"/>
      <c r="DY2" s="1825"/>
      <c r="DZ2" s="1825"/>
      <c r="EA2" s="1825"/>
      <c r="EB2" s="1825"/>
      <c r="EC2" s="1825"/>
      <c r="ED2" s="1825"/>
      <c r="EE2" s="1825"/>
      <c r="EF2" s="1825"/>
      <c r="EG2" s="1825"/>
      <c r="EH2" s="1825"/>
      <c r="EI2" s="1825"/>
      <c r="EJ2" s="1825"/>
      <c r="EK2" s="1825"/>
      <c r="EL2" s="1825"/>
      <c r="EM2" s="1825"/>
      <c r="EN2" s="1825"/>
      <c r="EO2" s="1825"/>
      <c r="EP2" s="1825"/>
      <c r="EQ2" s="1825"/>
      <c r="ER2" s="1825"/>
      <c r="ES2" s="1825"/>
      <c r="ET2" s="1825"/>
      <c r="EU2" s="1825"/>
      <c r="EV2" s="1825"/>
      <c r="EW2" s="1825"/>
      <c r="EX2" s="1825"/>
      <c r="EY2" s="1825"/>
      <c r="EZ2" s="1825"/>
      <c r="FA2" s="1825"/>
      <c r="FB2" s="1825"/>
      <c r="FC2" s="1825"/>
      <c r="FD2" s="1825"/>
      <c r="FE2" s="1825"/>
      <c r="FF2" s="1825"/>
      <c r="FG2" s="1825"/>
      <c r="FH2" s="1825"/>
      <c r="FI2" s="1825"/>
      <c r="FJ2" s="1825"/>
      <c r="FK2" s="1825"/>
      <c r="FL2" s="1825"/>
      <c r="FM2" s="1825"/>
      <c r="FN2" s="1825"/>
      <c r="FO2" s="1825"/>
      <c r="FP2" s="1825"/>
      <c r="FQ2" s="1825"/>
      <c r="FR2" s="1825"/>
      <c r="FS2" s="1825"/>
      <c r="FT2" s="1825"/>
      <c r="FU2" s="1825"/>
      <c r="FV2" s="1825"/>
      <c r="FW2" s="1825"/>
      <c r="FX2" s="1825"/>
      <c r="FY2" s="1825"/>
      <c r="FZ2" s="1825"/>
      <c r="GA2" s="1825"/>
      <c r="GB2" s="1825"/>
      <c r="GC2" s="1825"/>
      <c r="GD2" s="1825"/>
      <c r="GE2" s="1825"/>
      <c r="GF2" s="1825"/>
      <c r="GG2" s="1825"/>
      <c r="GH2" s="1825"/>
      <c r="GI2" s="1825"/>
      <c r="GJ2" s="1825"/>
      <c r="GK2" s="1825"/>
      <c r="GL2" s="1825"/>
      <c r="GM2" s="1825"/>
      <c r="GN2" s="1825"/>
      <c r="GO2" s="1825"/>
      <c r="GP2" s="1825"/>
      <c r="GQ2" s="1825"/>
      <c r="GR2" s="1825"/>
      <c r="GS2" s="1825"/>
      <c r="GT2" s="1825"/>
      <c r="GU2" s="1825"/>
      <c r="GV2" s="1825"/>
      <c r="GW2" s="1825"/>
      <c r="GX2" s="1825"/>
      <c r="GY2" s="1825"/>
      <c r="GZ2" s="1825"/>
      <c r="HA2" s="1825"/>
      <c r="HB2" s="1825"/>
      <c r="HC2" s="1825"/>
      <c r="HD2" s="1825"/>
      <c r="HE2" s="1825"/>
      <c r="HF2" s="1825"/>
      <c r="HG2" s="1825"/>
      <c r="HH2" s="1825"/>
      <c r="HI2" s="1825"/>
      <c r="HJ2" s="1825"/>
      <c r="HK2" s="1825"/>
      <c r="HL2" s="1825"/>
      <c r="HM2" s="1825"/>
      <c r="HN2" s="1825"/>
      <c r="HO2" s="1825"/>
      <c r="HP2" s="1825"/>
      <c r="HQ2" s="1825"/>
      <c r="HR2" s="1825"/>
      <c r="HS2" s="1825"/>
      <c r="HT2" s="1825"/>
      <c r="HU2" s="1825"/>
      <c r="HV2" s="1825"/>
      <c r="HW2" s="1825"/>
      <c r="HX2" s="1825"/>
      <c r="HY2" s="1825"/>
      <c r="HZ2" s="1825"/>
      <c r="IA2" s="1825"/>
      <c r="IB2" s="1825"/>
      <c r="IC2" s="1825"/>
      <c r="ID2" s="1825"/>
      <c r="IE2" s="1825"/>
      <c r="IF2" s="1825"/>
      <c r="IG2" s="1825"/>
      <c r="IH2" s="1825"/>
      <c r="II2" s="1825"/>
      <c r="IJ2" s="1825"/>
      <c r="IK2" s="1825"/>
      <c r="IL2" s="1825"/>
      <c r="IM2" s="1825"/>
      <c r="IN2" s="1825"/>
      <c r="IO2" s="1825"/>
      <c r="IP2" s="1825"/>
      <c r="IQ2" s="1825"/>
      <c r="IR2" s="1825"/>
      <c r="IS2" s="1825"/>
      <c r="IT2" s="1825"/>
      <c r="IU2" s="1825"/>
      <c r="IV2" s="1825"/>
      <c r="IW2" s="1825"/>
      <c r="IX2" s="1825"/>
      <c r="IY2" s="1825"/>
      <c r="IZ2" s="1825"/>
      <c r="JA2" s="1825"/>
      <c r="JB2" s="1825"/>
      <c r="JC2" s="1825"/>
      <c r="JD2" s="1825"/>
      <c r="JE2" s="1825"/>
      <c r="JF2" s="1825"/>
      <c r="JG2" s="1825"/>
      <c r="JH2" s="1825"/>
      <c r="JI2" s="1825"/>
      <c r="JJ2" s="1825"/>
      <c r="JK2" s="1825"/>
      <c r="JL2" s="1825"/>
      <c r="JM2" s="1825"/>
      <c r="JN2" s="1825"/>
      <c r="JO2" s="1825"/>
      <c r="JP2" s="1825"/>
      <c r="JQ2" s="1825"/>
      <c r="JR2" s="1825"/>
      <c r="JS2" s="1825"/>
      <c r="JT2" s="1825"/>
      <c r="JU2" s="1825"/>
      <c r="JV2" s="1825"/>
      <c r="JW2" s="1825"/>
      <c r="JX2" s="1825"/>
      <c r="JY2" s="1825"/>
      <c r="JZ2" s="1825"/>
      <c r="KA2" s="1825"/>
      <c r="KB2" s="1825"/>
      <c r="KC2" s="1825"/>
      <c r="KD2" s="1825"/>
      <c r="KE2" s="1825"/>
      <c r="KF2" s="1825"/>
      <c r="KG2" s="1825"/>
      <c r="KH2" s="1825"/>
      <c r="KI2" s="1825"/>
      <c r="KJ2" s="1825"/>
      <c r="KK2" s="1825"/>
      <c r="KL2" s="1825"/>
      <c r="KM2" s="1825"/>
      <c r="KN2" s="1825"/>
      <c r="KO2" s="1825"/>
      <c r="KP2" s="1825"/>
      <c r="KQ2" s="1825"/>
      <c r="KR2" s="1825"/>
      <c r="KS2" s="1825"/>
      <c r="KT2" s="1825"/>
      <c r="KU2" s="1825"/>
      <c r="KV2" s="1825"/>
      <c r="KW2" s="1825"/>
      <c r="KX2" s="1825"/>
      <c r="KY2" s="1825"/>
      <c r="KZ2" s="1825"/>
      <c r="LA2" s="1825"/>
      <c r="LB2" s="1825"/>
      <c r="LC2" s="1825"/>
      <c r="LD2" s="1825"/>
      <c r="LE2" s="1825"/>
      <c r="LF2" s="1825"/>
      <c r="LG2" s="1825"/>
      <c r="LH2" s="1825"/>
      <c r="LI2" s="1825"/>
      <c r="LJ2" s="1825"/>
      <c r="LK2" s="1825"/>
      <c r="LL2" s="1825"/>
      <c r="LM2" s="1825"/>
      <c r="LN2" s="1825"/>
      <c r="LO2" s="1825"/>
      <c r="LP2" s="1825"/>
      <c r="LQ2" s="1825"/>
      <c r="LR2" s="1825"/>
      <c r="LS2" s="1825"/>
      <c r="LT2" s="1825"/>
      <c r="LU2" s="1825"/>
      <c r="LV2" s="1825"/>
      <c r="LW2" s="1825"/>
      <c r="LX2" s="1825"/>
      <c r="LY2" s="1825"/>
      <c r="LZ2" s="1825"/>
      <c r="MA2" s="1825"/>
      <c r="MB2" s="1825"/>
      <c r="MC2" s="1825"/>
      <c r="MD2" s="1825"/>
      <c r="ME2" s="1825"/>
      <c r="MF2" s="1825"/>
      <c r="MG2" s="1825"/>
      <c r="MH2" s="1825"/>
      <c r="MI2" s="1825"/>
      <c r="MJ2" s="1825"/>
      <c r="MK2" s="1825"/>
      <c r="ML2" s="1825"/>
      <c r="MM2" s="1825"/>
      <c r="MN2" s="1825"/>
      <c r="MO2" s="1825"/>
      <c r="MP2" s="1825"/>
      <c r="MQ2" s="1825"/>
      <c r="MR2" s="1825"/>
      <c r="MS2" s="1825"/>
      <c r="MT2" s="1825"/>
      <c r="MU2" s="1825"/>
      <c r="MV2" s="1825"/>
      <c r="MW2" s="1825"/>
      <c r="MX2" s="1825"/>
      <c r="MY2" s="1825"/>
      <c r="MZ2" s="1825"/>
      <c r="NA2" s="1825"/>
      <c r="NB2" s="1825"/>
      <c r="NC2" s="1825"/>
      <c r="ND2" s="1825"/>
      <c r="NE2" s="1825"/>
      <c r="NF2" s="1825"/>
      <c r="NG2" s="1825"/>
      <c r="NH2" s="1825"/>
      <c r="NI2" s="1825"/>
      <c r="NJ2" s="1825"/>
      <c r="NK2" s="1825"/>
      <c r="NL2" s="1825"/>
      <c r="NM2" s="1825"/>
      <c r="NN2" s="1825"/>
      <c r="NO2" s="1825"/>
      <c r="NP2" s="1825"/>
      <c r="NQ2" s="1825"/>
      <c r="NR2" s="1825"/>
      <c r="NS2" s="1825"/>
      <c r="NT2" s="1825"/>
      <c r="NU2" s="1825"/>
      <c r="NV2" s="1825"/>
      <c r="NW2" s="1825"/>
      <c r="NX2" s="1825"/>
      <c r="NY2" s="1825"/>
      <c r="NZ2" s="1825"/>
      <c r="OA2" s="1825"/>
      <c r="OB2" s="1825"/>
      <c r="OC2" s="1825"/>
      <c r="OD2" s="1825"/>
      <c r="OE2" s="1825"/>
      <c r="OF2" s="1825"/>
      <c r="OG2" s="1825"/>
      <c r="OH2" s="1825"/>
      <c r="OI2" s="1825"/>
      <c r="OJ2" s="1825"/>
      <c r="OK2" s="1825"/>
      <c r="OL2" s="1825"/>
      <c r="OM2" s="1825"/>
      <c r="ON2" s="1825"/>
      <c r="OO2" s="1825"/>
      <c r="OP2" s="1825"/>
      <c r="OQ2" s="1825"/>
      <c r="OR2" s="1825"/>
      <c r="OS2" s="1825"/>
      <c r="OT2" s="1825"/>
      <c r="OU2" s="1825"/>
      <c r="OV2" s="1825"/>
      <c r="OW2" s="1825"/>
      <c r="OX2" s="1825"/>
      <c r="OY2" s="1825"/>
      <c r="OZ2" s="1825"/>
      <c r="PA2" s="1825"/>
      <c r="PB2" s="1825"/>
      <c r="PC2" s="1825"/>
      <c r="PD2" s="1825"/>
      <c r="PE2" s="1825"/>
      <c r="PF2" s="1825"/>
      <c r="PG2" s="1825"/>
      <c r="PH2" s="1825"/>
      <c r="PI2" s="1825"/>
      <c r="PJ2" s="1825"/>
      <c r="PK2" s="1825"/>
      <c r="PL2" s="1825"/>
      <c r="PM2" s="1825"/>
      <c r="PN2" s="1825"/>
      <c r="PO2" s="1825"/>
      <c r="PP2" s="1825"/>
      <c r="PQ2" s="1825"/>
      <c r="PR2" s="1825"/>
      <c r="PS2" s="1825"/>
      <c r="PT2" s="1825"/>
      <c r="PU2" s="1825"/>
      <c r="PV2" s="1825"/>
      <c r="PW2" s="1825"/>
      <c r="PX2" s="1825"/>
      <c r="PY2" s="1825"/>
      <c r="PZ2" s="1825"/>
      <c r="QA2" s="1825"/>
      <c r="QB2" s="1825"/>
      <c r="QC2" s="1825"/>
      <c r="QD2" s="1825"/>
      <c r="QE2" s="1825"/>
      <c r="QF2" s="1825"/>
      <c r="QG2" s="1825"/>
      <c r="QH2" s="1825"/>
      <c r="QI2" s="1825"/>
      <c r="QJ2" s="1825"/>
      <c r="QK2" s="1825"/>
      <c r="QL2" s="1825"/>
      <c r="QM2" s="1825"/>
      <c r="QN2" s="1825"/>
      <c r="QO2" s="1825"/>
      <c r="QP2" s="1825"/>
      <c r="QQ2" s="1825"/>
      <c r="QR2" s="1825"/>
      <c r="QS2" s="1825"/>
      <c r="QT2" s="1825"/>
      <c r="QU2" s="1825"/>
      <c r="QV2" s="1825"/>
      <c r="QW2" s="1825"/>
      <c r="QX2" s="1825"/>
      <c r="QY2" s="1825"/>
      <c r="QZ2" s="1825"/>
      <c r="RA2" s="1825"/>
      <c r="RB2" s="1825"/>
      <c r="RC2" s="1825"/>
      <c r="RD2" s="1825"/>
      <c r="RE2" s="1825"/>
      <c r="RF2" s="1825"/>
      <c r="RG2" s="1825"/>
      <c r="RH2" s="1825"/>
      <c r="RI2" s="1825"/>
      <c r="RJ2" s="1825"/>
      <c r="RK2" s="1825"/>
      <c r="RL2" s="1825"/>
      <c r="RM2" s="1825"/>
      <c r="RN2" s="1825"/>
      <c r="RO2" s="1825"/>
      <c r="RP2" s="1825"/>
      <c r="RQ2" s="1825"/>
      <c r="RR2" s="1825"/>
      <c r="RS2" s="1825"/>
      <c r="RT2" s="1825"/>
      <c r="RU2" s="1825"/>
      <c r="RV2" s="1825"/>
      <c r="RW2" s="1825"/>
      <c r="RX2" s="1825"/>
      <c r="RY2" s="1825"/>
      <c r="RZ2" s="1825"/>
      <c r="SA2" s="1825"/>
      <c r="SB2" s="1825"/>
      <c r="SC2" s="1825"/>
      <c r="SD2" s="1825"/>
      <c r="SE2" s="1825"/>
      <c r="SF2" s="1825"/>
      <c r="SG2" s="1825"/>
      <c r="SH2" s="1825"/>
      <c r="SI2" s="1825"/>
      <c r="SJ2" s="1825"/>
      <c r="SK2" s="1825"/>
      <c r="SL2" s="1825"/>
      <c r="SM2" s="1825"/>
      <c r="SN2" s="1825"/>
      <c r="SO2" s="1825"/>
      <c r="SP2" s="1825"/>
      <c r="SQ2" s="1825"/>
      <c r="SR2" s="1825"/>
      <c r="SS2" s="1825"/>
      <c r="ST2" s="1825"/>
      <c r="SU2" s="1825"/>
      <c r="SV2" s="1825"/>
      <c r="SW2" s="1825"/>
      <c r="SX2" s="1825"/>
      <c r="SY2" s="1825"/>
      <c r="SZ2" s="1825"/>
      <c r="TA2" s="1825"/>
      <c r="TB2" s="1825"/>
      <c r="TC2" s="1825"/>
      <c r="TD2" s="1825"/>
      <c r="TE2" s="1825"/>
      <c r="TF2" s="1825"/>
      <c r="TG2" s="1825"/>
      <c r="TH2" s="1825"/>
      <c r="TI2" s="1825"/>
      <c r="TJ2" s="1825"/>
      <c r="TK2" s="1825"/>
      <c r="TL2" s="1825"/>
      <c r="TM2" s="1825"/>
      <c r="TN2" s="1825"/>
      <c r="TO2" s="1825"/>
      <c r="TP2" s="1825"/>
      <c r="TQ2" s="1825"/>
      <c r="TR2" s="1825"/>
      <c r="TS2" s="1825"/>
      <c r="TT2" s="1825"/>
      <c r="TU2" s="1825"/>
      <c r="TV2" s="1825"/>
      <c r="TW2" s="1825"/>
      <c r="TX2" s="1825"/>
      <c r="TY2" s="1825"/>
      <c r="TZ2" s="1825"/>
      <c r="UA2" s="1825"/>
      <c r="UB2" s="1825"/>
      <c r="UC2" s="1825"/>
      <c r="UD2" s="1825"/>
      <c r="UE2" s="1825"/>
      <c r="UF2" s="1825"/>
      <c r="UG2" s="1825"/>
      <c r="UH2" s="1825"/>
      <c r="UI2" s="1825"/>
      <c r="UJ2" s="1825"/>
      <c r="UK2" s="1825"/>
      <c r="UL2" s="1825"/>
      <c r="UM2" s="1825"/>
      <c r="UN2" s="1825"/>
      <c r="UO2" s="1825"/>
      <c r="UP2" s="1825"/>
      <c r="UQ2" s="1825"/>
      <c r="UR2" s="1825"/>
      <c r="US2" s="1825"/>
      <c r="UT2" s="1825"/>
      <c r="UU2" s="1825"/>
      <c r="UV2" s="1825"/>
      <c r="UW2" s="1825"/>
      <c r="UX2" s="1825"/>
      <c r="UY2" s="1825"/>
      <c r="UZ2" s="1825"/>
      <c r="VA2" s="1825"/>
      <c r="VB2" s="1825"/>
      <c r="VC2" s="1825"/>
      <c r="VD2" s="1825"/>
      <c r="VE2" s="1825"/>
      <c r="VF2" s="1825"/>
      <c r="VG2" s="1825"/>
      <c r="VH2" s="1825"/>
      <c r="VI2" s="1825"/>
      <c r="VJ2" s="1825"/>
      <c r="VK2" s="1825"/>
      <c r="VL2" s="1825"/>
      <c r="VM2" s="1825"/>
      <c r="VN2" s="1825"/>
      <c r="VO2" s="1825"/>
      <c r="VP2" s="1825"/>
      <c r="VQ2" s="1825"/>
      <c r="VR2" s="1825"/>
      <c r="VS2" s="1825"/>
      <c r="VT2" s="1825"/>
      <c r="VU2" s="1825"/>
      <c r="VV2" s="1825"/>
      <c r="VW2" s="1825"/>
      <c r="VX2" s="1825"/>
      <c r="VY2" s="1825"/>
      <c r="VZ2" s="1825"/>
      <c r="WA2" s="1825"/>
      <c r="WB2" s="1825"/>
      <c r="WC2" s="1825"/>
      <c r="WD2" s="1825"/>
      <c r="WE2" s="1825"/>
      <c r="WF2" s="1825"/>
      <c r="WG2" s="1825"/>
      <c r="WH2" s="1825"/>
      <c r="WI2" s="1825"/>
      <c r="WJ2" s="1825"/>
      <c r="WK2" s="1825"/>
      <c r="WL2" s="1825"/>
      <c r="WM2" s="1825"/>
      <c r="WN2" s="1825"/>
      <c r="WO2" s="1825"/>
      <c r="WP2" s="1825"/>
      <c r="WQ2" s="1825"/>
      <c r="WR2" s="1825"/>
      <c r="WS2" s="1825"/>
      <c r="WT2" s="1825"/>
      <c r="WU2" s="1825"/>
      <c r="WV2" s="1825"/>
      <c r="WW2" s="1825"/>
      <c r="WX2" s="1825"/>
      <c r="WY2" s="1825"/>
      <c r="WZ2" s="1825"/>
      <c r="XA2" s="1825"/>
      <c r="XB2" s="1825"/>
      <c r="XC2" s="1825"/>
      <c r="XD2" s="1825"/>
      <c r="XE2" s="1825"/>
      <c r="XF2" s="1825"/>
      <c r="XG2" s="1825"/>
      <c r="XH2" s="1825"/>
      <c r="XI2" s="1825"/>
      <c r="XJ2" s="1825"/>
      <c r="XK2" s="1825"/>
      <c r="XL2" s="1825"/>
      <c r="XM2" s="1825"/>
      <c r="XN2" s="1825"/>
      <c r="XO2" s="1825"/>
      <c r="XP2" s="1825"/>
      <c r="XQ2" s="1825"/>
      <c r="XR2" s="1825"/>
      <c r="XS2" s="1825"/>
      <c r="XT2" s="1825"/>
      <c r="XU2" s="1825"/>
      <c r="XV2" s="1825"/>
      <c r="XW2" s="1825"/>
      <c r="XX2" s="1825"/>
      <c r="XY2" s="1825"/>
      <c r="XZ2" s="1825"/>
      <c r="YA2" s="1825"/>
      <c r="YB2" s="1825"/>
      <c r="YC2" s="1825"/>
      <c r="YD2" s="1825"/>
      <c r="YE2" s="1825"/>
      <c r="YF2" s="1825"/>
      <c r="YG2" s="1825"/>
      <c r="YH2" s="1825"/>
      <c r="YI2" s="1825"/>
      <c r="YJ2" s="1825"/>
      <c r="YK2" s="1825"/>
      <c r="YL2" s="1825"/>
      <c r="YM2" s="1825"/>
      <c r="YN2" s="1825"/>
      <c r="YO2" s="1825"/>
      <c r="YP2" s="1825"/>
      <c r="YQ2" s="1825"/>
      <c r="YR2" s="1825"/>
      <c r="YS2" s="1825"/>
      <c r="YT2" s="1825"/>
      <c r="YU2" s="1825"/>
      <c r="YV2" s="1825"/>
      <c r="YW2" s="1825"/>
      <c r="YX2" s="1825"/>
      <c r="YY2" s="1825"/>
      <c r="YZ2" s="1825"/>
      <c r="ZA2" s="1825"/>
      <c r="ZB2" s="1825"/>
      <c r="ZC2" s="1825"/>
      <c r="ZD2" s="1825"/>
      <c r="ZE2" s="1825"/>
      <c r="ZF2" s="1825"/>
      <c r="ZG2" s="1825"/>
      <c r="ZH2" s="1825"/>
      <c r="ZI2" s="1825"/>
      <c r="ZJ2" s="1825"/>
      <c r="ZK2" s="1825"/>
      <c r="ZL2" s="1825"/>
      <c r="ZM2" s="1825"/>
      <c r="ZN2" s="1825"/>
      <c r="ZO2" s="1825"/>
      <c r="ZP2" s="1825"/>
      <c r="ZQ2" s="1825"/>
      <c r="ZR2" s="1825"/>
      <c r="ZS2" s="1825"/>
      <c r="ZT2" s="1825"/>
      <c r="ZU2" s="1825"/>
      <c r="ZV2" s="1825"/>
      <c r="ZW2" s="1825"/>
      <c r="ZX2" s="1825"/>
      <c r="ZY2" s="1825"/>
      <c r="ZZ2" s="1825"/>
      <c r="AAA2" s="1825"/>
      <c r="AAB2" s="1825"/>
      <c r="AAC2" s="1825"/>
      <c r="AAD2" s="1825"/>
      <c r="AAE2" s="1825"/>
      <c r="AAF2" s="1825"/>
      <c r="AAG2" s="1825"/>
      <c r="AAH2" s="1825"/>
      <c r="AAI2" s="1825"/>
      <c r="AAJ2" s="1825"/>
      <c r="AAK2" s="1825"/>
      <c r="AAL2" s="1825"/>
      <c r="AAM2" s="1825"/>
      <c r="AAN2" s="1825"/>
      <c r="AAO2" s="1825"/>
      <c r="AAP2" s="1825"/>
      <c r="AAQ2" s="1825"/>
      <c r="AAR2" s="1825"/>
      <c r="AAS2" s="1825"/>
      <c r="AAT2" s="1825"/>
      <c r="AAU2" s="1825"/>
      <c r="AAV2" s="1825"/>
      <c r="AAW2" s="1825"/>
      <c r="AAX2" s="1825"/>
      <c r="AAY2" s="1825"/>
      <c r="AAZ2" s="1825"/>
      <c r="ABA2" s="1825"/>
      <c r="ABB2" s="1825"/>
      <c r="ABC2" s="1825"/>
      <c r="ABD2" s="1825"/>
      <c r="ABE2" s="1825"/>
      <c r="ABF2" s="1825"/>
      <c r="ABG2" s="1825"/>
      <c r="ABH2" s="1825"/>
      <c r="ABI2" s="1825"/>
      <c r="ABJ2" s="1825"/>
      <c r="ABK2" s="1825"/>
      <c r="ABL2" s="1825"/>
      <c r="ABM2" s="1825"/>
      <c r="ABN2" s="1825"/>
      <c r="ABO2" s="1825"/>
      <c r="ABP2" s="1825"/>
      <c r="ABQ2" s="1825"/>
      <c r="ABR2" s="1825"/>
      <c r="ABS2" s="1825"/>
      <c r="ABT2" s="1825"/>
      <c r="ABU2" s="1825"/>
      <c r="ABV2" s="1825"/>
      <c r="ABW2" s="1825"/>
      <c r="ABX2" s="1825"/>
      <c r="ABY2" s="1825"/>
      <c r="ABZ2" s="1825"/>
      <c r="ACA2" s="1825"/>
      <c r="ACB2" s="1825"/>
      <c r="ACC2" s="1825"/>
      <c r="ACD2" s="1825"/>
      <c r="ACE2" s="1825"/>
      <c r="ACF2" s="1825"/>
      <c r="ACG2" s="1825"/>
      <c r="ACH2" s="1825"/>
      <c r="ACI2" s="1825"/>
      <c r="ACJ2" s="1825"/>
      <c r="ACK2" s="1825"/>
      <c r="ACL2" s="1825"/>
      <c r="ACM2" s="1825"/>
      <c r="ACN2" s="1825"/>
      <c r="ACO2" s="1825"/>
      <c r="ACP2" s="1825"/>
      <c r="ACQ2" s="1825"/>
      <c r="ACR2" s="1825"/>
      <c r="ACS2" s="1825"/>
      <c r="ACT2" s="1825"/>
      <c r="ACU2" s="1825"/>
      <c r="ACV2" s="1825"/>
      <c r="ACW2" s="1825"/>
      <c r="ACX2" s="1825"/>
      <c r="ACY2" s="1825"/>
      <c r="ACZ2" s="1825"/>
      <c r="ADA2" s="1825"/>
      <c r="ADB2" s="1825"/>
      <c r="ADC2" s="1825"/>
      <c r="ADD2" s="1825"/>
      <c r="ADE2" s="1825"/>
      <c r="ADF2" s="1825"/>
      <c r="ADG2" s="1825"/>
      <c r="ADH2" s="1825"/>
      <c r="ADI2" s="1825"/>
      <c r="ADJ2" s="1825"/>
      <c r="ADK2" s="1825"/>
      <c r="ADL2" s="1825"/>
      <c r="ADM2" s="1825"/>
      <c r="ADN2" s="1825"/>
      <c r="ADO2" s="1825"/>
      <c r="ADP2" s="1825"/>
      <c r="ADQ2" s="1825"/>
      <c r="ADR2" s="1825"/>
      <c r="ADS2" s="1825"/>
      <c r="ADT2" s="1825"/>
      <c r="ADU2" s="1825"/>
      <c r="ADV2" s="1825"/>
      <c r="ADW2" s="1825"/>
      <c r="ADX2" s="1825"/>
      <c r="ADY2" s="1825"/>
      <c r="ADZ2" s="1825"/>
      <c r="AEA2" s="1825"/>
      <c r="AEB2" s="1825"/>
      <c r="AEC2" s="1825"/>
      <c r="AED2" s="1825"/>
      <c r="AEE2" s="1825"/>
      <c r="AEF2" s="1825"/>
      <c r="AEG2" s="1825"/>
      <c r="AEH2" s="1825"/>
      <c r="AEI2" s="1825"/>
      <c r="AEJ2" s="1825"/>
      <c r="AEK2" s="1825"/>
      <c r="AEL2" s="1825"/>
      <c r="AEM2" s="1825"/>
      <c r="AEN2" s="1825"/>
      <c r="AEO2" s="1825"/>
      <c r="AEP2" s="1825"/>
      <c r="AEQ2" s="1825"/>
      <c r="AER2" s="1825"/>
      <c r="AES2" s="1825"/>
      <c r="AET2" s="1825"/>
      <c r="AEU2" s="1825"/>
      <c r="AEV2" s="1825"/>
      <c r="AEW2" s="1825"/>
      <c r="AEX2" s="1825"/>
      <c r="AEY2" s="1825"/>
      <c r="AEZ2" s="1825"/>
      <c r="AFA2" s="1825"/>
      <c r="AFB2" s="1825"/>
      <c r="AFC2" s="1825"/>
      <c r="AFD2" s="1825"/>
      <c r="AFE2" s="1825"/>
      <c r="AFF2" s="1825"/>
      <c r="AFG2" s="1825"/>
      <c r="AFH2" s="1825"/>
      <c r="AFI2" s="1825"/>
      <c r="AFJ2" s="1825"/>
      <c r="AFK2" s="1825"/>
      <c r="AFL2" s="1825"/>
      <c r="AFM2" s="1825"/>
      <c r="AFN2" s="1825"/>
      <c r="AFO2" s="1825"/>
      <c r="AFP2" s="1825"/>
      <c r="AFQ2" s="1825"/>
      <c r="AFR2" s="1825"/>
      <c r="AFS2" s="1825"/>
      <c r="AFT2" s="1825"/>
      <c r="AFU2" s="1825"/>
      <c r="AFV2" s="1825"/>
      <c r="AFW2" s="1825"/>
      <c r="AFX2" s="1825"/>
      <c r="AFY2" s="1825"/>
      <c r="AFZ2" s="1825"/>
      <c r="AGA2" s="1825"/>
      <c r="AGB2" s="1825"/>
      <c r="AGC2" s="1825"/>
      <c r="AGD2" s="1825"/>
      <c r="AGE2" s="1825"/>
      <c r="AGF2" s="1825"/>
      <c r="AGG2" s="1825"/>
      <c r="AGH2" s="1825"/>
      <c r="AGI2" s="1825"/>
      <c r="AGJ2" s="1825"/>
      <c r="AGK2" s="1825"/>
      <c r="AGL2" s="1825"/>
      <c r="AGM2" s="1825"/>
      <c r="AGN2" s="1825"/>
      <c r="AGO2" s="1825"/>
      <c r="AGP2" s="1825"/>
      <c r="AGQ2" s="1825"/>
      <c r="AGR2" s="1825"/>
      <c r="AGS2" s="1825"/>
      <c r="AGT2" s="1825"/>
      <c r="AGU2" s="1825"/>
      <c r="AGV2" s="1825"/>
      <c r="AGW2" s="1825"/>
      <c r="AGX2" s="1825"/>
      <c r="AGY2" s="1825"/>
      <c r="AGZ2" s="1825"/>
      <c r="AHA2" s="1825"/>
      <c r="AHB2" s="1825"/>
      <c r="AHC2" s="1825"/>
      <c r="AHD2" s="1825"/>
      <c r="AHE2" s="1825"/>
      <c r="AHF2" s="1825"/>
      <c r="AHG2" s="1825"/>
      <c r="AHH2" s="1825"/>
      <c r="AHI2" s="1825"/>
      <c r="AHJ2" s="1825"/>
      <c r="AHK2" s="1825"/>
      <c r="AHL2" s="1825"/>
      <c r="AHM2" s="1825"/>
      <c r="AHN2" s="1825"/>
      <c r="AHO2" s="1825"/>
      <c r="AHP2" s="1825"/>
      <c r="AHQ2" s="1825"/>
      <c r="AHR2" s="1825"/>
      <c r="AHS2" s="1825"/>
      <c r="AHT2" s="1825"/>
      <c r="AHU2" s="1825"/>
      <c r="AHV2" s="1825"/>
      <c r="AHW2" s="1825"/>
      <c r="AHX2" s="1825"/>
      <c r="AHY2" s="1825"/>
      <c r="AHZ2" s="1825"/>
      <c r="AIA2" s="1825"/>
      <c r="AIB2" s="1825"/>
      <c r="AIC2" s="1825"/>
      <c r="AID2" s="1825"/>
      <c r="AIE2" s="1825"/>
      <c r="AIF2" s="1825"/>
      <c r="AIG2" s="1825"/>
      <c r="AIH2" s="1825"/>
      <c r="AII2" s="1825"/>
      <c r="AIJ2" s="1825"/>
      <c r="AIK2" s="1825"/>
      <c r="AIL2" s="1825"/>
      <c r="AIM2" s="1825"/>
      <c r="AIN2" s="1825"/>
      <c r="AIO2" s="1825"/>
      <c r="AIP2" s="1825"/>
      <c r="AIQ2" s="1825"/>
      <c r="AIR2" s="1825"/>
      <c r="AIS2" s="1825"/>
      <c r="AIT2" s="1825"/>
      <c r="AIU2" s="1825"/>
      <c r="AIV2" s="1825"/>
      <c r="AIW2" s="1825"/>
      <c r="AIX2" s="1825"/>
      <c r="AIY2" s="1825"/>
      <c r="AIZ2" s="1825"/>
      <c r="AJA2" s="1825"/>
      <c r="AJB2" s="1825"/>
      <c r="AJC2" s="1825"/>
      <c r="AJD2" s="1825"/>
      <c r="AJE2" s="1825"/>
      <c r="AJF2" s="1825"/>
      <c r="AJG2" s="1825"/>
      <c r="AJH2" s="1825"/>
      <c r="AJI2" s="1825"/>
      <c r="AJJ2" s="1825"/>
      <c r="AJK2" s="1825"/>
      <c r="AJL2" s="1825"/>
      <c r="AJM2" s="1825"/>
      <c r="AJN2" s="1825"/>
      <c r="AJO2" s="1825"/>
      <c r="AJP2" s="1825"/>
      <c r="AJQ2" s="1825"/>
      <c r="AJR2" s="1825"/>
      <c r="AJS2" s="1825"/>
      <c r="AJT2" s="1825"/>
      <c r="AJU2" s="1825"/>
      <c r="AJV2" s="1825"/>
      <c r="AJW2" s="1825"/>
      <c r="AJX2" s="1825"/>
      <c r="AJY2" s="1825"/>
      <c r="AJZ2" s="1825"/>
      <c r="AKA2" s="1825"/>
      <c r="AKB2" s="1825"/>
      <c r="AKC2" s="1825"/>
      <c r="AKD2" s="1825"/>
      <c r="AKE2" s="1825"/>
      <c r="AKF2" s="1825"/>
      <c r="AKG2" s="1825"/>
      <c r="AKH2" s="1825"/>
      <c r="AKI2" s="1825"/>
      <c r="AKJ2" s="1825"/>
      <c r="AKK2" s="1825"/>
      <c r="AKL2" s="1825"/>
      <c r="AKM2" s="1825"/>
      <c r="AKN2" s="1825"/>
      <c r="AKO2" s="1825"/>
      <c r="AKP2" s="1825"/>
      <c r="AKQ2" s="1825"/>
      <c r="AKR2" s="1825"/>
      <c r="AKS2" s="1825"/>
      <c r="AKT2" s="1825"/>
      <c r="AKU2" s="1825"/>
      <c r="AKV2" s="1825"/>
      <c r="AKW2" s="1825"/>
      <c r="AKX2" s="1825"/>
      <c r="AKY2" s="1825"/>
      <c r="AKZ2" s="1825"/>
      <c r="ALA2" s="1825"/>
      <c r="ALB2" s="1825"/>
      <c r="ALC2" s="1825"/>
      <c r="ALD2" s="1825"/>
      <c r="ALE2" s="1825"/>
      <c r="ALF2" s="1825"/>
      <c r="ALG2" s="1825"/>
      <c r="ALH2" s="1825"/>
      <c r="ALI2" s="1825"/>
      <c r="ALJ2" s="1825"/>
      <c r="ALK2" s="1825"/>
      <c r="ALL2" s="1825"/>
      <c r="ALM2" s="1825"/>
      <c r="ALN2" s="1825"/>
      <c r="ALO2" s="1825"/>
      <c r="ALP2" s="1825"/>
      <c r="ALQ2" s="1825"/>
      <c r="ALR2" s="1825"/>
      <c r="ALS2" s="1825"/>
      <c r="ALT2" s="1825"/>
      <c r="ALU2" s="1825"/>
      <c r="ALV2" s="1825"/>
      <c r="ALW2" s="1825"/>
      <c r="ALX2" s="1825"/>
      <c r="ALY2" s="1825"/>
      <c r="ALZ2" s="1825"/>
      <c r="AMA2" s="1825"/>
      <c r="AMB2" s="1825"/>
      <c r="AMC2" s="1825"/>
      <c r="AMD2" s="1825"/>
      <c r="AME2" s="1825"/>
      <c r="AMF2" s="1825"/>
      <c r="AMG2" s="1825"/>
      <c r="AMH2" s="1825"/>
      <c r="AMI2" s="1825"/>
      <c r="AMJ2" s="1825"/>
      <c r="AMK2" s="1825"/>
      <c r="AML2" s="1825"/>
      <c r="AMM2" s="1825"/>
      <c r="AMN2" s="1825"/>
      <c r="AMO2" s="1825"/>
      <c r="AMP2" s="1825"/>
      <c r="AMQ2" s="1825"/>
      <c r="AMR2" s="1825"/>
      <c r="AMS2" s="1825"/>
      <c r="AMT2" s="1825"/>
      <c r="AMU2" s="1825"/>
      <c r="AMV2" s="1825"/>
      <c r="AMW2" s="1825"/>
      <c r="AMX2" s="1825"/>
      <c r="AMY2" s="1825"/>
      <c r="AMZ2" s="1825"/>
      <c r="ANA2" s="1825"/>
      <c r="ANB2" s="1825"/>
      <c r="ANC2" s="1825"/>
      <c r="AND2" s="1825"/>
      <c r="ANE2" s="1825"/>
      <c r="ANF2" s="1825"/>
      <c r="ANG2" s="1825"/>
      <c r="ANH2" s="1825"/>
      <c r="ANI2" s="1825"/>
      <c r="ANJ2" s="1825"/>
      <c r="ANK2" s="1825"/>
      <c r="ANL2" s="1825"/>
      <c r="ANM2" s="1825"/>
      <c r="ANN2" s="1825"/>
      <c r="ANO2" s="1825"/>
      <c r="ANP2" s="1825"/>
      <c r="ANQ2" s="1825"/>
      <c r="ANR2" s="1825"/>
      <c r="ANS2" s="1825"/>
      <c r="ANT2" s="1825"/>
      <c r="ANU2" s="1825"/>
      <c r="ANV2" s="1825"/>
      <c r="ANW2" s="1825"/>
      <c r="ANX2" s="1825"/>
      <c r="ANY2" s="1825"/>
      <c r="ANZ2" s="1825"/>
      <c r="AOA2" s="1825"/>
      <c r="AOB2" s="1825"/>
      <c r="AOC2" s="1825"/>
      <c r="AOD2" s="1825"/>
      <c r="AOE2" s="1825"/>
      <c r="AOF2" s="1825"/>
      <c r="AOG2" s="1825"/>
      <c r="AOH2" s="1825"/>
      <c r="AOI2" s="1825"/>
      <c r="AOJ2" s="1825"/>
      <c r="AOK2" s="1825"/>
      <c r="AOL2" s="1825"/>
      <c r="AOM2" s="1825"/>
      <c r="AON2" s="1825"/>
      <c r="AOO2" s="1825"/>
      <c r="AOP2" s="1825"/>
      <c r="AOQ2" s="1825"/>
      <c r="AOR2" s="1825"/>
      <c r="AOS2" s="1825"/>
      <c r="AOT2" s="1825"/>
      <c r="AOU2" s="1825"/>
      <c r="AOV2" s="1825"/>
      <c r="AOW2" s="1825"/>
      <c r="AOX2" s="1825"/>
      <c r="AOY2" s="1825"/>
      <c r="AOZ2" s="1825"/>
      <c r="APA2" s="1825"/>
      <c r="APB2" s="1825"/>
      <c r="APC2" s="1825"/>
      <c r="APD2" s="1825"/>
      <c r="APE2" s="1825"/>
      <c r="APF2" s="1825"/>
      <c r="APG2" s="1825"/>
      <c r="APH2" s="1825"/>
      <c r="API2" s="1825"/>
      <c r="APJ2" s="1825"/>
      <c r="APK2" s="1825"/>
      <c r="APL2" s="1825"/>
      <c r="APM2" s="1825"/>
      <c r="APN2" s="1825"/>
      <c r="APO2" s="1825"/>
      <c r="APP2" s="1825"/>
      <c r="APQ2" s="1825"/>
      <c r="APR2" s="1825"/>
      <c r="APS2" s="1825"/>
      <c r="APT2" s="1825"/>
      <c r="APU2" s="1825"/>
      <c r="APV2" s="1825"/>
      <c r="APW2" s="1825"/>
      <c r="APX2" s="1825"/>
      <c r="APY2" s="1825"/>
      <c r="APZ2" s="1825"/>
      <c r="AQA2" s="1825"/>
      <c r="AQB2" s="1825"/>
      <c r="AQC2" s="1825"/>
      <c r="AQD2" s="1825"/>
      <c r="AQE2" s="1825"/>
      <c r="AQF2" s="1825"/>
      <c r="AQG2" s="1825"/>
      <c r="AQH2" s="1825"/>
      <c r="AQI2" s="1825"/>
      <c r="AQJ2" s="1825"/>
      <c r="AQK2" s="1825"/>
      <c r="AQL2" s="1825"/>
      <c r="AQM2" s="1825"/>
      <c r="AQN2" s="1825"/>
      <c r="AQO2" s="1825"/>
      <c r="AQP2" s="1825"/>
      <c r="AQQ2" s="1825"/>
      <c r="AQR2" s="1825"/>
      <c r="AQS2" s="1825"/>
      <c r="AQT2" s="1825"/>
      <c r="AQU2" s="1825"/>
      <c r="AQV2" s="1825"/>
      <c r="AQW2" s="1825"/>
      <c r="AQX2" s="1825"/>
      <c r="AQY2" s="1825"/>
      <c r="AQZ2" s="1825"/>
      <c r="ARA2" s="1825"/>
      <c r="ARB2" s="1825"/>
      <c r="ARC2" s="1825"/>
      <c r="ARD2" s="1825"/>
      <c r="ARE2" s="1825"/>
      <c r="ARF2" s="1825"/>
      <c r="ARG2" s="1825"/>
      <c r="ARH2" s="1825"/>
      <c r="ARI2" s="1825"/>
      <c r="ARJ2" s="1825"/>
      <c r="ARK2" s="1825"/>
      <c r="ARL2" s="1825"/>
      <c r="ARM2" s="1825"/>
      <c r="ARN2" s="1825"/>
      <c r="ARO2" s="1825"/>
      <c r="ARP2" s="1825"/>
      <c r="ARQ2" s="1825"/>
      <c r="ARR2" s="1825"/>
      <c r="ARS2" s="1825"/>
      <c r="ART2" s="1825"/>
      <c r="ARU2" s="1825"/>
      <c r="ARV2" s="1825"/>
      <c r="ARW2" s="1825"/>
      <c r="ARX2" s="1825"/>
      <c r="ARY2" s="1825"/>
      <c r="ARZ2" s="1825"/>
      <c r="ASA2" s="1825"/>
      <c r="ASB2" s="1825"/>
      <c r="ASC2" s="1825"/>
      <c r="ASD2" s="1825"/>
      <c r="ASE2" s="1825"/>
      <c r="ASF2" s="1825"/>
      <c r="ASG2" s="1825"/>
      <c r="ASH2" s="1825"/>
      <c r="ASI2" s="1825"/>
      <c r="ASJ2" s="1825"/>
      <c r="ASK2" s="1825"/>
      <c r="ASL2" s="1825"/>
      <c r="ASM2" s="1825"/>
      <c r="ASN2" s="1825"/>
      <c r="ASO2" s="1825"/>
      <c r="ASP2" s="1825"/>
      <c r="ASQ2" s="1825"/>
      <c r="ASR2" s="1825"/>
      <c r="ASS2" s="1825"/>
      <c r="AST2" s="1825"/>
      <c r="ASU2" s="1825"/>
      <c r="ASV2" s="1825"/>
      <c r="ASW2" s="1825"/>
      <c r="ASX2" s="1825"/>
      <c r="ASY2" s="1825"/>
      <c r="ASZ2" s="1825"/>
      <c r="ATA2" s="1825"/>
      <c r="ATB2" s="1825"/>
      <c r="ATC2" s="1825"/>
      <c r="ATD2" s="1825"/>
      <c r="ATE2" s="1825"/>
      <c r="ATF2" s="1825"/>
      <c r="ATG2" s="1825"/>
      <c r="ATH2" s="1825"/>
      <c r="ATI2" s="1825"/>
      <c r="ATJ2" s="1825"/>
      <c r="ATK2" s="1825"/>
      <c r="ATL2" s="1825"/>
      <c r="ATM2" s="1825"/>
      <c r="ATN2" s="1825"/>
      <c r="ATO2" s="1825"/>
      <c r="ATP2" s="1825"/>
      <c r="ATQ2" s="1825"/>
      <c r="ATR2" s="1825"/>
      <c r="ATS2" s="1825"/>
      <c r="ATT2" s="1825"/>
      <c r="ATU2" s="1825"/>
      <c r="ATV2" s="1825"/>
      <c r="ATW2" s="1825"/>
      <c r="ATX2" s="1825"/>
      <c r="ATY2" s="1825"/>
      <c r="ATZ2" s="1825"/>
      <c r="AUA2" s="1825"/>
      <c r="AUB2" s="1825"/>
      <c r="AUC2" s="1825"/>
      <c r="AUD2" s="1825"/>
      <c r="AUE2" s="1825"/>
      <c r="AUF2" s="1825"/>
      <c r="AUG2" s="1825"/>
      <c r="AUH2" s="1825"/>
      <c r="AUI2" s="1825"/>
      <c r="AUJ2" s="1825"/>
      <c r="AUK2" s="1825"/>
      <c r="AUL2" s="1825"/>
      <c r="AUM2" s="1825"/>
      <c r="AUN2" s="1825"/>
      <c r="AUO2" s="1825"/>
      <c r="AUP2" s="1825"/>
      <c r="AUQ2" s="1825"/>
      <c r="AUR2" s="1825"/>
      <c r="AUS2" s="1825"/>
      <c r="AUT2" s="1825"/>
      <c r="AUU2" s="1825"/>
      <c r="AUV2" s="1825"/>
      <c r="AUW2" s="1825"/>
      <c r="AUX2" s="1825"/>
      <c r="AUY2" s="1825"/>
      <c r="AUZ2" s="1825"/>
      <c r="AVA2" s="1825"/>
      <c r="AVB2" s="1825"/>
      <c r="AVC2" s="1825"/>
      <c r="AVD2" s="1825"/>
      <c r="AVE2" s="1825"/>
      <c r="AVF2" s="1825"/>
      <c r="AVG2" s="1825"/>
      <c r="AVH2" s="1825"/>
      <c r="AVI2" s="1825"/>
      <c r="AVJ2" s="1825"/>
      <c r="AVK2" s="1825"/>
      <c r="AVL2" s="1825"/>
      <c r="AVM2" s="1825"/>
      <c r="AVN2" s="1825"/>
      <c r="AVO2" s="1825"/>
      <c r="AVP2" s="1825"/>
      <c r="AVQ2" s="1825"/>
      <c r="AVR2" s="1825"/>
      <c r="AVS2" s="1825"/>
      <c r="AVT2" s="1825"/>
      <c r="AVU2" s="1825"/>
      <c r="AVV2" s="1825"/>
      <c r="AVW2" s="1825"/>
      <c r="AVX2" s="1825"/>
      <c r="AVY2" s="1825"/>
      <c r="AVZ2" s="1825"/>
      <c r="AWA2" s="1825"/>
      <c r="AWB2" s="1825"/>
      <c r="AWC2" s="1825"/>
      <c r="AWD2" s="1825"/>
      <c r="AWE2" s="1825"/>
      <c r="AWF2" s="1825"/>
      <c r="AWG2" s="1825"/>
      <c r="AWH2" s="1825"/>
      <c r="AWI2" s="1825"/>
      <c r="AWJ2" s="1825"/>
      <c r="AWK2" s="1825"/>
      <c r="AWL2" s="1825"/>
      <c r="AWM2" s="1825"/>
      <c r="AWN2" s="1825"/>
      <c r="AWO2" s="1825"/>
      <c r="AWP2" s="1825"/>
      <c r="AWQ2" s="1825"/>
      <c r="AWR2" s="1825"/>
      <c r="AWS2" s="1825"/>
      <c r="AWT2" s="1825"/>
      <c r="AWU2" s="1825"/>
      <c r="AWV2" s="1825"/>
      <c r="AWW2" s="1825"/>
      <c r="AWX2" s="1825"/>
      <c r="AWY2" s="1825"/>
      <c r="AWZ2" s="1825"/>
      <c r="AXA2" s="1825"/>
      <c r="AXB2" s="1825"/>
      <c r="AXC2" s="1825"/>
      <c r="AXD2" s="1825"/>
      <c r="AXE2" s="1825"/>
      <c r="AXF2" s="1825"/>
      <c r="AXG2" s="1825"/>
      <c r="AXH2" s="1825"/>
      <c r="AXI2" s="1825"/>
      <c r="AXJ2" s="1825"/>
      <c r="AXK2" s="1825"/>
      <c r="AXL2" s="1825"/>
      <c r="AXM2" s="1825"/>
      <c r="AXN2" s="1825"/>
      <c r="AXO2" s="1825"/>
      <c r="AXP2" s="1825"/>
      <c r="AXQ2" s="1825"/>
      <c r="AXR2" s="1825"/>
      <c r="AXS2" s="1825"/>
      <c r="AXT2" s="1825"/>
      <c r="AXU2" s="1825"/>
      <c r="AXV2" s="1825"/>
      <c r="AXW2" s="1825"/>
      <c r="AXX2" s="1825"/>
      <c r="AXY2" s="1825"/>
      <c r="AXZ2" s="1825"/>
      <c r="AYA2" s="1825"/>
      <c r="AYB2" s="1825"/>
      <c r="AYC2" s="1825"/>
      <c r="AYD2" s="1825"/>
      <c r="AYE2" s="1825"/>
      <c r="AYF2" s="1825"/>
      <c r="AYG2" s="1825"/>
      <c r="AYH2" s="1825"/>
      <c r="AYI2" s="1825"/>
      <c r="AYJ2" s="1825"/>
      <c r="AYK2" s="1825"/>
      <c r="AYL2" s="1825"/>
      <c r="AYM2" s="1825"/>
      <c r="AYN2" s="1825"/>
      <c r="AYO2" s="1825"/>
      <c r="AYP2" s="1825"/>
      <c r="AYQ2" s="1825"/>
      <c r="AYR2" s="1825"/>
      <c r="AYS2" s="1825"/>
      <c r="AYT2" s="1825"/>
      <c r="AYU2" s="1825"/>
      <c r="AYV2" s="1825"/>
      <c r="AYW2" s="1825"/>
      <c r="AYX2" s="1825"/>
      <c r="AYY2" s="1825"/>
      <c r="AYZ2" s="1825"/>
      <c r="AZA2" s="1825"/>
      <c r="AZB2" s="1825"/>
      <c r="AZC2" s="1825"/>
      <c r="AZD2" s="1825"/>
      <c r="AZE2" s="1825"/>
      <c r="AZF2" s="1825"/>
      <c r="AZG2" s="1825"/>
      <c r="AZH2" s="1825"/>
      <c r="AZI2" s="1825"/>
      <c r="AZJ2" s="1825"/>
      <c r="AZK2" s="1825"/>
      <c r="AZL2" s="1825"/>
      <c r="AZM2" s="1825"/>
      <c r="AZN2" s="1825"/>
      <c r="AZO2" s="1825"/>
      <c r="AZP2" s="1825"/>
      <c r="AZQ2" s="1825"/>
      <c r="AZR2" s="1825"/>
      <c r="AZS2" s="1825"/>
      <c r="AZT2" s="1825"/>
      <c r="AZU2" s="1825"/>
      <c r="AZV2" s="1825"/>
      <c r="AZW2" s="1825"/>
      <c r="AZX2" s="1825"/>
      <c r="AZY2" s="1825"/>
      <c r="AZZ2" s="1825"/>
      <c r="BAA2" s="1825"/>
      <c r="BAB2" s="1825"/>
      <c r="BAC2" s="1825"/>
      <c r="BAD2" s="1825"/>
      <c r="BAE2" s="1825"/>
      <c r="BAF2" s="1825"/>
      <c r="BAG2" s="1825"/>
      <c r="BAH2" s="1825"/>
      <c r="BAI2" s="1825"/>
      <c r="BAJ2" s="1825"/>
      <c r="BAK2" s="1825"/>
      <c r="BAL2" s="1825"/>
      <c r="BAM2" s="1825"/>
      <c r="BAN2" s="1825"/>
      <c r="BAO2" s="1825"/>
      <c r="BAP2" s="1825"/>
      <c r="BAQ2" s="1825"/>
      <c r="BAR2" s="1825"/>
      <c r="BAS2" s="1825"/>
      <c r="BAT2" s="1825"/>
      <c r="BAU2" s="1825"/>
      <c r="BAV2" s="1825"/>
      <c r="BAW2" s="1825"/>
      <c r="BAX2" s="1825"/>
      <c r="BAY2" s="1825"/>
      <c r="BAZ2" s="1825"/>
      <c r="BBA2" s="1825"/>
      <c r="BBB2" s="1825"/>
      <c r="BBC2" s="1825"/>
      <c r="BBD2" s="1825"/>
      <c r="BBE2" s="1825"/>
      <c r="BBF2" s="1825"/>
      <c r="BBG2" s="1825"/>
      <c r="BBH2" s="1825"/>
      <c r="BBI2" s="1825"/>
      <c r="BBJ2" s="1825"/>
      <c r="BBK2" s="1825"/>
      <c r="BBL2" s="1825"/>
      <c r="BBM2" s="1825"/>
      <c r="BBN2" s="1825"/>
      <c r="BBO2" s="1825"/>
      <c r="BBP2" s="1825"/>
      <c r="BBQ2" s="1825"/>
      <c r="BBR2" s="1825"/>
      <c r="BBS2" s="1825"/>
      <c r="BBT2" s="1825"/>
      <c r="BBU2" s="1825"/>
      <c r="BBV2" s="1825"/>
      <c r="BBW2" s="1825"/>
      <c r="BBX2" s="1825"/>
      <c r="BBY2" s="1825"/>
      <c r="BBZ2" s="1825"/>
      <c r="BCA2" s="1825"/>
      <c r="BCB2" s="1825"/>
      <c r="BCC2" s="1825"/>
      <c r="BCD2" s="1825"/>
      <c r="BCE2" s="1825"/>
      <c r="BCF2" s="1825"/>
      <c r="BCG2" s="1825"/>
      <c r="BCH2" s="1825"/>
      <c r="BCI2" s="1825"/>
      <c r="BCJ2" s="1825"/>
      <c r="BCK2" s="1825"/>
      <c r="BCL2" s="1825"/>
      <c r="BCM2" s="1825"/>
      <c r="BCN2" s="1825"/>
      <c r="BCO2" s="1825"/>
      <c r="BCP2" s="1825"/>
      <c r="BCQ2" s="1825"/>
      <c r="BCR2" s="1825"/>
      <c r="BCS2" s="1825"/>
      <c r="BCT2" s="1825"/>
      <c r="BCU2" s="1825"/>
      <c r="BCV2" s="1825"/>
      <c r="BCW2" s="1825"/>
      <c r="BCX2" s="1825"/>
      <c r="BCY2" s="1825"/>
      <c r="BCZ2" s="1825"/>
      <c r="BDA2" s="1825"/>
      <c r="BDB2" s="1825"/>
      <c r="BDC2" s="1825"/>
      <c r="BDD2" s="1825"/>
      <c r="BDE2" s="1825"/>
      <c r="BDF2" s="1825"/>
      <c r="BDG2" s="1825"/>
      <c r="BDH2" s="1825"/>
      <c r="BDI2" s="1825"/>
      <c r="BDJ2" s="1825"/>
      <c r="BDK2" s="1825"/>
      <c r="BDL2" s="1825"/>
      <c r="BDM2" s="1825"/>
      <c r="BDN2" s="1825"/>
      <c r="BDO2" s="1825"/>
      <c r="BDP2" s="1825"/>
      <c r="BDQ2" s="1825"/>
      <c r="BDR2" s="1825"/>
      <c r="BDS2" s="1825"/>
      <c r="BDT2" s="1825"/>
      <c r="BDU2" s="1825"/>
      <c r="BDV2" s="1825"/>
      <c r="BDW2" s="1825"/>
      <c r="BDX2" s="1825"/>
      <c r="BDY2" s="1825"/>
      <c r="BDZ2" s="1825"/>
      <c r="BEA2" s="1825"/>
      <c r="BEB2" s="1825"/>
      <c r="BEC2" s="1825"/>
      <c r="BED2" s="1825"/>
      <c r="BEE2" s="1825"/>
      <c r="BEF2" s="1825"/>
      <c r="BEG2" s="1825"/>
      <c r="BEH2" s="1825"/>
      <c r="BEI2" s="1825"/>
      <c r="BEJ2" s="1825"/>
      <c r="BEK2" s="1825"/>
      <c r="BEL2" s="1825"/>
      <c r="BEM2" s="1825"/>
      <c r="BEN2" s="1825"/>
      <c r="BEO2" s="1825"/>
      <c r="BEP2" s="1825"/>
      <c r="BEQ2" s="1825"/>
      <c r="BER2" s="1825"/>
      <c r="BES2" s="1825"/>
      <c r="BET2" s="1825"/>
      <c r="BEU2" s="1825"/>
      <c r="BEV2" s="1825"/>
      <c r="BEW2" s="1825"/>
      <c r="BEX2" s="1825"/>
      <c r="BEY2" s="1825"/>
      <c r="BEZ2" s="1825"/>
      <c r="BFA2" s="1825"/>
      <c r="BFB2" s="1825"/>
      <c r="BFC2" s="1825"/>
      <c r="BFD2" s="1825"/>
      <c r="BFE2" s="1825"/>
      <c r="BFF2" s="1825"/>
      <c r="BFG2" s="1825"/>
      <c r="BFH2" s="1825"/>
      <c r="BFI2" s="1825"/>
      <c r="BFJ2" s="1825"/>
      <c r="BFK2" s="1825"/>
      <c r="BFL2" s="1825"/>
      <c r="BFM2" s="1825"/>
      <c r="BFN2" s="1825"/>
      <c r="BFO2" s="1825"/>
      <c r="BFP2" s="1825"/>
      <c r="BFQ2" s="1825"/>
      <c r="BFR2" s="1825"/>
      <c r="BFS2" s="1825"/>
      <c r="BFT2" s="1825"/>
      <c r="BFU2" s="1825"/>
      <c r="BFV2" s="1825"/>
      <c r="BFW2" s="1825"/>
      <c r="BFX2" s="1825"/>
      <c r="BFY2" s="1825"/>
      <c r="BFZ2" s="1825"/>
      <c r="BGA2" s="1825"/>
      <c r="BGB2" s="1825"/>
      <c r="BGC2" s="1825"/>
      <c r="BGD2" s="1825"/>
      <c r="BGE2" s="1825"/>
      <c r="BGF2" s="1825"/>
      <c r="BGG2" s="1825"/>
      <c r="BGH2" s="1825"/>
      <c r="BGI2" s="1825"/>
      <c r="BGJ2" s="1825"/>
      <c r="BGK2" s="1825"/>
      <c r="BGL2" s="1825"/>
      <c r="BGM2" s="1825"/>
      <c r="BGN2" s="1825"/>
      <c r="BGO2" s="1825"/>
      <c r="BGP2" s="1825"/>
      <c r="BGQ2" s="1825"/>
      <c r="BGR2" s="1825"/>
      <c r="BGS2" s="1825"/>
      <c r="BGT2" s="1825"/>
      <c r="BGU2" s="1825"/>
      <c r="BGV2" s="1825"/>
      <c r="BGW2" s="1825"/>
      <c r="BGX2" s="1825"/>
      <c r="BGY2" s="1825"/>
      <c r="BGZ2" s="1825"/>
      <c r="BHA2" s="1825"/>
      <c r="BHB2" s="1825"/>
      <c r="BHC2" s="1825"/>
      <c r="BHD2" s="1825"/>
      <c r="BHE2" s="1825"/>
      <c r="BHF2" s="1825"/>
      <c r="BHG2" s="1825"/>
      <c r="BHH2" s="1825"/>
      <c r="BHI2" s="1825"/>
      <c r="BHJ2" s="1825"/>
      <c r="BHK2" s="1825"/>
      <c r="BHL2" s="1825"/>
      <c r="BHM2" s="1825"/>
      <c r="BHN2" s="1825"/>
      <c r="BHO2" s="1825"/>
      <c r="BHP2" s="1825"/>
      <c r="BHQ2" s="1825"/>
      <c r="BHR2" s="1825"/>
      <c r="BHS2" s="1825"/>
      <c r="BHT2" s="1825"/>
      <c r="BHU2" s="1825"/>
      <c r="BHV2" s="1825"/>
      <c r="BHW2" s="1825"/>
      <c r="BHX2" s="1825"/>
      <c r="BHY2" s="1825"/>
      <c r="BHZ2" s="1825"/>
      <c r="BIA2" s="1825"/>
      <c r="BIB2" s="1825"/>
      <c r="BIC2" s="1825"/>
      <c r="BID2" s="1825"/>
      <c r="BIE2" s="1825"/>
      <c r="BIF2" s="1825"/>
      <c r="BIG2" s="1825"/>
      <c r="BIH2" s="1825"/>
      <c r="BII2" s="1825"/>
      <c r="BIJ2" s="1825"/>
      <c r="BIK2" s="1825"/>
      <c r="BIL2" s="1825"/>
      <c r="BIM2" s="1825"/>
      <c r="BIN2" s="1825"/>
      <c r="BIO2" s="1825"/>
      <c r="BIP2" s="1825"/>
      <c r="BIQ2" s="1825"/>
      <c r="BIR2" s="1825"/>
      <c r="BIS2" s="1825"/>
      <c r="BIT2" s="1825"/>
      <c r="BIU2" s="1825"/>
      <c r="BIV2" s="1825"/>
      <c r="BIW2" s="1825"/>
      <c r="BIX2" s="1825"/>
      <c r="BIY2" s="1825"/>
      <c r="BIZ2" s="1825"/>
      <c r="BJA2" s="1825"/>
      <c r="BJB2" s="1825"/>
      <c r="BJC2" s="1825"/>
      <c r="BJD2" s="1825"/>
      <c r="BJE2" s="1825"/>
      <c r="BJF2" s="1825"/>
      <c r="BJG2" s="1825"/>
      <c r="BJH2" s="1825"/>
      <c r="BJI2" s="1825"/>
      <c r="BJJ2" s="1825"/>
      <c r="BJK2" s="1825"/>
      <c r="BJL2" s="1825"/>
      <c r="BJM2" s="1825"/>
      <c r="BJN2" s="1825"/>
      <c r="BJO2" s="1825"/>
      <c r="BJP2" s="1825"/>
      <c r="BJQ2" s="1825"/>
      <c r="BJR2" s="1825"/>
      <c r="BJS2" s="1825"/>
      <c r="BJT2" s="1825"/>
      <c r="BJU2" s="1825"/>
      <c r="BJV2" s="1825"/>
      <c r="BJW2" s="1825"/>
      <c r="BJX2" s="1825"/>
      <c r="BJY2" s="1825"/>
      <c r="BJZ2" s="1825"/>
      <c r="BKA2" s="1825"/>
      <c r="BKB2" s="1825"/>
      <c r="BKC2" s="1825"/>
      <c r="BKD2" s="1825"/>
      <c r="BKE2" s="1825"/>
      <c r="BKF2" s="1825"/>
      <c r="BKG2" s="1825"/>
      <c r="BKH2" s="1825"/>
      <c r="BKI2" s="1825"/>
      <c r="BKJ2" s="1825"/>
      <c r="BKK2" s="1825"/>
      <c r="BKL2" s="1825"/>
      <c r="BKM2" s="1825"/>
      <c r="BKN2" s="1825"/>
      <c r="BKO2" s="1825"/>
      <c r="BKP2" s="1825"/>
      <c r="BKQ2" s="1825"/>
      <c r="BKR2" s="1825"/>
      <c r="BKS2" s="1825"/>
      <c r="BKT2" s="1825"/>
      <c r="BKU2" s="1825"/>
      <c r="BKV2" s="1825"/>
      <c r="BKW2" s="1825"/>
      <c r="BKX2" s="1825"/>
      <c r="BKY2" s="1825"/>
      <c r="BKZ2" s="1825"/>
      <c r="BLA2" s="1825"/>
      <c r="BLB2" s="1825"/>
      <c r="BLC2" s="1825"/>
      <c r="BLD2" s="1825"/>
      <c r="BLE2" s="1825"/>
      <c r="BLF2" s="1825"/>
      <c r="BLG2" s="1825"/>
      <c r="BLH2" s="1825"/>
      <c r="BLI2" s="1825"/>
      <c r="BLJ2" s="1825"/>
      <c r="BLK2" s="1825"/>
      <c r="BLL2" s="1825"/>
      <c r="BLM2" s="1825"/>
      <c r="BLN2" s="1825"/>
      <c r="BLO2" s="1825"/>
      <c r="BLP2" s="1825"/>
      <c r="BLQ2" s="1825"/>
      <c r="BLR2" s="1825"/>
      <c r="BLS2" s="1825"/>
      <c r="BLT2" s="1825"/>
      <c r="BLU2" s="1825"/>
      <c r="BLV2" s="1825"/>
      <c r="BLW2" s="1825"/>
      <c r="BLX2" s="1825"/>
      <c r="BLY2" s="1825"/>
      <c r="BLZ2" s="1825"/>
      <c r="BMA2" s="1825"/>
      <c r="BMB2" s="1825"/>
      <c r="BMC2" s="1825"/>
      <c r="BMD2" s="1825"/>
      <c r="BME2" s="1825"/>
      <c r="BMF2" s="1825"/>
      <c r="BMG2" s="1825"/>
      <c r="BMH2" s="1825"/>
      <c r="BMI2" s="1825"/>
      <c r="BMJ2" s="1825"/>
      <c r="BMK2" s="1825"/>
      <c r="BML2" s="1825"/>
      <c r="BMM2" s="1825"/>
      <c r="BMN2" s="1825"/>
      <c r="BMO2" s="1825"/>
      <c r="BMP2" s="1825"/>
      <c r="BMQ2" s="1825"/>
      <c r="BMR2" s="1825"/>
      <c r="BMS2" s="1825"/>
      <c r="BMT2" s="1825"/>
      <c r="BMU2" s="1825"/>
      <c r="BMV2" s="1825"/>
      <c r="BMW2" s="1825"/>
      <c r="BMX2" s="1825"/>
      <c r="BMY2" s="1825"/>
      <c r="BMZ2" s="1825"/>
      <c r="BNA2" s="1825"/>
      <c r="BNB2" s="1825"/>
      <c r="BNC2" s="1825"/>
      <c r="BND2" s="1825"/>
      <c r="BNE2" s="1825"/>
      <c r="BNF2" s="1825"/>
      <c r="BNG2" s="1825"/>
      <c r="BNH2" s="1825"/>
      <c r="BNI2" s="1825"/>
      <c r="BNJ2" s="1825"/>
      <c r="BNK2" s="1825"/>
      <c r="BNL2" s="1825"/>
      <c r="BNM2" s="1825"/>
      <c r="BNN2" s="1825"/>
      <c r="BNO2" s="1825"/>
      <c r="BNP2" s="1825"/>
      <c r="BNQ2" s="1825"/>
      <c r="BNR2" s="1825"/>
      <c r="BNS2" s="1825"/>
      <c r="BNT2" s="1825"/>
      <c r="BNU2" s="1825"/>
      <c r="BNV2" s="1825"/>
      <c r="BNW2" s="1825"/>
      <c r="BNX2" s="1825"/>
      <c r="BNY2" s="1825"/>
      <c r="BNZ2" s="1825"/>
      <c r="BOA2" s="1825"/>
      <c r="BOB2" s="1825"/>
      <c r="BOC2" s="1825"/>
      <c r="BOD2" s="1825"/>
      <c r="BOE2" s="1825"/>
      <c r="BOF2" s="1825"/>
      <c r="BOG2" s="1825"/>
      <c r="BOH2" s="1825"/>
      <c r="BOI2" s="1825"/>
      <c r="BOJ2" s="1825"/>
      <c r="BOK2" s="1825"/>
      <c r="BOL2" s="1825"/>
      <c r="BOM2" s="1825"/>
      <c r="BON2" s="1825"/>
      <c r="BOO2" s="1825"/>
      <c r="BOP2" s="1825"/>
      <c r="BOQ2" s="1825"/>
      <c r="BOR2" s="1825"/>
      <c r="BOS2" s="1825"/>
      <c r="BOT2" s="1825"/>
      <c r="BOU2" s="1825"/>
      <c r="BOV2" s="1825"/>
      <c r="BOW2" s="1825"/>
      <c r="BOX2" s="1825"/>
      <c r="BOY2" s="1825"/>
      <c r="BOZ2" s="1825"/>
      <c r="BPA2" s="1825"/>
      <c r="BPB2" s="1825"/>
      <c r="BPC2" s="1825"/>
      <c r="BPD2" s="1825"/>
      <c r="BPE2" s="1825"/>
      <c r="BPF2" s="1825"/>
      <c r="BPG2" s="1825"/>
      <c r="BPH2" s="1825"/>
      <c r="BPI2" s="1825"/>
      <c r="BPJ2" s="1825"/>
      <c r="BPK2" s="1825"/>
      <c r="BPL2" s="1825"/>
      <c r="BPM2" s="1825"/>
      <c r="BPN2" s="1825"/>
      <c r="BPO2" s="1825"/>
      <c r="BPP2" s="1825"/>
      <c r="BPQ2" s="1825"/>
      <c r="BPR2" s="1825"/>
      <c r="BPS2" s="1825"/>
      <c r="BPT2" s="1825"/>
      <c r="BPU2" s="1825"/>
      <c r="BPV2" s="1825"/>
      <c r="BPW2" s="1825"/>
      <c r="BPX2" s="1825"/>
      <c r="BPY2" s="1825"/>
      <c r="BPZ2" s="1825"/>
      <c r="BQA2" s="1825"/>
      <c r="BQB2" s="1825"/>
      <c r="BQC2" s="1825"/>
      <c r="BQD2" s="1825"/>
      <c r="BQE2" s="1825"/>
      <c r="BQF2" s="1825"/>
      <c r="BQG2" s="1825"/>
      <c r="BQH2" s="1825"/>
      <c r="BQI2" s="1825"/>
      <c r="BQJ2" s="1825"/>
      <c r="BQK2" s="1825"/>
      <c r="BQL2" s="1825"/>
      <c r="BQM2" s="1825"/>
      <c r="BQN2" s="1825"/>
      <c r="BQO2" s="1825"/>
      <c r="BQP2" s="1825"/>
      <c r="BQQ2" s="1825"/>
      <c r="BQR2" s="1825"/>
      <c r="BQS2" s="1825"/>
      <c r="BQT2" s="1825"/>
      <c r="BQU2" s="1825"/>
      <c r="BQV2" s="1825"/>
      <c r="BQW2" s="1825"/>
      <c r="BQX2" s="1825"/>
      <c r="BQY2" s="1825"/>
      <c r="BQZ2" s="1825"/>
      <c r="BRA2" s="1825"/>
      <c r="BRB2" s="1825"/>
      <c r="BRC2" s="1825"/>
      <c r="BRD2" s="1825"/>
      <c r="BRE2" s="1825"/>
      <c r="BRF2" s="1825"/>
      <c r="BRG2" s="1825"/>
      <c r="BRH2" s="1825"/>
      <c r="BRI2" s="1825"/>
      <c r="BRJ2" s="1825"/>
      <c r="BRK2" s="1825"/>
      <c r="BRL2" s="1825"/>
      <c r="BRM2" s="1825"/>
      <c r="BRN2" s="1825"/>
      <c r="BRO2" s="1825"/>
      <c r="BRP2" s="1825"/>
      <c r="BRQ2" s="1825"/>
      <c r="BRR2" s="1825"/>
      <c r="BRS2" s="1825"/>
      <c r="BRT2" s="1825"/>
      <c r="BRU2" s="1825"/>
      <c r="BRV2" s="1825"/>
      <c r="BRW2" s="1825"/>
      <c r="BRX2" s="1825"/>
      <c r="BRY2" s="1825"/>
      <c r="BRZ2" s="1825"/>
      <c r="BSA2" s="1825"/>
      <c r="BSB2" s="1825"/>
      <c r="BSC2" s="1825"/>
      <c r="BSD2" s="1825"/>
      <c r="BSE2" s="1825"/>
      <c r="BSF2" s="1825"/>
      <c r="BSG2" s="1825"/>
      <c r="BSH2" s="1825"/>
      <c r="BSI2" s="1825"/>
      <c r="BSJ2" s="1825"/>
      <c r="BSK2" s="1825"/>
      <c r="BSL2" s="1825"/>
      <c r="BSM2" s="1825"/>
      <c r="BSN2" s="1825"/>
      <c r="BSO2" s="1825"/>
      <c r="BSP2" s="1825"/>
      <c r="BSQ2" s="1825"/>
      <c r="BSR2" s="1825"/>
      <c r="BSS2" s="1825"/>
      <c r="BST2" s="1825"/>
      <c r="BSU2" s="1825"/>
      <c r="BSV2" s="1825"/>
      <c r="BSW2" s="1825"/>
      <c r="BSX2" s="1825"/>
      <c r="BSY2" s="1825"/>
      <c r="BSZ2" s="1825"/>
      <c r="BTA2" s="1825"/>
      <c r="BTB2" s="1825"/>
      <c r="BTC2" s="1825"/>
      <c r="BTD2" s="1825"/>
      <c r="BTE2" s="1825"/>
      <c r="BTF2" s="1825"/>
      <c r="BTG2" s="1825"/>
      <c r="BTH2" s="1825"/>
      <c r="BTI2" s="1825"/>
      <c r="BTJ2" s="1825"/>
      <c r="BTK2" s="1825"/>
      <c r="BTL2" s="1825"/>
      <c r="BTM2" s="1825"/>
      <c r="BTN2" s="1825"/>
      <c r="BTO2" s="1825"/>
      <c r="BTP2" s="1825"/>
      <c r="BTQ2" s="1825"/>
      <c r="BTR2" s="1825"/>
      <c r="BTS2" s="1825"/>
      <c r="BTT2" s="1825"/>
      <c r="BTU2" s="1825"/>
      <c r="BTV2" s="1825"/>
      <c r="BTW2" s="1825"/>
      <c r="BTX2" s="1825"/>
      <c r="BTY2" s="1825"/>
      <c r="BTZ2" s="1825"/>
      <c r="BUA2" s="1825"/>
      <c r="BUB2" s="1825"/>
      <c r="BUC2" s="1825"/>
      <c r="BUD2" s="1825"/>
      <c r="BUE2" s="1825"/>
      <c r="BUF2" s="1825"/>
      <c r="BUG2" s="1825"/>
      <c r="BUH2" s="1825"/>
      <c r="BUI2" s="1825"/>
      <c r="BUJ2" s="1825"/>
      <c r="BUK2" s="1825"/>
      <c r="BUL2" s="1825"/>
      <c r="BUM2" s="1825"/>
      <c r="BUN2" s="1825"/>
      <c r="BUO2" s="1825"/>
      <c r="BUP2" s="1825"/>
      <c r="BUQ2" s="1825"/>
      <c r="BUR2" s="1825"/>
      <c r="BUS2" s="1825"/>
      <c r="BUT2" s="1825"/>
      <c r="BUU2" s="1825"/>
      <c r="BUV2" s="1825"/>
      <c r="BUW2" s="1825"/>
      <c r="BUX2" s="1825"/>
      <c r="BUY2" s="1825"/>
      <c r="BUZ2" s="1825"/>
      <c r="BVA2" s="1825"/>
      <c r="BVB2" s="1825"/>
      <c r="BVC2" s="1825"/>
      <c r="BVD2" s="1825"/>
      <c r="BVE2" s="1825"/>
      <c r="BVF2" s="1825"/>
      <c r="BVG2" s="1825"/>
      <c r="BVH2" s="1825"/>
      <c r="BVI2" s="1825"/>
      <c r="BVJ2" s="1825"/>
      <c r="BVK2" s="1825"/>
      <c r="BVL2" s="1825"/>
      <c r="BVM2" s="1825"/>
      <c r="BVN2" s="1825"/>
      <c r="BVO2" s="1825"/>
      <c r="BVP2" s="1825"/>
      <c r="BVQ2" s="1825"/>
      <c r="BVR2" s="1825"/>
      <c r="BVS2" s="1825"/>
      <c r="BVT2" s="1825"/>
      <c r="BVU2" s="1825"/>
      <c r="BVV2" s="1825"/>
      <c r="BVW2" s="1825"/>
      <c r="BVX2" s="1825"/>
      <c r="BVY2" s="1825"/>
      <c r="BVZ2" s="1825"/>
      <c r="BWA2" s="1825"/>
      <c r="BWB2" s="1825"/>
      <c r="BWC2" s="1825"/>
      <c r="BWD2" s="1825"/>
      <c r="BWE2" s="1825"/>
      <c r="BWF2" s="1825"/>
      <c r="BWG2" s="1825"/>
      <c r="BWH2" s="1825"/>
      <c r="BWI2" s="1825"/>
      <c r="BWJ2" s="1825"/>
      <c r="BWK2" s="1825"/>
      <c r="BWL2" s="1825"/>
      <c r="BWM2" s="1825"/>
      <c r="BWN2" s="1825"/>
      <c r="BWO2" s="1825"/>
      <c r="BWP2" s="1825"/>
      <c r="BWQ2" s="1825"/>
      <c r="BWR2" s="1825"/>
      <c r="BWS2" s="1825"/>
      <c r="BWT2" s="1825"/>
      <c r="BWU2" s="1825"/>
      <c r="BWV2" s="1825"/>
      <c r="BWW2" s="1825"/>
      <c r="BWX2" s="1825"/>
      <c r="BWY2" s="1825"/>
      <c r="BWZ2" s="1825"/>
      <c r="BXA2" s="1825"/>
      <c r="BXB2" s="1825"/>
      <c r="BXC2" s="1825"/>
      <c r="BXD2" s="1825"/>
      <c r="BXE2" s="1825"/>
      <c r="BXF2" s="1825"/>
      <c r="BXG2" s="1825"/>
      <c r="BXH2" s="1825"/>
      <c r="BXI2" s="1825"/>
      <c r="BXJ2" s="1825"/>
      <c r="BXK2" s="1825"/>
      <c r="BXL2" s="1825"/>
      <c r="BXM2" s="1825"/>
      <c r="BXN2" s="1825"/>
      <c r="BXO2" s="1825"/>
      <c r="BXP2" s="1825"/>
      <c r="BXQ2" s="1825"/>
      <c r="BXR2" s="1825"/>
      <c r="BXS2" s="1825"/>
      <c r="BXT2" s="1825"/>
      <c r="BXU2" s="1825"/>
      <c r="BXV2" s="1825"/>
      <c r="BXW2" s="1825"/>
      <c r="BXX2" s="1825"/>
      <c r="BXY2" s="1825"/>
      <c r="BXZ2" s="1825"/>
      <c r="BYA2" s="1825"/>
      <c r="BYB2" s="1825"/>
      <c r="BYC2" s="1825"/>
      <c r="BYD2" s="1825"/>
      <c r="BYE2" s="1825"/>
      <c r="BYF2" s="1825"/>
      <c r="BYG2" s="1825"/>
      <c r="BYH2" s="1825"/>
      <c r="BYI2" s="1825"/>
      <c r="BYJ2" s="1825"/>
      <c r="BYK2" s="1825"/>
      <c r="BYL2" s="1825"/>
      <c r="BYM2" s="1825"/>
      <c r="BYN2" s="1825"/>
      <c r="BYO2" s="1825"/>
      <c r="BYP2" s="1825"/>
      <c r="BYQ2" s="1825"/>
      <c r="BYR2" s="1825"/>
      <c r="BYS2" s="1825"/>
      <c r="BYT2" s="1825"/>
      <c r="BYU2" s="1825"/>
      <c r="BYV2" s="1825"/>
      <c r="BYW2" s="1825"/>
      <c r="BYX2" s="1825"/>
      <c r="BYY2" s="1825"/>
      <c r="BYZ2" s="1825"/>
      <c r="BZA2" s="1825"/>
      <c r="BZB2" s="1825"/>
      <c r="BZC2" s="1825"/>
      <c r="BZD2" s="1825"/>
      <c r="BZE2" s="1825"/>
      <c r="BZF2" s="1825"/>
      <c r="BZG2" s="1825"/>
      <c r="BZH2" s="1825"/>
      <c r="BZI2" s="1825"/>
      <c r="BZJ2" s="1825"/>
      <c r="BZK2" s="1825"/>
      <c r="BZL2" s="1825"/>
      <c r="BZM2" s="1825"/>
      <c r="BZN2" s="1825"/>
      <c r="BZO2" s="1825"/>
      <c r="BZP2" s="1825"/>
      <c r="BZQ2" s="1825"/>
      <c r="BZR2" s="1825"/>
      <c r="BZS2" s="1825"/>
      <c r="BZT2" s="1825"/>
      <c r="BZU2" s="1825"/>
      <c r="BZV2" s="1825"/>
      <c r="BZW2" s="1825"/>
      <c r="BZX2" s="1825"/>
      <c r="BZY2" s="1825"/>
      <c r="BZZ2" s="1825"/>
      <c r="CAA2" s="1825"/>
      <c r="CAB2" s="1825"/>
      <c r="CAC2" s="1825"/>
      <c r="CAD2" s="1825"/>
      <c r="CAE2" s="1825"/>
      <c r="CAF2" s="1825"/>
      <c r="CAG2" s="1825"/>
      <c r="CAH2" s="1825"/>
      <c r="CAI2" s="1825"/>
      <c r="CAJ2" s="1825"/>
      <c r="CAK2" s="1825"/>
      <c r="CAL2" s="1825"/>
      <c r="CAM2" s="1825"/>
      <c r="CAN2" s="1825"/>
      <c r="CAO2" s="1825"/>
      <c r="CAP2" s="1825"/>
      <c r="CAQ2" s="1825"/>
      <c r="CAR2" s="1825"/>
      <c r="CAS2" s="1825"/>
      <c r="CAT2" s="1825"/>
      <c r="CAU2" s="1825"/>
      <c r="CAV2" s="1825"/>
      <c r="CAW2" s="1825"/>
      <c r="CAX2" s="1825"/>
      <c r="CAY2" s="1825"/>
      <c r="CAZ2" s="1825"/>
      <c r="CBA2" s="1825"/>
      <c r="CBB2" s="1825"/>
      <c r="CBC2" s="1825"/>
      <c r="CBD2" s="1825"/>
      <c r="CBE2" s="1825"/>
      <c r="CBF2" s="1825"/>
      <c r="CBG2" s="1825"/>
      <c r="CBH2" s="1825"/>
      <c r="CBI2" s="1825"/>
      <c r="CBJ2" s="1825"/>
      <c r="CBK2" s="1825"/>
      <c r="CBL2" s="1825"/>
      <c r="CBM2" s="1825"/>
      <c r="CBN2" s="1825"/>
      <c r="CBO2" s="1825"/>
      <c r="CBP2" s="1825"/>
      <c r="CBQ2" s="1825"/>
      <c r="CBR2" s="1825"/>
      <c r="CBS2" s="1825"/>
      <c r="CBT2" s="1825"/>
      <c r="CBU2" s="1825"/>
      <c r="CBV2" s="1825"/>
      <c r="CBW2" s="1825"/>
      <c r="CBX2" s="1825"/>
      <c r="CBY2" s="1825"/>
      <c r="CBZ2" s="1825"/>
      <c r="CCA2" s="1825"/>
      <c r="CCB2" s="1825"/>
      <c r="CCC2" s="1825"/>
      <c r="CCD2" s="1825"/>
      <c r="CCE2" s="1825"/>
      <c r="CCF2" s="1825"/>
      <c r="CCG2" s="1825"/>
      <c r="CCH2" s="1825"/>
      <c r="CCI2" s="1825"/>
      <c r="CCJ2" s="1825"/>
      <c r="CCK2" s="1825"/>
      <c r="CCL2" s="1825"/>
      <c r="CCM2" s="1825"/>
      <c r="CCN2" s="1825"/>
      <c r="CCO2" s="1825"/>
      <c r="CCP2" s="1825"/>
      <c r="CCQ2" s="1825"/>
      <c r="CCR2" s="1825"/>
      <c r="CCS2" s="1825"/>
      <c r="CCT2" s="1825"/>
      <c r="CCU2" s="1825"/>
      <c r="CCV2" s="1825"/>
      <c r="CCW2" s="1825"/>
      <c r="CCX2" s="1825"/>
      <c r="CCY2" s="1825"/>
      <c r="CCZ2" s="1825"/>
      <c r="CDA2" s="1825"/>
      <c r="CDB2" s="1825"/>
      <c r="CDC2" s="1825"/>
      <c r="CDD2" s="1825"/>
      <c r="CDE2" s="1825"/>
      <c r="CDF2" s="1825"/>
      <c r="CDG2" s="1825"/>
      <c r="CDH2" s="1825"/>
      <c r="CDI2" s="1825"/>
      <c r="CDJ2" s="1825"/>
      <c r="CDK2" s="1825"/>
      <c r="CDL2" s="1825"/>
      <c r="CDM2" s="1825"/>
      <c r="CDN2" s="1825"/>
      <c r="CDO2" s="1825"/>
      <c r="CDP2" s="1825"/>
      <c r="CDQ2" s="1825"/>
      <c r="CDR2" s="1825"/>
      <c r="CDS2" s="1825"/>
      <c r="CDT2" s="1825"/>
      <c r="CDU2" s="1825"/>
      <c r="CDV2" s="1825"/>
      <c r="CDW2" s="1825"/>
      <c r="CDX2" s="1825"/>
      <c r="CDY2" s="1825"/>
      <c r="CDZ2" s="1825"/>
      <c r="CEA2" s="1825"/>
      <c r="CEB2" s="1825"/>
      <c r="CEC2" s="1825"/>
      <c r="CED2" s="1825"/>
      <c r="CEE2" s="1825"/>
      <c r="CEF2" s="1825"/>
      <c r="CEG2" s="1825"/>
      <c r="CEH2" s="1825"/>
      <c r="CEI2" s="1825"/>
      <c r="CEJ2" s="1825"/>
      <c r="CEK2" s="1825"/>
      <c r="CEL2" s="1825"/>
      <c r="CEM2" s="1825"/>
      <c r="CEN2" s="1825"/>
      <c r="CEO2" s="1825"/>
      <c r="CEP2" s="1825"/>
      <c r="CEQ2" s="1825"/>
      <c r="CER2" s="1825"/>
      <c r="CES2" s="1825"/>
      <c r="CET2" s="1825"/>
      <c r="CEU2" s="1825"/>
      <c r="CEV2" s="1825"/>
      <c r="CEW2" s="1825"/>
      <c r="CEX2" s="1825"/>
      <c r="CEY2" s="1825"/>
      <c r="CEZ2" s="1825"/>
      <c r="CFA2" s="1825"/>
      <c r="CFB2" s="1825"/>
      <c r="CFC2" s="1825"/>
      <c r="CFD2" s="1825"/>
      <c r="CFE2" s="1825"/>
      <c r="CFF2" s="1825"/>
      <c r="CFG2" s="1825"/>
      <c r="CFH2" s="1825"/>
      <c r="CFI2" s="1825"/>
      <c r="CFJ2" s="1825"/>
      <c r="CFK2" s="1825"/>
      <c r="CFL2" s="1825"/>
      <c r="CFM2" s="1825"/>
      <c r="CFN2" s="1825"/>
      <c r="CFO2" s="1825"/>
      <c r="CFP2" s="1825"/>
      <c r="CFQ2" s="1825"/>
      <c r="CFR2" s="1825"/>
      <c r="CFS2" s="1825"/>
      <c r="CFT2" s="1825"/>
      <c r="CFU2" s="1825"/>
      <c r="CFV2" s="1825"/>
      <c r="CFW2" s="1825"/>
      <c r="CFX2" s="1825"/>
      <c r="CFY2" s="1825"/>
      <c r="CFZ2" s="1825"/>
      <c r="CGA2" s="1825"/>
      <c r="CGB2" s="1825"/>
      <c r="CGC2" s="1825"/>
      <c r="CGD2" s="1825"/>
      <c r="CGE2" s="1825"/>
      <c r="CGF2" s="1825"/>
      <c r="CGG2" s="1825"/>
      <c r="CGH2" s="1825"/>
      <c r="CGI2" s="1825"/>
      <c r="CGJ2" s="1825"/>
      <c r="CGK2" s="1825"/>
      <c r="CGL2" s="1825"/>
      <c r="CGM2" s="1825"/>
      <c r="CGN2" s="1825"/>
      <c r="CGO2" s="1825"/>
      <c r="CGP2" s="1825"/>
      <c r="CGQ2" s="1825"/>
      <c r="CGR2" s="1825"/>
      <c r="CGS2" s="1825"/>
      <c r="CGT2" s="1825"/>
      <c r="CGU2" s="1825"/>
      <c r="CGV2" s="1825"/>
      <c r="CGW2" s="1825"/>
      <c r="CGX2" s="1825"/>
      <c r="CGY2" s="1825"/>
      <c r="CGZ2" s="1825"/>
      <c r="CHA2" s="1825"/>
      <c r="CHB2" s="1825"/>
      <c r="CHC2" s="1825"/>
      <c r="CHD2" s="1825"/>
      <c r="CHE2" s="1825"/>
      <c r="CHF2" s="1825"/>
      <c r="CHG2" s="1825"/>
      <c r="CHH2" s="1825"/>
      <c r="CHI2" s="1825"/>
      <c r="CHJ2" s="1825"/>
      <c r="CHK2" s="1825"/>
      <c r="CHL2" s="1825"/>
      <c r="CHM2" s="1825"/>
      <c r="CHN2" s="1825"/>
      <c r="CHO2" s="1825"/>
      <c r="CHP2" s="1825"/>
      <c r="CHQ2" s="1825"/>
      <c r="CHR2" s="1825"/>
      <c r="CHS2" s="1825"/>
      <c r="CHT2" s="1825"/>
      <c r="CHU2" s="1825"/>
      <c r="CHV2" s="1825"/>
      <c r="CHW2" s="1825"/>
      <c r="CHX2" s="1825"/>
      <c r="CHY2" s="1825"/>
      <c r="CHZ2" s="1825"/>
      <c r="CIA2" s="1825"/>
      <c r="CIB2" s="1825"/>
      <c r="CIC2" s="1825"/>
      <c r="CID2" s="1825"/>
      <c r="CIE2" s="1825"/>
      <c r="CIF2" s="1825"/>
      <c r="CIG2" s="1825"/>
      <c r="CIH2" s="1825"/>
      <c r="CII2" s="1825"/>
      <c r="CIJ2" s="1825"/>
      <c r="CIK2" s="1825"/>
      <c r="CIL2" s="1825"/>
      <c r="CIM2" s="1825"/>
      <c r="CIN2" s="1825"/>
      <c r="CIO2" s="1825"/>
      <c r="CIP2" s="1825"/>
      <c r="CIQ2" s="1825"/>
      <c r="CIR2" s="1825"/>
      <c r="CIS2" s="1825"/>
      <c r="CIT2" s="1825"/>
      <c r="CIU2" s="1825"/>
      <c r="CIV2" s="1825"/>
      <c r="CIW2" s="1825"/>
      <c r="CIX2" s="1825"/>
      <c r="CIY2" s="1825"/>
      <c r="CIZ2" s="1825"/>
      <c r="CJA2" s="1825"/>
      <c r="CJB2" s="1825"/>
      <c r="CJC2" s="1825"/>
      <c r="CJD2" s="1825"/>
      <c r="CJE2" s="1825"/>
      <c r="CJF2" s="1825"/>
      <c r="CJG2" s="1825"/>
      <c r="CJH2" s="1825"/>
      <c r="CJI2" s="1825"/>
      <c r="CJJ2" s="1825"/>
      <c r="CJK2" s="1825"/>
      <c r="CJL2" s="1825"/>
      <c r="CJM2" s="1825"/>
      <c r="CJN2" s="1825"/>
      <c r="CJO2" s="1825"/>
      <c r="CJP2" s="1825"/>
      <c r="CJQ2" s="1825"/>
      <c r="CJR2" s="1825"/>
      <c r="CJS2" s="1825"/>
      <c r="CJT2" s="1825"/>
      <c r="CJU2" s="1825"/>
      <c r="CJV2" s="1825"/>
      <c r="CJW2" s="1825"/>
      <c r="CJX2" s="1825"/>
      <c r="CJY2" s="1825"/>
      <c r="CJZ2" s="1825"/>
      <c r="CKA2" s="1825"/>
      <c r="CKB2" s="1825"/>
      <c r="CKC2" s="1825"/>
      <c r="CKD2" s="1825"/>
      <c r="CKE2" s="1825"/>
      <c r="CKF2" s="1825"/>
      <c r="CKG2" s="1825"/>
      <c r="CKH2" s="1825"/>
      <c r="CKI2" s="1825"/>
      <c r="CKJ2" s="1825"/>
      <c r="CKK2" s="1825"/>
      <c r="CKL2" s="1825"/>
      <c r="CKM2" s="1825"/>
      <c r="CKN2" s="1825"/>
      <c r="CKO2" s="1825"/>
      <c r="CKP2" s="1825"/>
      <c r="CKQ2" s="1825"/>
      <c r="CKR2" s="1825"/>
      <c r="CKS2" s="1825"/>
      <c r="CKT2" s="1825"/>
      <c r="CKU2" s="1825"/>
      <c r="CKV2" s="1825"/>
      <c r="CKW2" s="1825"/>
      <c r="CKX2" s="1825"/>
      <c r="CKY2" s="1825"/>
      <c r="CKZ2" s="1825"/>
      <c r="CLA2" s="1825"/>
      <c r="CLB2" s="1825"/>
      <c r="CLC2" s="1825"/>
      <c r="CLD2" s="1825"/>
      <c r="CLE2" s="1825"/>
      <c r="CLF2" s="1825"/>
      <c r="CLG2" s="1825"/>
      <c r="CLH2" s="1825"/>
      <c r="CLI2" s="1825"/>
      <c r="CLJ2" s="1825"/>
      <c r="CLK2" s="1825"/>
      <c r="CLL2" s="1825"/>
      <c r="CLM2" s="1825"/>
      <c r="CLN2" s="1825"/>
      <c r="CLO2" s="1825"/>
      <c r="CLP2" s="1825"/>
      <c r="CLQ2" s="1825"/>
      <c r="CLR2" s="1825"/>
      <c r="CLS2" s="1825"/>
      <c r="CLT2" s="1825"/>
      <c r="CLU2" s="1825"/>
      <c r="CLV2" s="1825"/>
      <c r="CLW2" s="1825"/>
      <c r="CLX2" s="1825"/>
      <c r="CLY2" s="1825"/>
      <c r="CLZ2" s="1825"/>
      <c r="CMA2" s="1825"/>
      <c r="CMB2" s="1825"/>
      <c r="CMC2" s="1825"/>
      <c r="CMD2" s="1825"/>
      <c r="CME2" s="1825"/>
      <c r="CMF2" s="1825"/>
      <c r="CMG2" s="1825"/>
      <c r="CMH2" s="1825"/>
      <c r="CMI2" s="1825"/>
      <c r="CMJ2" s="1825"/>
      <c r="CMK2" s="1825"/>
      <c r="CML2" s="1825"/>
      <c r="CMM2" s="1825"/>
      <c r="CMN2" s="1825"/>
      <c r="CMO2" s="1825"/>
      <c r="CMP2" s="1825"/>
      <c r="CMQ2" s="1825"/>
      <c r="CMR2" s="1825"/>
      <c r="CMS2" s="1825"/>
      <c r="CMT2" s="1825"/>
      <c r="CMU2" s="1825"/>
      <c r="CMV2" s="1825"/>
      <c r="CMW2" s="1825"/>
      <c r="CMX2" s="1825"/>
      <c r="CMY2" s="1825"/>
      <c r="CMZ2" s="1825"/>
      <c r="CNA2" s="1825"/>
      <c r="CNB2" s="1825"/>
      <c r="CNC2" s="1825"/>
      <c r="CND2" s="1825"/>
      <c r="CNE2" s="1825"/>
      <c r="CNF2" s="1825"/>
      <c r="CNG2" s="1825"/>
      <c r="CNH2" s="1825"/>
      <c r="CNI2" s="1825"/>
      <c r="CNJ2" s="1825"/>
      <c r="CNK2" s="1825"/>
      <c r="CNL2" s="1825"/>
      <c r="CNM2" s="1825"/>
      <c r="CNN2" s="1825"/>
      <c r="CNO2" s="1825"/>
      <c r="CNP2" s="1825"/>
      <c r="CNQ2" s="1825"/>
      <c r="CNR2" s="1825"/>
      <c r="CNS2" s="1825"/>
      <c r="CNT2" s="1825"/>
      <c r="CNU2" s="1825"/>
      <c r="CNV2" s="1825"/>
      <c r="CNW2" s="1825"/>
      <c r="CNX2" s="1825"/>
      <c r="CNY2" s="1825"/>
      <c r="CNZ2" s="1825"/>
      <c r="COA2" s="1825"/>
      <c r="COB2" s="1825"/>
      <c r="COC2" s="1825"/>
      <c r="COD2" s="1825"/>
      <c r="COE2" s="1825"/>
      <c r="COF2" s="1825"/>
      <c r="COG2" s="1825"/>
      <c r="COH2" s="1825"/>
      <c r="COI2" s="1825"/>
      <c r="COJ2" s="1825"/>
      <c r="COK2" s="1825"/>
      <c r="COL2" s="1825"/>
      <c r="COM2" s="1825"/>
      <c r="CON2" s="1825"/>
      <c r="COO2" s="1825"/>
      <c r="COP2" s="1825"/>
      <c r="COQ2" s="1825"/>
      <c r="COR2" s="1825"/>
      <c r="COS2" s="1825"/>
      <c r="COT2" s="1825"/>
      <c r="COU2" s="1825"/>
      <c r="COV2" s="1825"/>
      <c r="COW2" s="1825"/>
      <c r="COX2" s="1825"/>
      <c r="COY2" s="1825"/>
      <c r="COZ2" s="1825"/>
      <c r="CPA2" s="1825"/>
      <c r="CPB2" s="1825"/>
      <c r="CPC2" s="1825"/>
      <c r="CPD2" s="1825"/>
      <c r="CPE2" s="1825"/>
      <c r="CPF2" s="1825"/>
      <c r="CPG2" s="1825"/>
      <c r="CPH2" s="1825"/>
      <c r="CPI2" s="1825"/>
      <c r="CPJ2" s="1825"/>
      <c r="CPK2" s="1825"/>
      <c r="CPL2" s="1825"/>
      <c r="CPM2" s="1825"/>
      <c r="CPN2" s="1825"/>
      <c r="CPO2" s="1825"/>
      <c r="CPP2" s="1825"/>
      <c r="CPQ2" s="1825"/>
      <c r="CPR2" s="1825"/>
      <c r="CPS2" s="1825"/>
      <c r="CPT2" s="1825"/>
      <c r="CPU2" s="1825"/>
      <c r="CPV2" s="1825"/>
      <c r="CPW2" s="1825"/>
      <c r="CPX2" s="1825"/>
      <c r="CPY2" s="1825"/>
      <c r="CPZ2" s="1825"/>
      <c r="CQA2" s="1825"/>
      <c r="CQB2" s="1825"/>
      <c r="CQC2" s="1825"/>
      <c r="CQD2" s="1825"/>
      <c r="CQE2" s="1825"/>
      <c r="CQF2" s="1825"/>
      <c r="CQG2" s="1825"/>
      <c r="CQH2" s="1825"/>
      <c r="CQI2" s="1825"/>
      <c r="CQJ2" s="1825"/>
      <c r="CQK2" s="1825"/>
      <c r="CQL2" s="1825"/>
      <c r="CQM2" s="1825"/>
      <c r="CQN2" s="1825"/>
      <c r="CQO2" s="1825"/>
      <c r="CQP2" s="1825"/>
      <c r="CQQ2" s="1825"/>
      <c r="CQR2" s="1825"/>
      <c r="CQS2" s="1825"/>
      <c r="CQT2" s="1825"/>
      <c r="CQU2" s="1825"/>
      <c r="CQV2" s="1825"/>
      <c r="CQW2" s="1825"/>
      <c r="CQX2" s="1825"/>
      <c r="CQY2" s="1825"/>
      <c r="CQZ2" s="1825"/>
      <c r="CRA2" s="1825"/>
      <c r="CRB2" s="1825"/>
      <c r="CRC2" s="1825"/>
      <c r="CRD2" s="1825"/>
      <c r="CRE2" s="1825"/>
      <c r="CRF2" s="1825"/>
      <c r="CRG2" s="1825"/>
      <c r="CRH2" s="1825"/>
      <c r="CRI2" s="1825"/>
      <c r="CRJ2" s="1825"/>
      <c r="CRK2" s="1825"/>
      <c r="CRL2" s="1825"/>
      <c r="CRM2" s="1825"/>
      <c r="CRN2" s="1825"/>
      <c r="CRO2" s="1825"/>
      <c r="CRP2" s="1825"/>
      <c r="CRQ2" s="1825"/>
      <c r="CRR2" s="1825"/>
      <c r="CRS2" s="1825"/>
      <c r="CRT2" s="1825"/>
      <c r="CRU2" s="1825"/>
      <c r="CRV2" s="1825"/>
      <c r="CRW2" s="1825"/>
      <c r="CRX2" s="1825"/>
      <c r="CRY2" s="1825"/>
      <c r="CRZ2" s="1825"/>
      <c r="CSA2" s="1825"/>
      <c r="CSB2" s="1825"/>
      <c r="CSC2" s="1825"/>
      <c r="CSD2" s="1825"/>
      <c r="CSE2" s="1825"/>
      <c r="CSF2" s="1825"/>
      <c r="CSG2" s="1825"/>
      <c r="CSH2" s="1825"/>
      <c r="CSI2" s="1825"/>
      <c r="CSJ2" s="1825"/>
      <c r="CSK2" s="1825"/>
      <c r="CSL2" s="1825"/>
      <c r="CSM2" s="1825"/>
      <c r="CSN2" s="1825"/>
      <c r="CSO2" s="1825"/>
      <c r="CSP2" s="1825"/>
      <c r="CSQ2" s="1825"/>
      <c r="CSR2" s="1825"/>
      <c r="CSS2" s="1825"/>
      <c r="CST2" s="1825"/>
      <c r="CSU2" s="1825"/>
      <c r="CSV2" s="1825"/>
      <c r="CSW2" s="1825"/>
      <c r="CSX2" s="1825"/>
      <c r="CSY2" s="1825"/>
      <c r="CSZ2" s="1825"/>
      <c r="CTA2" s="1825"/>
      <c r="CTB2" s="1825"/>
      <c r="CTC2" s="1825"/>
      <c r="CTD2" s="1825"/>
      <c r="CTE2" s="1825"/>
      <c r="CTF2" s="1825"/>
      <c r="CTG2" s="1825"/>
      <c r="CTH2" s="1825"/>
      <c r="CTI2" s="1825"/>
      <c r="CTJ2" s="1825"/>
      <c r="CTK2" s="1825"/>
      <c r="CTL2" s="1825"/>
      <c r="CTM2" s="1825"/>
      <c r="CTN2" s="1825"/>
      <c r="CTO2" s="1825"/>
      <c r="CTP2" s="1825"/>
      <c r="CTQ2" s="1825"/>
      <c r="CTR2" s="1825"/>
      <c r="CTS2" s="1825"/>
      <c r="CTT2" s="1825"/>
      <c r="CTU2" s="1825"/>
      <c r="CTV2" s="1825"/>
      <c r="CTW2" s="1825"/>
      <c r="CTX2" s="1825"/>
      <c r="CTY2" s="1825"/>
      <c r="CTZ2" s="1825"/>
      <c r="CUA2" s="1825"/>
      <c r="CUB2" s="1825"/>
      <c r="CUC2" s="1825"/>
      <c r="CUD2" s="1825"/>
      <c r="CUE2" s="1825"/>
      <c r="CUF2" s="1825"/>
      <c r="CUG2" s="1825"/>
      <c r="CUH2" s="1825"/>
      <c r="CUI2" s="1825"/>
      <c r="CUJ2" s="1825"/>
      <c r="CUK2" s="1825"/>
      <c r="CUL2" s="1825"/>
      <c r="CUM2" s="1825"/>
      <c r="CUN2" s="1825"/>
      <c r="CUO2" s="1825"/>
      <c r="CUP2" s="1825"/>
      <c r="CUQ2" s="1825"/>
      <c r="CUR2" s="1825"/>
      <c r="CUS2" s="1825"/>
      <c r="CUT2" s="1825"/>
      <c r="CUU2" s="1825"/>
      <c r="CUV2" s="1825"/>
      <c r="CUW2" s="1825"/>
      <c r="CUX2" s="1825"/>
      <c r="CUY2" s="1825"/>
      <c r="CUZ2" s="1825"/>
      <c r="CVA2" s="1825"/>
      <c r="CVB2" s="1825"/>
      <c r="CVC2" s="1825"/>
      <c r="CVD2" s="1825"/>
      <c r="CVE2" s="1825"/>
      <c r="CVF2" s="1825"/>
      <c r="CVG2" s="1825"/>
      <c r="CVH2" s="1825"/>
      <c r="CVI2" s="1825"/>
      <c r="CVJ2" s="1825"/>
      <c r="CVK2" s="1825"/>
      <c r="CVL2" s="1825"/>
      <c r="CVM2" s="1825"/>
      <c r="CVN2" s="1825"/>
      <c r="CVO2" s="1825"/>
      <c r="CVP2" s="1825"/>
      <c r="CVQ2" s="1825"/>
      <c r="CVR2" s="1825"/>
      <c r="CVS2" s="1825"/>
      <c r="CVT2" s="1825"/>
      <c r="CVU2" s="1825"/>
      <c r="CVV2" s="1825"/>
      <c r="CVW2" s="1825"/>
      <c r="CVX2" s="1825"/>
      <c r="CVY2" s="1825"/>
      <c r="CVZ2" s="1825"/>
      <c r="CWA2" s="1825"/>
      <c r="CWB2" s="1825"/>
      <c r="CWC2" s="1825"/>
      <c r="CWD2" s="1825"/>
      <c r="CWE2" s="1825"/>
      <c r="CWF2" s="1825"/>
      <c r="CWG2" s="1825"/>
      <c r="CWH2" s="1825"/>
      <c r="CWI2" s="1825"/>
      <c r="CWJ2" s="1825"/>
      <c r="CWK2" s="1825"/>
      <c r="CWL2" s="1825"/>
      <c r="CWM2" s="1825"/>
      <c r="CWN2" s="1825"/>
      <c r="CWO2" s="1825"/>
      <c r="CWP2" s="1825"/>
      <c r="CWQ2" s="1825"/>
      <c r="CWR2" s="1825"/>
      <c r="CWS2" s="1825"/>
      <c r="CWT2" s="1825"/>
      <c r="CWU2" s="1825"/>
      <c r="CWV2" s="1825"/>
      <c r="CWW2" s="1825"/>
      <c r="CWX2" s="1825"/>
      <c r="CWY2" s="1825"/>
      <c r="CWZ2" s="1825"/>
      <c r="CXA2" s="1825"/>
      <c r="CXB2" s="1825"/>
      <c r="CXC2" s="1825"/>
      <c r="CXD2" s="1825"/>
      <c r="CXE2" s="1825"/>
      <c r="CXF2" s="1825"/>
      <c r="CXG2" s="1825"/>
      <c r="CXH2" s="1825"/>
      <c r="CXI2" s="1825"/>
      <c r="CXJ2" s="1825"/>
      <c r="CXK2" s="1825"/>
      <c r="CXL2" s="1825"/>
      <c r="CXM2" s="1825"/>
      <c r="CXN2" s="1825"/>
      <c r="CXO2" s="1825"/>
      <c r="CXP2" s="1825"/>
      <c r="CXQ2" s="1825"/>
      <c r="CXR2" s="1825"/>
      <c r="CXS2" s="1825"/>
      <c r="CXT2" s="1825"/>
      <c r="CXU2" s="1825"/>
      <c r="CXV2" s="1825"/>
      <c r="CXW2" s="1825"/>
      <c r="CXX2" s="1825"/>
      <c r="CXY2" s="1825"/>
      <c r="CXZ2" s="1825"/>
      <c r="CYA2" s="1825"/>
      <c r="CYB2" s="1825"/>
      <c r="CYC2" s="1825"/>
      <c r="CYD2" s="1825"/>
      <c r="CYE2" s="1825"/>
      <c r="CYF2" s="1825"/>
      <c r="CYG2" s="1825"/>
      <c r="CYH2" s="1825"/>
      <c r="CYI2" s="1825"/>
      <c r="CYJ2" s="1825"/>
      <c r="CYK2" s="1825"/>
      <c r="CYL2" s="1825"/>
      <c r="CYM2" s="1825"/>
      <c r="CYN2" s="1825"/>
      <c r="CYO2" s="1825"/>
      <c r="CYP2" s="1825"/>
      <c r="CYQ2" s="1825"/>
      <c r="CYR2" s="1825"/>
      <c r="CYS2" s="1825"/>
      <c r="CYT2" s="1825"/>
      <c r="CYU2" s="1825"/>
      <c r="CYV2" s="1825"/>
      <c r="CYW2" s="1825"/>
      <c r="CYX2" s="1825"/>
      <c r="CYY2" s="1825"/>
      <c r="CYZ2" s="1825"/>
      <c r="CZA2" s="1825"/>
      <c r="CZB2" s="1825"/>
      <c r="CZC2" s="1825"/>
      <c r="CZD2" s="1825"/>
      <c r="CZE2" s="1825"/>
      <c r="CZF2" s="1825"/>
      <c r="CZG2" s="1825"/>
      <c r="CZH2" s="1825"/>
      <c r="CZI2" s="1825"/>
      <c r="CZJ2" s="1825"/>
      <c r="CZK2" s="1825"/>
      <c r="CZL2" s="1825"/>
      <c r="CZM2" s="1825"/>
      <c r="CZN2" s="1825"/>
      <c r="CZO2" s="1825"/>
      <c r="CZP2" s="1825"/>
      <c r="CZQ2" s="1825"/>
      <c r="CZR2" s="1825"/>
      <c r="CZS2" s="1825"/>
      <c r="CZT2" s="1825"/>
      <c r="CZU2" s="1825"/>
      <c r="CZV2" s="1825"/>
      <c r="CZW2" s="1825"/>
      <c r="CZX2" s="1825"/>
      <c r="CZY2" s="1825"/>
      <c r="CZZ2" s="1825"/>
      <c r="DAA2" s="1825"/>
      <c r="DAB2" s="1825"/>
      <c r="DAC2" s="1825"/>
      <c r="DAD2" s="1825"/>
      <c r="DAE2" s="1825"/>
      <c r="DAF2" s="1825"/>
      <c r="DAG2" s="1825"/>
      <c r="DAH2" s="1825"/>
      <c r="DAI2" s="1825"/>
      <c r="DAJ2" s="1825"/>
      <c r="DAK2" s="1825"/>
      <c r="DAL2" s="1825"/>
      <c r="DAM2" s="1825"/>
      <c r="DAN2" s="1825"/>
      <c r="DAO2" s="1825"/>
      <c r="DAP2" s="1825"/>
      <c r="DAQ2" s="1825"/>
      <c r="DAR2" s="1825"/>
      <c r="DAS2" s="1825"/>
      <c r="DAT2" s="1825"/>
      <c r="DAU2" s="1825"/>
      <c r="DAV2" s="1825"/>
      <c r="DAW2" s="1825"/>
      <c r="DAX2" s="1825"/>
      <c r="DAY2" s="1825"/>
      <c r="DAZ2" s="1825"/>
      <c r="DBA2" s="1825"/>
      <c r="DBB2" s="1825"/>
      <c r="DBC2" s="1825"/>
      <c r="DBD2" s="1825"/>
      <c r="DBE2" s="1825"/>
      <c r="DBF2" s="1825"/>
      <c r="DBG2" s="1825"/>
      <c r="DBH2" s="1825"/>
      <c r="DBI2" s="1825"/>
      <c r="DBJ2" s="1825"/>
      <c r="DBK2" s="1825"/>
      <c r="DBL2" s="1825"/>
      <c r="DBM2" s="1825"/>
      <c r="DBN2" s="1825"/>
      <c r="DBO2" s="1825"/>
      <c r="DBP2" s="1825"/>
      <c r="DBQ2" s="1825"/>
      <c r="DBR2" s="1825"/>
      <c r="DBS2" s="1825"/>
      <c r="DBT2" s="1825"/>
      <c r="DBU2" s="1825"/>
      <c r="DBV2" s="1825"/>
      <c r="DBW2" s="1825"/>
      <c r="DBX2" s="1825"/>
      <c r="DBY2" s="1825"/>
      <c r="DBZ2" s="1825"/>
      <c r="DCA2" s="1825"/>
      <c r="DCB2" s="1825"/>
      <c r="DCC2" s="1825"/>
      <c r="DCD2" s="1825"/>
      <c r="DCE2" s="1825"/>
      <c r="DCF2" s="1825"/>
      <c r="DCG2" s="1825"/>
      <c r="DCH2" s="1825"/>
      <c r="DCI2" s="1825"/>
      <c r="DCJ2" s="1825"/>
      <c r="DCK2" s="1825"/>
      <c r="DCL2" s="1825"/>
      <c r="DCM2" s="1825"/>
      <c r="DCN2" s="1825"/>
      <c r="DCO2" s="1825"/>
      <c r="DCP2" s="1825"/>
      <c r="DCQ2" s="1825"/>
      <c r="DCR2" s="1825"/>
      <c r="DCS2" s="1825"/>
      <c r="DCT2" s="1825"/>
      <c r="DCU2" s="1825"/>
      <c r="DCV2" s="1825"/>
      <c r="DCW2" s="1825"/>
      <c r="DCX2" s="1825"/>
      <c r="DCY2" s="1825"/>
      <c r="DCZ2" s="1825"/>
      <c r="DDA2" s="1825"/>
      <c r="DDB2" s="1825"/>
      <c r="DDC2" s="1825"/>
      <c r="DDD2" s="1825"/>
      <c r="DDE2" s="1825"/>
      <c r="DDF2" s="1825"/>
      <c r="DDG2" s="1825"/>
      <c r="DDH2" s="1825"/>
      <c r="DDI2" s="1825"/>
      <c r="DDJ2" s="1825"/>
      <c r="DDK2" s="1825"/>
      <c r="DDL2" s="1825"/>
      <c r="DDM2" s="1825"/>
      <c r="DDN2" s="1825"/>
      <c r="DDO2" s="1825"/>
      <c r="DDP2" s="1825"/>
      <c r="DDQ2" s="1825"/>
      <c r="DDR2" s="1825"/>
      <c r="DDS2" s="1825"/>
      <c r="DDT2" s="1825"/>
      <c r="DDU2" s="1825"/>
      <c r="DDV2" s="1825"/>
      <c r="DDW2" s="1825"/>
      <c r="DDX2" s="1825"/>
      <c r="DDY2" s="1825"/>
      <c r="DDZ2" s="1825"/>
      <c r="DEA2" s="1825"/>
      <c r="DEB2" s="1825"/>
      <c r="DEC2" s="1825"/>
      <c r="DED2" s="1825"/>
      <c r="DEE2" s="1825"/>
      <c r="DEF2" s="1825"/>
      <c r="DEG2" s="1825"/>
      <c r="DEH2" s="1825"/>
      <c r="DEI2" s="1825"/>
      <c r="DEJ2" s="1825"/>
      <c r="DEK2" s="1825"/>
      <c r="DEL2" s="1825"/>
      <c r="DEM2" s="1825"/>
      <c r="DEN2" s="1825"/>
      <c r="DEO2" s="1825"/>
      <c r="DEP2" s="1825"/>
      <c r="DEQ2" s="1825"/>
      <c r="DER2" s="1825"/>
      <c r="DES2" s="1825"/>
      <c r="DET2" s="1825"/>
      <c r="DEU2" s="1825"/>
      <c r="DEV2" s="1825"/>
      <c r="DEW2" s="1825"/>
      <c r="DEX2" s="1825"/>
      <c r="DEY2" s="1825"/>
      <c r="DEZ2" s="1825"/>
      <c r="DFA2" s="1825"/>
      <c r="DFB2" s="1825"/>
      <c r="DFC2" s="1825"/>
      <c r="DFD2" s="1825"/>
      <c r="DFE2" s="1825"/>
      <c r="DFF2" s="1825"/>
      <c r="DFG2" s="1825"/>
      <c r="DFH2" s="1825"/>
      <c r="DFI2" s="1825"/>
      <c r="DFJ2" s="1825"/>
      <c r="DFK2" s="1825"/>
      <c r="DFL2" s="1825"/>
      <c r="DFM2" s="1825"/>
      <c r="DFN2" s="1825"/>
      <c r="DFO2" s="1825"/>
      <c r="DFP2" s="1825"/>
      <c r="DFQ2" s="1825"/>
      <c r="DFR2" s="1825"/>
      <c r="DFS2" s="1825"/>
      <c r="DFT2" s="1825"/>
      <c r="DFU2" s="1825"/>
      <c r="DFV2" s="1825"/>
      <c r="DFW2" s="1825"/>
      <c r="DFX2" s="1825"/>
      <c r="DFY2" s="1825"/>
      <c r="DFZ2" s="1825"/>
      <c r="DGA2" s="1825"/>
      <c r="DGB2" s="1825"/>
      <c r="DGC2" s="1825"/>
      <c r="DGD2" s="1825"/>
      <c r="DGE2" s="1825"/>
      <c r="DGF2" s="1825"/>
      <c r="DGG2" s="1825"/>
      <c r="DGH2" s="1825"/>
      <c r="DGI2" s="1825"/>
      <c r="DGJ2" s="1825"/>
      <c r="DGK2" s="1825"/>
      <c r="DGL2" s="1825"/>
      <c r="DGM2" s="1825"/>
      <c r="DGN2" s="1825"/>
      <c r="DGO2" s="1825"/>
      <c r="DGP2" s="1825"/>
      <c r="DGQ2" s="1825"/>
      <c r="DGR2" s="1825"/>
      <c r="DGS2" s="1825"/>
      <c r="DGT2" s="1825"/>
      <c r="DGU2" s="1825"/>
      <c r="DGV2" s="1825"/>
      <c r="DGW2" s="1825"/>
      <c r="DGX2" s="1825"/>
      <c r="DGY2" s="1825"/>
      <c r="DGZ2" s="1825"/>
      <c r="DHA2" s="1825"/>
      <c r="DHB2" s="1825"/>
      <c r="DHC2" s="1825"/>
      <c r="DHD2" s="1825"/>
      <c r="DHE2" s="1825"/>
      <c r="DHF2" s="1825"/>
      <c r="DHG2" s="1825"/>
      <c r="DHH2" s="1825"/>
      <c r="DHI2" s="1825"/>
      <c r="DHJ2" s="1825"/>
      <c r="DHK2" s="1825"/>
      <c r="DHL2" s="1825"/>
      <c r="DHM2" s="1825"/>
      <c r="DHN2" s="1825"/>
      <c r="DHO2" s="1825"/>
      <c r="DHP2" s="1825"/>
      <c r="DHQ2" s="1825"/>
      <c r="DHR2" s="1825"/>
      <c r="DHS2" s="1825"/>
      <c r="DHT2" s="1825"/>
      <c r="DHU2" s="1825"/>
      <c r="DHV2" s="1825"/>
      <c r="DHW2" s="1825"/>
      <c r="DHX2" s="1825"/>
      <c r="DHY2" s="1825"/>
      <c r="DHZ2" s="1825"/>
      <c r="DIA2" s="1825"/>
      <c r="DIB2" s="1825"/>
      <c r="DIC2" s="1825"/>
      <c r="DID2" s="1825"/>
      <c r="DIE2" s="1825"/>
      <c r="DIF2" s="1825"/>
      <c r="DIG2" s="1825"/>
      <c r="DIH2" s="1825"/>
      <c r="DII2" s="1825"/>
      <c r="DIJ2" s="1825"/>
      <c r="DIK2" s="1825"/>
      <c r="DIL2" s="1825"/>
      <c r="DIM2" s="1825"/>
      <c r="DIN2" s="1825"/>
      <c r="DIO2" s="1825"/>
      <c r="DIP2" s="1825"/>
      <c r="DIQ2" s="1825"/>
      <c r="DIR2" s="1825"/>
      <c r="DIS2" s="1825"/>
      <c r="DIT2" s="1825"/>
      <c r="DIU2" s="1825"/>
      <c r="DIV2" s="1825"/>
      <c r="DIW2" s="1825"/>
      <c r="DIX2" s="1825"/>
      <c r="DIY2" s="1825"/>
      <c r="DIZ2" s="1825"/>
      <c r="DJA2" s="1825"/>
      <c r="DJB2" s="1825"/>
      <c r="DJC2" s="1825"/>
      <c r="DJD2" s="1825"/>
      <c r="DJE2" s="1825"/>
      <c r="DJF2" s="1825"/>
      <c r="DJG2" s="1825"/>
      <c r="DJH2" s="1825"/>
      <c r="DJI2" s="1825"/>
      <c r="DJJ2" s="1825"/>
      <c r="DJK2" s="1825"/>
      <c r="DJL2" s="1825"/>
      <c r="DJM2" s="1825"/>
      <c r="DJN2" s="1825"/>
      <c r="DJO2" s="1825"/>
      <c r="DJP2" s="1825"/>
      <c r="DJQ2" s="1825"/>
      <c r="DJR2" s="1825"/>
      <c r="DJS2" s="1825"/>
      <c r="DJT2" s="1825"/>
      <c r="DJU2" s="1825"/>
      <c r="DJV2" s="1825"/>
      <c r="DJW2" s="1825"/>
      <c r="DJX2" s="1825"/>
      <c r="DJY2" s="1825"/>
      <c r="DJZ2" s="1825"/>
      <c r="DKA2" s="1825"/>
      <c r="DKB2" s="1825"/>
      <c r="DKC2" s="1825"/>
      <c r="DKD2" s="1825"/>
      <c r="DKE2" s="1825"/>
      <c r="DKF2" s="1825"/>
      <c r="DKG2" s="1825"/>
      <c r="DKH2" s="1825"/>
      <c r="DKI2" s="1825"/>
      <c r="DKJ2" s="1825"/>
      <c r="DKK2" s="1825"/>
      <c r="DKL2" s="1825"/>
      <c r="DKM2" s="1825"/>
      <c r="DKN2" s="1825"/>
      <c r="DKO2" s="1825"/>
      <c r="DKP2" s="1825"/>
      <c r="DKQ2" s="1825"/>
      <c r="DKR2" s="1825"/>
      <c r="DKS2" s="1825"/>
      <c r="DKT2" s="1825"/>
      <c r="DKU2" s="1825"/>
      <c r="DKV2" s="1825"/>
      <c r="DKW2" s="1825"/>
      <c r="DKX2" s="1825"/>
      <c r="DKY2" s="1825"/>
      <c r="DKZ2" s="1825"/>
      <c r="DLA2" s="1825"/>
      <c r="DLB2" s="1825"/>
      <c r="DLC2" s="1825"/>
      <c r="DLD2" s="1825"/>
      <c r="DLE2" s="1825"/>
      <c r="DLF2" s="1825"/>
      <c r="DLG2" s="1825"/>
      <c r="DLH2" s="1825"/>
      <c r="DLI2" s="1825"/>
      <c r="DLJ2" s="1825"/>
      <c r="DLK2" s="1825"/>
      <c r="DLL2" s="1825"/>
      <c r="DLM2" s="1825"/>
      <c r="DLN2" s="1825"/>
      <c r="DLO2" s="1825"/>
      <c r="DLP2" s="1825"/>
      <c r="DLQ2" s="1825"/>
      <c r="DLR2" s="1825"/>
      <c r="DLS2" s="1825"/>
      <c r="DLT2" s="1825"/>
      <c r="DLU2" s="1825"/>
      <c r="DLV2" s="1825"/>
      <c r="DLW2" s="1825"/>
      <c r="DLX2" s="1825"/>
      <c r="DLY2" s="1825"/>
      <c r="DLZ2" s="1825"/>
      <c r="DMA2" s="1825"/>
      <c r="DMB2" s="1825"/>
      <c r="DMC2" s="1825"/>
      <c r="DMD2" s="1825"/>
      <c r="DME2" s="1825"/>
      <c r="DMF2" s="1825"/>
      <c r="DMG2" s="1825"/>
      <c r="DMH2" s="1825"/>
      <c r="DMI2" s="1825"/>
      <c r="DMJ2" s="1825"/>
      <c r="DMK2" s="1825"/>
      <c r="DML2" s="1825"/>
      <c r="DMM2" s="1825"/>
      <c r="DMN2" s="1825"/>
      <c r="DMO2" s="1825"/>
      <c r="DMP2" s="1825"/>
      <c r="DMQ2" s="1825"/>
      <c r="DMR2" s="1825"/>
      <c r="DMS2" s="1825"/>
      <c r="DMT2" s="1825"/>
      <c r="DMU2" s="1825"/>
      <c r="DMV2" s="1825"/>
      <c r="DMW2" s="1825"/>
      <c r="DMX2" s="1825"/>
      <c r="DMY2" s="1825"/>
      <c r="DMZ2" s="1825"/>
      <c r="DNA2" s="1825"/>
      <c r="DNB2" s="1825"/>
      <c r="DNC2" s="1825"/>
      <c r="DND2" s="1825"/>
      <c r="DNE2" s="1825"/>
      <c r="DNF2" s="1825"/>
      <c r="DNG2" s="1825"/>
      <c r="DNH2" s="1825"/>
      <c r="DNI2" s="1825"/>
      <c r="DNJ2" s="1825"/>
      <c r="DNK2" s="1825"/>
      <c r="DNL2" s="1825"/>
      <c r="DNM2" s="1825"/>
      <c r="DNN2" s="1825"/>
      <c r="DNO2" s="1825"/>
      <c r="DNP2" s="1825"/>
      <c r="DNQ2" s="1825"/>
      <c r="DNR2" s="1825"/>
      <c r="DNS2" s="1825"/>
      <c r="DNT2" s="1825"/>
      <c r="DNU2" s="1825"/>
      <c r="DNV2" s="1825"/>
      <c r="DNW2" s="1825"/>
      <c r="DNX2" s="1825"/>
      <c r="DNY2" s="1825"/>
      <c r="DNZ2" s="1825"/>
      <c r="DOA2" s="1825"/>
      <c r="DOB2" s="1825"/>
      <c r="DOC2" s="1825"/>
      <c r="DOD2" s="1825"/>
      <c r="DOE2" s="1825"/>
      <c r="DOF2" s="1825"/>
      <c r="DOG2" s="1825"/>
      <c r="DOH2" s="1825"/>
      <c r="DOI2" s="1825"/>
      <c r="DOJ2" s="1825"/>
      <c r="DOK2" s="1825"/>
      <c r="DOL2" s="1825"/>
      <c r="DOM2" s="1825"/>
      <c r="DON2" s="1825"/>
      <c r="DOO2" s="1825"/>
      <c r="DOP2" s="1825"/>
      <c r="DOQ2" s="1825"/>
      <c r="DOR2" s="1825"/>
      <c r="DOS2" s="1825"/>
      <c r="DOT2" s="1825"/>
      <c r="DOU2" s="1825"/>
      <c r="DOV2" s="1825"/>
      <c r="DOW2" s="1825"/>
      <c r="DOX2" s="1825"/>
      <c r="DOY2" s="1825"/>
      <c r="DOZ2" s="1825"/>
      <c r="DPA2" s="1825"/>
      <c r="DPB2" s="1825"/>
      <c r="DPC2" s="1825"/>
      <c r="DPD2" s="1825"/>
      <c r="DPE2" s="1825"/>
      <c r="DPF2" s="1825"/>
      <c r="DPG2" s="1825"/>
      <c r="DPH2" s="1825"/>
      <c r="DPI2" s="1825"/>
      <c r="DPJ2" s="1825"/>
      <c r="DPK2" s="1825"/>
      <c r="DPL2" s="1825"/>
      <c r="DPM2" s="1825"/>
      <c r="DPN2" s="1825"/>
      <c r="DPO2" s="1825"/>
      <c r="DPP2" s="1825"/>
      <c r="DPQ2" s="1825"/>
      <c r="DPR2" s="1825"/>
      <c r="DPS2" s="1825"/>
      <c r="DPT2" s="1825"/>
      <c r="DPU2" s="1825"/>
      <c r="DPV2" s="1825"/>
      <c r="DPW2" s="1825"/>
      <c r="DPX2" s="1825"/>
      <c r="DPY2" s="1825"/>
      <c r="DPZ2" s="1825"/>
      <c r="DQA2" s="1825"/>
      <c r="DQB2" s="1825"/>
      <c r="DQC2" s="1825"/>
      <c r="DQD2" s="1825"/>
      <c r="DQE2" s="1825"/>
      <c r="DQF2" s="1825"/>
      <c r="DQG2" s="1825"/>
      <c r="DQH2" s="1825"/>
      <c r="DQI2" s="1825"/>
      <c r="DQJ2" s="1825"/>
      <c r="DQK2" s="1825"/>
      <c r="DQL2" s="1825"/>
      <c r="DQM2" s="1825"/>
      <c r="DQN2" s="1825"/>
      <c r="DQO2" s="1825"/>
      <c r="DQP2" s="1825"/>
      <c r="DQQ2" s="1825"/>
      <c r="DQR2" s="1825"/>
      <c r="DQS2" s="1825"/>
      <c r="DQT2" s="1825"/>
      <c r="DQU2" s="1825"/>
      <c r="DQV2" s="1825"/>
      <c r="DQW2" s="1825"/>
      <c r="DQX2" s="1825"/>
      <c r="DQY2" s="1825"/>
      <c r="DQZ2" s="1825"/>
      <c r="DRA2" s="1825"/>
      <c r="DRB2" s="1825"/>
      <c r="DRC2" s="1825"/>
      <c r="DRD2" s="1825"/>
      <c r="DRE2" s="1825"/>
      <c r="DRF2" s="1825"/>
      <c r="DRG2" s="1825"/>
      <c r="DRH2" s="1825"/>
      <c r="DRI2" s="1825"/>
      <c r="DRJ2" s="1825"/>
      <c r="DRK2" s="1825"/>
      <c r="DRL2" s="1825"/>
      <c r="DRM2" s="1825"/>
      <c r="DRN2" s="1825"/>
      <c r="DRO2" s="1825"/>
      <c r="DRP2" s="1825"/>
      <c r="DRQ2" s="1825"/>
      <c r="DRR2" s="1825"/>
      <c r="DRS2" s="1825"/>
      <c r="DRT2" s="1825"/>
      <c r="DRU2" s="1825"/>
      <c r="DRV2" s="1825"/>
      <c r="DRW2" s="1825"/>
      <c r="DRX2" s="1825"/>
      <c r="DRY2" s="1825"/>
      <c r="DRZ2" s="1825"/>
      <c r="DSA2" s="1825"/>
      <c r="DSB2" s="1825"/>
      <c r="DSC2" s="1825"/>
      <c r="DSD2" s="1825"/>
      <c r="DSE2" s="1825"/>
      <c r="DSF2" s="1825"/>
      <c r="DSG2" s="1825"/>
      <c r="DSH2" s="1825"/>
      <c r="DSI2" s="1825"/>
      <c r="DSJ2" s="1825"/>
      <c r="DSK2" s="1825"/>
      <c r="DSL2" s="1825"/>
      <c r="DSM2" s="1825"/>
      <c r="DSN2" s="1825"/>
      <c r="DSO2" s="1825"/>
      <c r="DSP2" s="1825"/>
      <c r="DSQ2" s="1825"/>
      <c r="DSR2" s="1825"/>
      <c r="DSS2" s="1825"/>
      <c r="DST2" s="1825"/>
      <c r="DSU2" s="1825"/>
      <c r="DSV2" s="1825"/>
      <c r="DSW2" s="1825"/>
      <c r="DSX2" s="1825"/>
      <c r="DSY2" s="1825"/>
      <c r="DSZ2" s="1825"/>
      <c r="DTA2" s="1825"/>
      <c r="DTB2" s="1825"/>
      <c r="DTC2" s="1825"/>
      <c r="DTD2" s="1825"/>
      <c r="DTE2" s="1825"/>
      <c r="DTF2" s="1825"/>
      <c r="DTG2" s="1825"/>
      <c r="DTH2" s="1825"/>
      <c r="DTI2" s="1825"/>
      <c r="DTJ2" s="1825"/>
      <c r="DTK2" s="1825"/>
      <c r="DTL2" s="1825"/>
      <c r="DTM2" s="1825"/>
      <c r="DTN2" s="1825"/>
      <c r="DTO2" s="1825"/>
      <c r="DTP2" s="1825"/>
      <c r="DTQ2" s="1825"/>
      <c r="DTR2" s="1825"/>
      <c r="DTS2" s="1825"/>
      <c r="DTT2" s="1825"/>
      <c r="DTU2" s="1825"/>
      <c r="DTV2" s="1825"/>
      <c r="DTW2" s="1825"/>
      <c r="DTX2" s="1825"/>
      <c r="DTY2" s="1825"/>
      <c r="DTZ2" s="1825"/>
      <c r="DUA2" s="1825"/>
      <c r="DUB2" s="1825"/>
      <c r="DUC2" s="1825"/>
      <c r="DUD2" s="1825"/>
      <c r="DUE2" s="1825"/>
      <c r="DUF2" s="1825"/>
      <c r="DUG2" s="1825"/>
      <c r="DUH2" s="1825"/>
      <c r="DUI2" s="1825"/>
      <c r="DUJ2" s="1825"/>
      <c r="DUK2" s="1825"/>
      <c r="DUL2" s="1825"/>
      <c r="DUM2" s="1825"/>
      <c r="DUN2" s="1825"/>
      <c r="DUO2" s="1825"/>
      <c r="DUP2" s="1825"/>
      <c r="DUQ2" s="1825"/>
      <c r="DUR2" s="1825"/>
      <c r="DUS2" s="1825"/>
      <c r="DUT2" s="1825"/>
      <c r="DUU2" s="1825"/>
      <c r="DUV2" s="1825"/>
      <c r="DUW2" s="1825"/>
      <c r="DUX2" s="1825"/>
      <c r="DUY2" s="1825"/>
      <c r="DUZ2" s="1825"/>
      <c r="DVA2" s="1825"/>
      <c r="DVB2" s="1825"/>
      <c r="DVC2" s="1825"/>
      <c r="DVD2" s="1825"/>
      <c r="DVE2" s="1825"/>
      <c r="DVF2" s="1825"/>
      <c r="DVG2" s="1825"/>
      <c r="DVH2" s="1825"/>
      <c r="DVI2" s="1825"/>
      <c r="DVJ2" s="1825"/>
      <c r="DVK2" s="1825"/>
      <c r="DVL2" s="1825"/>
      <c r="DVM2" s="1825"/>
      <c r="DVN2" s="1825"/>
      <c r="DVO2" s="1825"/>
      <c r="DVP2" s="1825"/>
      <c r="DVQ2" s="1825"/>
      <c r="DVR2" s="1825"/>
      <c r="DVS2" s="1825"/>
      <c r="DVT2" s="1825"/>
      <c r="DVU2" s="1825"/>
      <c r="DVV2" s="1825"/>
      <c r="DVW2" s="1825"/>
      <c r="DVX2" s="1825"/>
      <c r="DVY2" s="1825"/>
      <c r="DVZ2" s="1825"/>
      <c r="DWA2" s="1825"/>
      <c r="DWB2" s="1825"/>
      <c r="DWC2" s="1825"/>
      <c r="DWD2" s="1825"/>
      <c r="DWE2" s="1825"/>
      <c r="DWF2" s="1825"/>
      <c r="DWG2" s="1825"/>
      <c r="DWH2" s="1825"/>
      <c r="DWI2" s="1825"/>
      <c r="DWJ2" s="1825"/>
      <c r="DWK2" s="1825"/>
      <c r="DWL2" s="1825"/>
      <c r="DWM2" s="1825"/>
      <c r="DWN2" s="1825"/>
      <c r="DWO2" s="1825"/>
      <c r="DWP2" s="1825"/>
      <c r="DWQ2" s="1825"/>
      <c r="DWR2" s="1825"/>
      <c r="DWS2" s="1825"/>
      <c r="DWT2" s="1825"/>
      <c r="DWU2" s="1825"/>
      <c r="DWV2" s="1825"/>
      <c r="DWW2" s="1825"/>
      <c r="DWX2" s="1825"/>
      <c r="DWY2" s="1825"/>
      <c r="DWZ2" s="1825"/>
      <c r="DXA2" s="1825"/>
      <c r="DXB2" s="1825"/>
      <c r="DXC2" s="1825"/>
      <c r="DXD2" s="1825"/>
      <c r="DXE2" s="1825"/>
      <c r="DXF2" s="1825"/>
      <c r="DXG2" s="1825"/>
      <c r="DXH2" s="1825"/>
      <c r="DXI2" s="1825"/>
      <c r="DXJ2" s="1825"/>
      <c r="DXK2" s="1825"/>
      <c r="DXL2" s="1825"/>
      <c r="DXM2" s="1825"/>
      <c r="DXN2" s="1825"/>
      <c r="DXO2" s="1825"/>
      <c r="DXP2" s="1825"/>
      <c r="DXQ2" s="1825"/>
      <c r="DXR2" s="1825"/>
      <c r="DXS2" s="1825"/>
      <c r="DXT2" s="1825"/>
      <c r="DXU2" s="1825"/>
      <c r="DXV2" s="1825"/>
      <c r="DXW2" s="1825"/>
      <c r="DXX2" s="1825"/>
      <c r="DXY2" s="1825"/>
      <c r="DXZ2" s="1825"/>
      <c r="DYA2" s="1825"/>
      <c r="DYB2" s="1825"/>
      <c r="DYC2" s="1825"/>
      <c r="DYD2" s="1825"/>
      <c r="DYE2" s="1825"/>
      <c r="DYF2" s="1825"/>
      <c r="DYG2" s="1825"/>
      <c r="DYH2" s="1825"/>
      <c r="DYI2" s="1825"/>
      <c r="DYJ2" s="1825"/>
      <c r="DYK2" s="1825"/>
      <c r="DYL2" s="1825"/>
      <c r="DYM2" s="1825"/>
      <c r="DYN2" s="1825"/>
      <c r="DYO2" s="1825"/>
      <c r="DYP2" s="1825"/>
      <c r="DYQ2" s="1825"/>
      <c r="DYR2" s="1825"/>
      <c r="DYS2" s="1825"/>
      <c r="DYT2" s="1825"/>
      <c r="DYU2" s="1825"/>
      <c r="DYV2" s="1825"/>
      <c r="DYW2" s="1825"/>
      <c r="DYX2" s="1825"/>
      <c r="DYY2" s="1825"/>
      <c r="DYZ2" s="1825"/>
      <c r="DZA2" s="1825"/>
      <c r="DZB2" s="1825"/>
      <c r="DZC2" s="1825"/>
      <c r="DZD2" s="1825"/>
      <c r="DZE2" s="1825"/>
      <c r="DZF2" s="1825"/>
      <c r="DZG2" s="1825"/>
      <c r="DZH2" s="1825"/>
      <c r="DZI2" s="1825"/>
      <c r="DZJ2" s="1825"/>
      <c r="DZK2" s="1825"/>
      <c r="DZL2" s="1825"/>
      <c r="DZM2" s="1825"/>
      <c r="DZN2" s="1825"/>
      <c r="DZO2" s="1825"/>
      <c r="DZP2" s="1825"/>
      <c r="DZQ2" s="1825"/>
      <c r="DZR2" s="1825"/>
      <c r="DZS2" s="1825"/>
      <c r="DZT2" s="1825"/>
      <c r="DZU2" s="1825"/>
      <c r="DZV2" s="1825"/>
      <c r="DZW2" s="1825"/>
      <c r="DZX2" s="1825"/>
      <c r="DZY2" s="1825"/>
      <c r="DZZ2" s="1825"/>
      <c r="EAA2" s="1825"/>
      <c r="EAB2" s="1825"/>
      <c r="EAC2" s="1825"/>
      <c r="EAD2" s="1825"/>
      <c r="EAE2" s="1825"/>
      <c r="EAF2" s="1825"/>
      <c r="EAG2" s="1825"/>
      <c r="EAH2" s="1825"/>
      <c r="EAI2" s="1825"/>
      <c r="EAJ2" s="1825"/>
      <c r="EAK2" s="1825"/>
      <c r="EAL2" s="1825"/>
      <c r="EAM2" s="1825"/>
      <c r="EAN2" s="1825"/>
      <c r="EAO2" s="1825"/>
      <c r="EAP2" s="1825"/>
      <c r="EAQ2" s="1825"/>
      <c r="EAR2" s="1825"/>
      <c r="EAS2" s="1825"/>
      <c r="EAT2" s="1825"/>
      <c r="EAU2" s="1825"/>
      <c r="EAV2" s="1825"/>
      <c r="EAW2" s="1825"/>
      <c r="EAX2" s="1825"/>
      <c r="EAY2" s="1825"/>
      <c r="EAZ2" s="1825"/>
      <c r="EBA2" s="1825"/>
      <c r="EBB2" s="1825"/>
      <c r="EBC2" s="1825"/>
      <c r="EBD2" s="1825"/>
      <c r="EBE2" s="1825"/>
      <c r="EBF2" s="1825"/>
      <c r="EBG2" s="1825"/>
      <c r="EBH2" s="1825"/>
      <c r="EBI2" s="1825"/>
      <c r="EBJ2" s="1825"/>
      <c r="EBK2" s="1825"/>
      <c r="EBL2" s="1825"/>
      <c r="EBM2" s="1825"/>
      <c r="EBN2" s="1825"/>
      <c r="EBO2" s="1825"/>
      <c r="EBP2" s="1825"/>
      <c r="EBQ2" s="1825"/>
      <c r="EBR2" s="1825"/>
      <c r="EBS2" s="1825"/>
      <c r="EBT2" s="1825"/>
      <c r="EBU2" s="1825"/>
      <c r="EBV2" s="1825"/>
      <c r="EBW2" s="1825"/>
      <c r="EBX2" s="1825"/>
      <c r="EBY2" s="1825"/>
      <c r="EBZ2" s="1825"/>
      <c r="ECA2" s="1825"/>
      <c r="ECB2" s="1825"/>
      <c r="ECC2" s="1825"/>
      <c r="ECD2" s="1825"/>
      <c r="ECE2" s="1825"/>
      <c r="ECF2" s="1825"/>
      <c r="ECG2" s="1825"/>
      <c r="ECH2" s="1825"/>
      <c r="ECI2" s="1825"/>
      <c r="ECJ2" s="1825"/>
      <c r="ECK2" s="1825"/>
      <c r="ECL2" s="1825"/>
      <c r="ECM2" s="1825"/>
      <c r="ECN2" s="1825"/>
      <c r="ECO2" s="1825"/>
      <c r="ECP2" s="1825"/>
      <c r="ECQ2" s="1825"/>
      <c r="ECR2" s="1825"/>
      <c r="ECS2" s="1825"/>
      <c r="ECT2" s="1825"/>
      <c r="ECU2" s="1825"/>
      <c r="ECV2" s="1825"/>
      <c r="ECW2" s="1825"/>
      <c r="ECX2" s="1825"/>
      <c r="ECY2" s="1825"/>
      <c r="ECZ2" s="1825"/>
      <c r="EDA2" s="1825"/>
      <c r="EDB2" s="1825"/>
      <c r="EDC2" s="1825"/>
      <c r="EDD2" s="1825"/>
      <c r="EDE2" s="1825"/>
      <c r="EDF2" s="1825"/>
      <c r="EDG2" s="1825"/>
      <c r="EDH2" s="1825"/>
      <c r="EDI2" s="1825"/>
      <c r="EDJ2" s="1825"/>
      <c r="EDK2" s="1825"/>
      <c r="EDL2" s="1825"/>
      <c r="EDM2" s="1825"/>
      <c r="EDN2" s="1825"/>
      <c r="EDO2" s="1825"/>
      <c r="EDP2" s="1825"/>
      <c r="EDQ2" s="1825"/>
      <c r="EDR2" s="1825"/>
      <c r="EDS2" s="1825"/>
      <c r="EDT2" s="1825"/>
      <c r="EDU2" s="1825"/>
      <c r="EDV2" s="1825"/>
      <c r="EDW2" s="1825"/>
      <c r="EDX2" s="1825"/>
      <c r="EDY2" s="1825"/>
      <c r="EDZ2" s="1825"/>
      <c r="EEA2" s="1825"/>
      <c r="EEB2" s="1825"/>
      <c r="EEC2" s="1825"/>
      <c r="EED2" s="1825"/>
      <c r="EEE2" s="1825"/>
      <c r="EEF2" s="1825"/>
      <c r="EEG2" s="1825"/>
      <c r="EEH2" s="1825"/>
      <c r="EEI2" s="1825"/>
      <c r="EEJ2" s="1825"/>
      <c r="EEK2" s="1825"/>
      <c r="EEL2" s="1825"/>
      <c r="EEM2" s="1825"/>
      <c r="EEN2" s="1825"/>
      <c r="EEO2" s="1825"/>
      <c r="EEP2" s="1825"/>
      <c r="EEQ2" s="1825"/>
      <c r="EER2" s="1825"/>
      <c r="EES2" s="1825"/>
      <c r="EET2" s="1825"/>
      <c r="EEU2" s="1825"/>
      <c r="EEV2" s="1825"/>
      <c r="EEW2" s="1825"/>
      <c r="EEX2" s="1825"/>
      <c r="EEY2" s="1825"/>
      <c r="EEZ2" s="1825"/>
      <c r="EFA2" s="1825"/>
      <c r="EFB2" s="1825"/>
      <c r="EFC2" s="1825"/>
      <c r="EFD2" s="1825"/>
      <c r="EFE2" s="1825"/>
      <c r="EFF2" s="1825"/>
      <c r="EFG2" s="1825"/>
      <c r="EFH2" s="1825"/>
      <c r="EFI2" s="1825"/>
      <c r="EFJ2" s="1825"/>
      <c r="EFK2" s="1825"/>
      <c r="EFL2" s="1825"/>
      <c r="EFM2" s="1825"/>
      <c r="EFN2" s="1825"/>
      <c r="EFO2" s="1825"/>
      <c r="EFP2" s="1825"/>
      <c r="EFQ2" s="1825"/>
      <c r="EFR2" s="1825"/>
      <c r="EFS2" s="1825"/>
      <c r="EFT2" s="1825"/>
      <c r="EFU2" s="1825"/>
      <c r="EFV2" s="1825"/>
      <c r="EFW2" s="1825"/>
      <c r="EFX2" s="1825"/>
      <c r="EFY2" s="1825"/>
      <c r="EFZ2" s="1825"/>
      <c r="EGA2" s="1825"/>
      <c r="EGB2" s="1825"/>
      <c r="EGC2" s="1825"/>
      <c r="EGD2" s="1825"/>
      <c r="EGE2" s="1825"/>
      <c r="EGF2" s="1825"/>
      <c r="EGG2" s="1825"/>
      <c r="EGH2" s="1825"/>
      <c r="EGI2" s="1825"/>
      <c r="EGJ2" s="1825"/>
      <c r="EGK2" s="1825"/>
      <c r="EGL2" s="1825"/>
      <c r="EGM2" s="1825"/>
      <c r="EGN2" s="1825"/>
      <c r="EGO2" s="1825"/>
      <c r="EGP2" s="1825"/>
      <c r="EGQ2" s="1825"/>
      <c r="EGR2" s="1825"/>
      <c r="EGS2" s="1825"/>
      <c r="EGT2" s="1825"/>
      <c r="EGU2" s="1825"/>
      <c r="EGV2" s="1825"/>
      <c r="EGW2" s="1825"/>
      <c r="EGX2" s="1825"/>
      <c r="EGY2" s="1825"/>
      <c r="EGZ2" s="1825"/>
      <c r="EHA2" s="1825"/>
      <c r="EHB2" s="1825"/>
      <c r="EHC2" s="1825"/>
      <c r="EHD2" s="1825"/>
      <c r="EHE2" s="1825"/>
      <c r="EHF2" s="1825"/>
      <c r="EHG2" s="1825"/>
      <c r="EHH2" s="1825"/>
      <c r="EHI2" s="1825"/>
      <c r="EHJ2" s="1825"/>
      <c r="EHK2" s="1825"/>
      <c r="EHL2" s="1825"/>
      <c r="EHM2" s="1825"/>
      <c r="EHN2" s="1825"/>
      <c r="EHO2" s="1825"/>
      <c r="EHP2" s="1825"/>
      <c r="EHQ2" s="1825"/>
      <c r="EHR2" s="1825"/>
      <c r="EHS2" s="1825"/>
      <c r="EHT2" s="1825"/>
      <c r="EHU2" s="1825"/>
      <c r="EHV2" s="1825"/>
      <c r="EHW2" s="1825"/>
      <c r="EHX2" s="1825"/>
      <c r="EHY2" s="1825"/>
      <c r="EHZ2" s="1825"/>
      <c r="EIA2" s="1825"/>
      <c r="EIB2" s="1825"/>
      <c r="EIC2" s="1825"/>
      <c r="EID2" s="1825"/>
      <c r="EIE2" s="1825"/>
      <c r="EIF2" s="1825"/>
      <c r="EIG2" s="1825"/>
      <c r="EIH2" s="1825"/>
      <c r="EII2" s="1825"/>
      <c r="EIJ2" s="1825"/>
      <c r="EIK2" s="1825"/>
      <c r="EIL2" s="1825"/>
      <c r="EIM2" s="1825"/>
      <c r="EIN2" s="1825"/>
      <c r="EIO2" s="1825"/>
      <c r="EIP2" s="1825"/>
      <c r="EIQ2" s="1825"/>
      <c r="EIR2" s="1825"/>
      <c r="EIS2" s="1825"/>
      <c r="EIT2" s="1825"/>
      <c r="EIU2" s="1825"/>
      <c r="EIV2" s="1825"/>
      <c r="EIW2" s="1825"/>
      <c r="EIX2" s="1825"/>
      <c r="EIY2" s="1825"/>
      <c r="EIZ2" s="1825"/>
      <c r="EJA2" s="1825"/>
      <c r="EJB2" s="1825"/>
      <c r="EJC2" s="1825"/>
      <c r="EJD2" s="1825"/>
      <c r="EJE2" s="1825"/>
      <c r="EJF2" s="1825"/>
      <c r="EJG2" s="1825"/>
      <c r="EJH2" s="1825"/>
      <c r="EJI2" s="1825"/>
      <c r="EJJ2" s="1825"/>
      <c r="EJK2" s="1825"/>
      <c r="EJL2" s="1825"/>
      <c r="EJM2" s="1825"/>
      <c r="EJN2" s="1825"/>
      <c r="EJO2" s="1825"/>
      <c r="EJP2" s="1825"/>
      <c r="EJQ2" s="1825"/>
      <c r="EJR2" s="1825"/>
      <c r="EJS2" s="1825"/>
      <c r="EJT2" s="1825"/>
      <c r="EJU2" s="1825"/>
      <c r="EJV2" s="1825"/>
      <c r="EJW2" s="1825"/>
      <c r="EJX2" s="1825"/>
      <c r="EJY2" s="1825"/>
      <c r="EJZ2" s="1825"/>
      <c r="EKA2" s="1825"/>
      <c r="EKB2" s="1825"/>
      <c r="EKC2" s="1825"/>
      <c r="EKD2" s="1825"/>
      <c r="EKE2" s="1825"/>
      <c r="EKF2" s="1825"/>
      <c r="EKG2" s="1825"/>
      <c r="EKH2" s="1825"/>
      <c r="EKI2" s="1825"/>
      <c r="EKJ2" s="1825"/>
      <c r="EKK2" s="1825"/>
      <c r="EKL2" s="1825"/>
      <c r="EKM2" s="1825"/>
      <c r="EKN2" s="1825"/>
      <c r="EKO2" s="1825"/>
      <c r="EKP2" s="1825"/>
      <c r="EKQ2" s="1825"/>
      <c r="EKR2" s="1825"/>
      <c r="EKS2" s="1825"/>
      <c r="EKT2" s="1825"/>
      <c r="EKU2" s="1825"/>
      <c r="EKV2" s="1825"/>
      <c r="EKW2" s="1825"/>
      <c r="EKX2" s="1825"/>
      <c r="EKY2" s="1825"/>
      <c r="EKZ2" s="1825"/>
      <c r="ELA2" s="1825"/>
      <c r="ELB2" s="1825"/>
      <c r="ELC2" s="1825"/>
      <c r="ELD2" s="1825"/>
      <c r="ELE2" s="1825"/>
      <c r="ELF2" s="1825"/>
      <c r="ELG2" s="1825"/>
      <c r="ELH2" s="1825"/>
      <c r="ELI2" s="1825"/>
      <c r="ELJ2" s="1825"/>
      <c r="ELK2" s="1825"/>
      <c r="ELL2" s="1825"/>
      <c r="ELM2" s="1825"/>
      <c r="ELN2" s="1825"/>
      <c r="ELO2" s="1825"/>
      <c r="ELP2" s="1825"/>
      <c r="ELQ2" s="1825"/>
      <c r="ELR2" s="1825"/>
      <c r="ELS2" s="1825"/>
      <c r="ELT2" s="1825"/>
      <c r="ELU2" s="1825"/>
      <c r="ELV2" s="1825"/>
      <c r="ELW2" s="1825"/>
      <c r="ELX2" s="1825"/>
      <c r="ELY2" s="1825"/>
      <c r="ELZ2" s="1825"/>
      <c r="EMA2" s="1825"/>
      <c r="EMB2" s="1825"/>
      <c r="EMC2" s="1825"/>
      <c r="EMD2" s="1825"/>
      <c r="EME2" s="1825"/>
      <c r="EMF2" s="1825"/>
      <c r="EMG2" s="1825"/>
      <c r="EMH2" s="1825"/>
      <c r="EMI2" s="1825"/>
      <c r="EMJ2" s="1825"/>
      <c r="EMK2" s="1825"/>
      <c r="EML2" s="1825"/>
      <c r="EMM2" s="1825"/>
      <c r="EMN2" s="1825"/>
      <c r="EMO2" s="1825"/>
      <c r="EMP2" s="1825"/>
      <c r="EMQ2" s="1825"/>
      <c r="EMR2" s="1825"/>
      <c r="EMS2" s="1825"/>
      <c r="EMT2" s="1825"/>
      <c r="EMU2" s="1825"/>
      <c r="EMV2" s="1825"/>
      <c r="EMW2" s="1825"/>
      <c r="EMX2" s="1825"/>
      <c r="EMY2" s="1825"/>
      <c r="EMZ2" s="1825"/>
      <c r="ENA2" s="1825"/>
      <c r="ENB2" s="1825"/>
      <c r="ENC2" s="1825"/>
      <c r="END2" s="1825"/>
      <c r="ENE2" s="1825"/>
      <c r="ENF2" s="1825"/>
      <c r="ENG2" s="1825"/>
      <c r="ENH2" s="1825"/>
      <c r="ENI2" s="1825"/>
      <c r="ENJ2" s="1825"/>
      <c r="ENK2" s="1825"/>
      <c r="ENL2" s="1825"/>
      <c r="ENM2" s="1825"/>
      <c r="ENN2" s="1825"/>
      <c r="ENO2" s="1825"/>
      <c r="ENP2" s="1825"/>
      <c r="ENQ2" s="1825"/>
      <c r="ENR2" s="1825"/>
      <c r="ENS2" s="1825"/>
      <c r="ENT2" s="1825"/>
      <c r="ENU2" s="1825"/>
      <c r="ENV2" s="1825"/>
      <c r="ENW2" s="1825"/>
      <c r="ENX2" s="1825"/>
      <c r="ENY2" s="1825"/>
      <c r="ENZ2" s="1825"/>
      <c r="EOA2" s="1825"/>
      <c r="EOB2" s="1825"/>
      <c r="EOC2" s="1825"/>
      <c r="EOD2" s="1825"/>
      <c r="EOE2" s="1825"/>
      <c r="EOF2" s="1825"/>
      <c r="EOG2" s="1825"/>
      <c r="EOH2" s="1825"/>
      <c r="EOI2" s="1825"/>
      <c r="EOJ2" s="1825"/>
      <c r="EOK2" s="1825"/>
      <c r="EOL2" s="1825"/>
      <c r="EOM2" s="1825"/>
      <c r="EON2" s="1825"/>
      <c r="EOO2" s="1825"/>
      <c r="EOP2" s="1825"/>
      <c r="EOQ2" s="1825"/>
      <c r="EOR2" s="1825"/>
      <c r="EOS2" s="1825"/>
      <c r="EOT2" s="1825"/>
      <c r="EOU2" s="1825"/>
      <c r="EOV2" s="1825"/>
      <c r="EOW2" s="1825"/>
      <c r="EOX2" s="1825"/>
      <c r="EOY2" s="1825"/>
      <c r="EOZ2" s="1825"/>
      <c r="EPA2" s="1825"/>
      <c r="EPB2" s="1825"/>
      <c r="EPC2" s="1825"/>
      <c r="EPD2" s="1825"/>
      <c r="EPE2" s="1825"/>
      <c r="EPF2" s="1825"/>
      <c r="EPG2" s="1825"/>
      <c r="EPH2" s="1825"/>
      <c r="EPI2" s="1825"/>
      <c r="EPJ2" s="1825"/>
      <c r="EPK2" s="1825"/>
      <c r="EPL2" s="1825"/>
      <c r="EPM2" s="1825"/>
      <c r="EPN2" s="1825"/>
      <c r="EPO2" s="1825"/>
      <c r="EPP2" s="1825"/>
      <c r="EPQ2" s="1825"/>
      <c r="EPR2" s="1825"/>
      <c r="EPS2" s="1825"/>
      <c r="EPT2" s="1825"/>
      <c r="EPU2" s="1825"/>
      <c r="EPV2" s="1825"/>
      <c r="EPW2" s="1825"/>
      <c r="EPX2" s="1825"/>
      <c r="EPY2" s="1825"/>
      <c r="EPZ2" s="1825"/>
      <c r="EQA2" s="1825"/>
      <c r="EQB2" s="1825"/>
      <c r="EQC2" s="1825"/>
      <c r="EQD2" s="1825"/>
      <c r="EQE2" s="1825"/>
      <c r="EQF2" s="1825"/>
      <c r="EQG2" s="1825"/>
      <c r="EQH2" s="1825"/>
      <c r="EQI2" s="1825"/>
      <c r="EQJ2" s="1825"/>
      <c r="EQK2" s="1825"/>
      <c r="EQL2" s="1825"/>
      <c r="EQM2" s="1825"/>
      <c r="EQN2" s="1825"/>
      <c r="EQO2" s="1825"/>
      <c r="EQP2" s="1825"/>
      <c r="EQQ2" s="1825"/>
      <c r="EQR2" s="1825"/>
      <c r="EQS2" s="1825"/>
      <c r="EQT2" s="1825"/>
      <c r="EQU2" s="1825"/>
      <c r="EQV2" s="1825"/>
      <c r="EQW2" s="1825"/>
      <c r="EQX2" s="1825"/>
      <c r="EQY2" s="1825"/>
      <c r="EQZ2" s="1825"/>
      <c r="ERA2" s="1825"/>
      <c r="ERB2" s="1825"/>
      <c r="ERC2" s="1825"/>
      <c r="ERD2" s="1825"/>
      <c r="ERE2" s="1825"/>
      <c r="ERF2" s="1825"/>
      <c r="ERG2" s="1825"/>
      <c r="ERH2" s="1825"/>
      <c r="ERI2" s="1825"/>
      <c r="ERJ2" s="1825"/>
      <c r="ERK2" s="1825"/>
      <c r="ERL2" s="1825"/>
      <c r="ERM2" s="1825"/>
      <c r="ERN2" s="1825"/>
      <c r="ERO2" s="1825"/>
      <c r="ERP2" s="1825"/>
      <c r="ERQ2" s="1825"/>
      <c r="ERR2" s="1825"/>
      <c r="ERS2" s="1825"/>
      <c r="ERT2" s="1825"/>
      <c r="ERU2" s="1825"/>
      <c r="ERV2" s="1825"/>
      <c r="ERW2" s="1825"/>
      <c r="ERX2" s="1825"/>
      <c r="ERY2" s="1825"/>
      <c r="ERZ2" s="1825"/>
      <c r="ESA2" s="1825"/>
      <c r="ESB2" s="1825"/>
      <c r="ESC2" s="1825"/>
      <c r="ESD2" s="1825"/>
      <c r="ESE2" s="1825"/>
      <c r="ESF2" s="1825"/>
      <c r="ESG2" s="1825"/>
      <c r="ESH2" s="1825"/>
      <c r="ESI2" s="1825"/>
      <c r="ESJ2" s="1825"/>
      <c r="ESK2" s="1825"/>
      <c r="ESL2" s="1825"/>
      <c r="ESM2" s="1825"/>
      <c r="ESN2" s="1825"/>
      <c r="ESO2" s="1825"/>
      <c r="ESP2" s="1825"/>
      <c r="ESQ2" s="1825"/>
      <c r="ESR2" s="1825"/>
      <c r="ESS2" s="1825"/>
      <c r="EST2" s="1825"/>
      <c r="ESU2" s="1825"/>
      <c r="ESV2" s="1825"/>
      <c r="ESW2" s="1825"/>
      <c r="ESX2" s="1825"/>
      <c r="ESY2" s="1825"/>
      <c r="ESZ2" s="1825"/>
      <c r="ETA2" s="1825"/>
      <c r="ETB2" s="1825"/>
      <c r="ETC2" s="1825"/>
      <c r="ETD2" s="1825"/>
      <c r="ETE2" s="1825"/>
      <c r="ETF2" s="1825"/>
      <c r="ETG2" s="1825"/>
      <c r="ETH2" s="1825"/>
      <c r="ETI2" s="1825"/>
      <c r="ETJ2" s="1825"/>
      <c r="ETK2" s="1825"/>
      <c r="ETL2" s="1825"/>
      <c r="ETM2" s="1825"/>
      <c r="ETN2" s="1825"/>
      <c r="ETO2" s="1825"/>
      <c r="ETP2" s="1825"/>
      <c r="ETQ2" s="1825"/>
      <c r="ETR2" s="1825"/>
      <c r="ETS2" s="1825"/>
      <c r="ETT2" s="1825"/>
      <c r="ETU2" s="1825"/>
      <c r="ETV2" s="1825"/>
      <c r="ETW2" s="1825"/>
      <c r="ETX2" s="1825"/>
      <c r="ETY2" s="1825"/>
      <c r="ETZ2" s="1825"/>
      <c r="EUA2" s="1825"/>
      <c r="EUB2" s="1825"/>
      <c r="EUC2" s="1825"/>
      <c r="EUD2" s="1825"/>
      <c r="EUE2" s="1825"/>
      <c r="EUF2" s="1825"/>
      <c r="EUG2" s="1825"/>
      <c r="EUH2" s="1825"/>
      <c r="EUI2" s="1825"/>
      <c r="EUJ2" s="1825"/>
      <c r="EUK2" s="1825"/>
      <c r="EUL2" s="1825"/>
      <c r="EUM2" s="1825"/>
      <c r="EUN2" s="1825"/>
      <c r="EUO2" s="1825"/>
      <c r="EUP2" s="1825"/>
      <c r="EUQ2" s="1825"/>
      <c r="EUR2" s="1825"/>
      <c r="EUS2" s="1825"/>
      <c r="EUT2" s="1825"/>
      <c r="EUU2" s="1825"/>
      <c r="EUV2" s="1825"/>
      <c r="EUW2" s="1825"/>
      <c r="EUX2" s="1825"/>
      <c r="EUY2" s="1825"/>
      <c r="EUZ2" s="1825"/>
      <c r="EVA2" s="1825"/>
      <c r="EVB2" s="1825"/>
      <c r="EVC2" s="1825"/>
      <c r="EVD2" s="1825"/>
      <c r="EVE2" s="1825"/>
      <c r="EVF2" s="1825"/>
      <c r="EVG2" s="1825"/>
      <c r="EVH2" s="1825"/>
      <c r="EVI2" s="1825"/>
      <c r="EVJ2" s="1825"/>
      <c r="EVK2" s="1825"/>
      <c r="EVL2" s="1825"/>
      <c r="EVM2" s="1825"/>
      <c r="EVN2" s="1825"/>
      <c r="EVO2" s="1825"/>
      <c r="EVP2" s="1825"/>
      <c r="EVQ2" s="1825"/>
      <c r="EVR2" s="1825"/>
      <c r="EVS2" s="1825"/>
      <c r="EVT2" s="1825"/>
      <c r="EVU2" s="1825"/>
      <c r="EVV2" s="1825"/>
      <c r="EVW2" s="1825"/>
      <c r="EVX2" s="1825"/>
      <c r="EVY2" s="1825"/>
      <c r="EVZ2" s="1825"/>
      <c r="EWA2" s="1825"/>
      <c r="EWB2" s="1825"/>
      <c r="EWC2" s="1825"/>
      <c r="EWD2" s="1825"/>
      <c r="EWE2" s="1825"/>
      <c r="EWF2" s="1825"/>
      <c r="EWG2" s="1825"/>
      <c r="EWH2" s="1825"/>
      <c r="EWI2" s="1825"/>
      <c r="EWJ2" s="1825"/>
      <c r="EWK2" s="1825"/>
      <c r="EWL2" s="1825"/>
      <c r="EWM2" s="1825"/>
      <c r="EWN2" s="1825"/>
      <c r="EWO2" s="1825"/>
      <c r="EWP2" s="1825"/>
      <c r="EWQ2" s="1825"/>
      <c r="EWR2" s="1825"/>
      <c r="EWS2" s="1825"/>
      <c r="EWT2" s="1825"/>
      <c r="EWU2" s="1825"/>
      <c r="EWV2" s="1825"/>
      <c r="EWW2" s="1825"/>
      <c r="EWX2" s="1825"/>
      <c r="EWY2" s="1825"/>
      <c r="EWZ2" s="1825"/>
      <c r="EXA2" s="1825"/>
      <c r="EXB2" s="1825"/>
      <c r="EXC2" s="1825"/>
      <c r="EXD2" s="1825"/>
      <c r="EXE2" s="1825"/>
      <c r="EXF2" s="1825"/>
      <c r="EXG2" s="1825"/>
      <c r="EXH2" s="1825"/>
      <c r="EXI2" s="1825"/>
      <c r="EXJ2" s="1825"/>
      <c r="EXK2" s="1825"/>
      <c r="EXL2" s="1825"/>
      <c r="EXM2" s="1825"/>
      <c r="EXN2" s="1825"/>
      <c r="EXO2" s="1825"/>
      <c r="EXP2" s="1825"/>
      <c r="EXQ2" s="1825"/>
      <c r="EXR2" s="1825"/>
      <c r="EXS2" s="1825"/>
      <c r="EXT2" s="1825"/>
      <c r="EXU2" s="1825"/>
      <c r="EXV2" s="1825"/>
      <c r="EXW2" s="1825"/>
      <c r="EXX2" s="1825"/>
      <c r="EXY2" s="1825"/>
      <c r="EXZ2" s="1825"/>
      <c r="EYA2" s="1825"/>
      <c r="EYB2" s="1825"/>
      <c r="EYC2" s="1825"/>
      <c r="EYD2" s="1825"/>
      <c r="EYE2" s="1825"/>
      <c r="EYF2" s="1825"/>
      <c r="EYG2" s="1825"/>
      <c r="EYH2" s="1825"/>
      <c r="EYI2" s="1825"/>
      <c r="EYJ2" s="1825"/>
      <c r="EYK2" s="1825"/>
      <c r="EYL2" s="1825"/>
      <c r="EYM2" s="1825"/>
      <c r="EYN2" s="1825"/>
      <c r="EYO2" s="1825"/>
      <c r="EYP2" s="1825"/>
      <c r="EYQ2" s="1825"/>
      <c r="EYR2" s="1825"/>
      <c r="EYS2" s="1825"/>
      <c r="EYT2" s="1825"/>
      <c r="EYU2" s="1825"/>
      <c r="EYV2" s="1825"/>
      <c r="EYW2" s="1825"/>
      <c r="EYX2" s="1825"/>
      <c r="EYY2" s="1825"/>
      <c r="EYZ2" s="1825"/>
      <c r="EZA2" s="1825"/>
      <c r="EZB2" s="1825"/>
      <c r="EZC2" s="1825"/>
      <c r="EZD2" s="1825"/>
      <c r="EZE2" s="1825"/>
      <c r="EZF2" s="1825"/>
      <c r="EZG2" s="1825"/>
      <c r="EZH2" s="1825"/>
      <c r="EZI2" s="1825"/>
      <c r="EZJ2" s="1825"/>
      <c r="EZK2" s="1825"/>
      <c r="EZL2" s="1825"/>
      <c r="EZM2" s="1825"/>
      <c r="EZN2" s="1825"/>
      <c r="EZO2" s="1825"/>
      <c r="EZP2" s="1825"/>
      <c r="EZQ2" s="1825"/>
      <c r="EZR2" s="1825"/>
      <c r="EZS2" s="1825"/>
      <c r="EZT2" s="1825"/>
      <c r="EZU2" s="1825"/>
      <c r="EZV2" s="1825"/>
      <c r="EZW2" s="1825"/>
      <c r="EZX2" s="1825"/>
      <c r="EZY2" s="1825"/>
      <c r="EZZ2" s="1825"/>
      <c r="FAA2" s="1825"/>
      <c r="FAB2" s="1825"/>
      <c r="FAC2" s="1825"/>
      <c r="FAD2" s="1825"/>
      <c r="FAE2" s="1825"/>
      <c r="FAF2" s="1825"/>
      <c r="FAG2" s="1825"/>
      <c r="FAH2" s="1825"/>
      <c r="FAI2" s="1825"/>
      <c r="FAJ2" s="1825"/>
      <c r="FAK2" s="1825"/>
      <c r="FAL2" s="1825"/>
      <c r="FAM2" s="1825"/>
      <c r="FAN2" s="1825"/>
      <c r="FAO2" s="1825"/>
      <c r="FAP2" s="1825"/>
      <c r="FAQ2" s="1825"/>
      <c r="FAR2" s="1825"/>
      <c r="FAS2" s="1825"/>
      <c r="FAT2" s="1825"/>
      <c r="FAU2" s="1825"/>
      <c r="FAV2" s="1825"/>
      <c r="FAW2" s="1825"/>
      <c r="FAX2" s="1825"/>
      <c r="FAY2" s="1825"/>
      <c r="FAZ2" s="1825"/>
      <c r="FBA2" s="1825"/>
      <c r="FBB2" s="1825"/>
      <c r="FBC2" s="1825"/>
      <c r="FBD2" s="1825"/>
      <c r="FBE2" s="1825"/>
      <c r="FBF2" s="1825"/>
      <c r="FBG2" s="1825"/>
      <c r="FBH2" s="1825"/>
      <c r="FBI2" s="1825"/>
      <c r="FBJ2" s="1825"/>
      <c r="FBK2" s="1825"/>
      <c r="FBL2" s="1825"/>
      <c r="FBM2" s="1825"/>
      <c r="FBN2" s="1825"/>
      <c r="FBO2" s="1825"/>
      <c r="FBP2" s="1825"/>
      <c r="FBQ2" s="1825"/>
      <c r="FBR2" s="1825"/>
      <c r="FBS2" s="1825"/>
      <c r="FBT2" s="1825"/>
      <c r="FBU2" s="1825"/>
      <c r="FBV2" s="1825"/>
      <c r="FBW2" s="1825"/>
      <c r="FBX2" s="1825"/>
      <c r="FBY2" s="1825"/>
      <c r="FBZ2" s="1825"/>
      <c r="FCA2" s="1825"/>
      <c r="FCB2" s="1825"/>
      <c r="FCC2" s="1825"/>
      <c r="FCD2" s="1825"/>
      <c r="FCE2" s="1825"/>
      <c r="FCF2" s="1825"/>
      <c r="FCG2" s="1825"/>
      <c r="FCH2" s="1825"/>
      <c r="FCI2" s="1825"/>
      <c r="FCJ2" s="1825"/>
      <c r="FCK2" s="1825"/>
      <c r="FCL2" s="1825"/>
      <c r="FCM2" s="1825"/>
      <c r="FCN2" s="1825"/>
      <c r="FCO2" s="1825"/>
      <c r="FCP2" s="1825"/>
      <c r="FCQ2" s="1825"/>
      <c r="FCR2" s="1825"/>
      <c r="FCS2" s="1825"/>
      <c r="FCT2" s="1825"/>
      <c r="FCU2" s="1825"/>
      <c r="FCV2" s="1825"/>
      <c r="FCW2" s="1825"/>
      <c r="FCX2" s="1825"/>
      <c r="FCY2" s="1825"/>
      <c r="FCZ2" s="1825"/>
      <c r="FDA2" s="1825"/>
      <c r="FDB2" s="1825"/>
      <c r="FDC2" s="1825"/>
      <c r="FDD2" s="1825"/>
      <c r="FDE2" s="1825"/>
      <c r="FDF2" s="1825"/>
      <c r="FDG2" s="1825"/>
      <c r="FDH2" s="1825"/>
      <c r="FDI2" s="1825"/>
      <c r="FDJ2" s="1825"/>
      <c r="FDK2" s="1825"/>
      <c r="FDL2" s="1825"/>
      <c r="FDM2" s="1825"/>
      <c r="FDN2" s="1825"/>
      <c r="FDO2" s="1825"/>
      <c r="FDP2" s="1825"/>
      <c r="FDQ2" s="1825"/>
      <c r="FDR2" s="1825"/>
      <c r="FDS2" s="1825"/>
      <c r="FDT2" s="1825"/>
      <c r="FDU2" s="1825"/>
      <c r="FDV2" s="1825"/>
      <c r="FDW2" s="1825"/>
      <c r="FDX2" s="1825"/>
      <c r="FDY2" s="1825"/>
      <c r="FDZ2" s="1825"/>
      <c r="FEA2" s="1825"/>
      <c r="FEB2" s="1825"/>
      <c r="FEC2" s="1825"/>
      <c r="FED2" s="1825"/>
      <c r="FEE2" s="1825"/>
      <c r="FEF2" s="1825"/>
      <c r="FEG2" s="1825"/>
      <c r="FEH2" s="1825"/>
      <c r="FEI2" s="1825"/>
      <c r="FEJ2" s="1825"/>
      <c r="FEK2" s="1825"/>
      <c r="FEL2" s="1825"/>
      <c r="FEM2" s="1825"/>
      <c r="FEN2" s="1825"/>
      <c r="FEO2" s="1825"/>
      <c r="FEP2" s="1825"/>
      <c r="FEQ2" s="1825"/>
      <c r="FER2" s="1825"/>
      <c r="FES2" s="1825"/>
      <c r="FET2" s="1825"/>
      <c r="FEU2" s="1825"/>
      <c r="FEV2" s="1825"/>
      <c r="FEW2" s="1825"/>
      <c r="FEX2" s="1825"/>
      <c r="FEY2" s="1825"/>
      <c r="FEZ2" s="1825"/>
      <c r="FFA2" s="1825"/>
      <c r="FFB2" s="1825"/>
      <c r="FFC2" s="1825"/>
      <c r="FFD2" s="1825"/>
      <c r="FFE2" s="1825"/>
      <c r="FFF2" s="1825"/>
      <c r="FFG2" s="1825"/>
      <c r="FFH2" s="1825"/>
      <c r="FFI2" s="1825"/>
      <c r="FFJ2" s="1825"/>
      <c r="FFK2" s="1825"/>
      <c r="FFL2" s="1825"/>
      <c r="FFM2" s="1825"/>
      <c r="FFN2" s="1825"/>
      <c r="FFO2" s="1825"/>
      <c r="FFP2" s="1825"/>
      <c r="FFQ2" s="1825"/>
      <c r="FFR2" s="1825"/>
      <c r="FFS2" s="1825"/>
      <c r="FFT2" s="1825"/>
      <c r="FFU2" s="1825"/>
      <c r="FFV2" s="1825"/>
      <c r="FFW2" s="1825"/>
      <c r="FFX2" s="1825"/>
      <c r="FFY2" s="1825"/>
      <c r="FFZ2" s="1825"/>
      <c r="FGA2" s="1825"/>
      <c r="FGB2" s="1825"/>
      <c r="FGC2" s="1825"/>
      <c r="FGD2" s="1825"/>
      <c r="FGE2" s="1825"/>
      <c r="FGF2" s="1825"/>
      <c r="FGG2" s="1825"/>
      <c r="FGH2" s="1825"/>
      <c r="FGI2" s="1825"/>
      <c r="FGJ2" s="1825"/>
      <c r="FGK2" s="1825"/>
      <c r="FGL2" s="1825"/>
      <c r="FGM2" s="1825"/>
      <c r="FGN2" s="1825"/>
      <c r="FGO2" s="1825"/>
      <c r="FGP2" s="1825"/>
      <c r="FGQ2" s="1825"/>
      <c r="FGR2" s="1825"/>
      <c r="FGS2" s="1825"/>
      <c r="FGT2" s="1825"/>
      <c r="FGU2" s="1825"/>
      <c r="FGV2" s="1825"/>
      <c r="FGW2" s="1825"/>
      <c r="FGX2" s="1825"/>
      <c r="FGY2" s="1825"/>
      <c r="FGZ2" s="1825"/>
      <c r="FHA2" s="1825"/>
      <c r="FHB2" s="1825"/>
      <c r="FHC2" s="1825"/>
      <c r="FHD2" s="1825"/>
      <c r="FHE2" s="1825"/>
      <c r="FHF2" s="1825"/>
      <c r="FHG2" s="1825"/>
      <c r="FHH2" s="1825"/>
      <c r="FHI2" s="1825"/>
      <c r="FHJ2" s="1825"/>
      <c r="FHK2" s="1825"/>
      <c r="FHL2" s="1825"/>
      <c r="FHM2" s="1825"/>
      <c r="FHN2" s="1825"/>
      <c r="FHO2" s="1825"/>
      <c r="FHP2" s="1825"/>
      <c r="FHQ2" s="1825"/>
      <c r="FHR2" s="1825"/>
      <c r="FHS2" s="1825"/>
      <c r="FHT2" s="1825"/>
      <c r="FHU2" s="1825"/>
      <c r="FHV2" s="1825"/>
      <c r="FHW2" s="1825"/>
      <c r="FHX2" s="1825"/>
      <c r="FHY2" s="1825"/>
      <c r="FHZ2" s="1825"/>
      <c r="FIA2" s="1825"/>
      <c r="FIB2" s="1825"/>
      <c r="FIC2" s="1825"/>
      <c r="FID2" s="1825"/>
      <c r="FIE2" s="1825"/>
      <c r="FIF2" s="1825"/>
      <c r="FIG2" s="1825"/>
      <c r="FIH2" s="1825"/>
      <c r="FII2" s="1825"/>
      <c r="FIJ2" s="1825"/>
      <c r="FIK2" s="1825"/>
      <c r="FIL2" s="1825"/>
      <c r="FIM2" s="1825"/>
      <c r="FIN2" s="1825"/>
      <c r="FIO2" s="1825"/>
      <c r="FIP2" s="1825"/>
      <c r="FIQ2" s="1825"/>
      <c r="FIR2" s="1825"/>
      <c r="FIS2" s="1825"/>
      <c r="FIT2" s="1825"/>
      <c r="FIU2" s="1825"/>
      <c r="FIV2" s="1825"/>
      <c r="FIW2" s="1825"/>
      <c r="FIX2" s="1825"/>
      <c r="FIY2" s="1825"/>
      <c r="FIZ2" s="1825"/>
      <c r="FJA2" s="1825"/>
      <c r="FJB2" s="1825"/>
      <c r="FJC2" s="1825"/>
      <c r="FJD2" s="1825"/>
      <c r="FJE2" s="1825"/>
      <c r="FJF2" s="1825"/>
      <c r="FJG2" s="1825"/>
      <c r="FJH2" s="1825"/>
      <c r="FJI2" s="1825"/>
      <c r="FJJ2" s="1825"/>
      <c r="FJK2" s="1825"/>
      <c r="FJL2" s="1825"/>
      <c r="FJM2" s="1825"/>
      <c r="FJN2" s="1825"/>
      <c r="FJO2" s="1825"/>
      <c r="FJP2" s="1825"/>
      <c r="FJQ2" s="1825"/>
      <c r="FJR2" s="1825"/>
      <c r="FJS2" s="1825"/>
      <c r="FJT2" s="1825"/>
      <c r="FJU2" s="1825"/>
      <c r="FJV2" s="1825"/>
      <c r="FJW2" s="1825"/>
      <c r="FJX2" s="1825"/>
      <c r="FJY2" s="1825"/>
      <c r="FJZ2" s="1825"/>
      <c r="FKA2" s="1825"/>
      <c r="FKB2" s="1825"/>
      <c r="FKC2" s="1825"/>
      <c r="FKD2" s="1825"/>
      <c r="FKE2" s="1825"/>
      <c r="FKF2" s="1825"/>
      <c r="FKG2" s="1825"/>
      <c r="FKH2" s="1825"/>
      <c r="FKI2" s="1825"/>
      <c r="FKJ2" s="1825"/>
      <c r="FKK2" s="1825"/>
      <c r="FKL2" s="1825"/>
      <c r="FKM2" s="1825"/>
      <c r="FKN2" s="1825"/>
      <c r="FKO2" s="1825"/>
      <c r="FKP2" s="1825"/>
      <c r="FKQ2" s="1825"/>
      <c r="FKR2" s="1825"/>
      <c r="FKS2" s="1825"/>
      <c r="FKT2" s="1825"/>
      <c r="FKU2" s="1825"/>
      <c r="FKV2" s="1825"/>
      <c r="FKW2" s="1825"/>
      <c r="FKX2" s="1825"/>
      <c r="FKY2" s="1825"/>
      <c r="FKZ2" s="1825"/>
      <c r="FLA2" s="1825"/>
      <c r="FLB2" s="1825"/>
      <c r="FLC2" s="1825"/>
      <c r="FLD2" s="1825"/>
      <c r="FLE2" s="1825"/>
      <c r="FLF2" s="1825"/>
      <c r="FLG2" s="1825"/>
      <c r="FLH2" s="1825"/>
      <c r="FLI2" s="1825"/>
      <c r="FLJ2" s="1825"/>
      <c r="FLK2" s="1825"/>
      <c r="FLL2" s="1825"/>
      <c r="FLM2" s="1825"/>
      <c r="FLN2" s="1825"/>
      <c r="FLO2" s="1825"/>
      <c r="FLP2" s="1825"/>
      <c r="FLQ2" s="1825"/>
      <c r="FLR2" s="1825"/>
      <c r="FLS2" s="1825"/>
      <c r="FLT2" s="1825"/>
      <c r="FLU2" s="1825"/>
      <c r="FLV2" s="1825"/>
      <c r="FLW2" s="1825"/>
      <c r="FLX2" s="1825"/>
      <c r="FLY2" s="1825"/>
      <c r="FLZ2" s="1825"/>
      <c r="FMA2" s="1825"/>
      <c r="FMB2" s="1825"/>
      <c r="FMC2" s="1825"/>
      <c r="FMD2" s="1825"/>
      <c r="FME2" s="1825"/>
      <c r="FMF2" s="1825"/>
      <c r="FMG2" s="1825"/>
      <c r="FMH2" s="1825"/>
      <c r="FMI2" s="1825"/>
      <c r="FMJ2" s="1825"/>
      <c r="FMK2" s="1825"/>
      <c r="FML2" s="1825"/>
      <c r="FMM2" s="1825"/>
      <c r="FMN2" s="1825"/>
      <c r="FMO2" s="1825"/>
      <c r="FMP2" s="1825"/>
      <c r="FMQ2" s="1825"/>
      <c r="FMR2" s="1825"/>
      <c r="FMS2" s="1825"/>
      <c r="FMT2" s="1825"/>
      <c r="FMU2" s="1825"/>
      <c r="FMV2" s="1825"/>
      <c r="FMW2" s="1825"/>
      <c r="FMX2" s="1825"/>
      <c r="FMY2" s="1825"/>
      <c r="FMZ2" s="1825"/>
      <c r="FNA2" s="1825"/>
      <c r="FNB2" s="1825"/>
      <c r="FNC2" s="1825"/>
      <c r="FND2" s="1825"/>
      <c r="FNE2" s="1825"/>
      <c r="FNF2" s="1825"/>
      <c r="FNG2" s="1825"/>
      <c r="FNH2" s="1825"/>
      <c r="FNI2" s="1825"/>
      <c r="FNJ2" s="1825"/>
      <c r="FNK2" s="1825"/>
      <c r="FNL2" s="1825"/>
      <c r="FNM2" s="1825"/>
      <c r="FNN2" s="1825"/>
      <c r="FNO2" s="1825"/>
      <c r="FNP2" s="1825"/>
      <c r="FNQ2" s="1825"/>
      <c r="FNR2" s="1825"/>
      <c r="FNS2" s="1825"/>
      <c r="FNT2" s="1825"/>
      <c r="FNU2" s="1825"/>
      <c r="FNV2" s="1825"/>
      <c r="FNW2" s="1825"/>
      <c r="FNX2" s="1825"/>
      <c r="FNY2" s="1825"/>
      <c r="FNZ2" s="1825"/>
      <c r="FOA2" s="1825"/>
      <c r="FOB2" s="1825"/>
      <c r="FOC2" s="1825"/>
      <c r="FOD2" s="1825"/>
      <c r="FOE2" s="1825"/>
      <c r="FOF2" s="1825"/>
      <c r="FOG2" s="1825"/>
      <c r="FOH2" s="1825"/>
      <c r="FOI2" s="1825"/>
      <c r="FOJ2" s="1825"/>
      <c r="FOK2" s="1825"/>
      <c r="FOL2" s="1825"/>
      <c r="FOM2" s="1825"/>
      <c r="FON2" s="1825"/>
      <c r="FOO2" s="1825"/>
      <c r="FOP2" s="1825"/>
      <c r="FOQ2" s="1825"/>
      <c r="FOR2" s="1825"/>
      <c r="FOS2" s="1825"/>
      <c r="FOT2" s="1825"/>
      <c r="FOU2" s="1825"/>
      <c r="FOV2" s="1825"/>
      <c r="FOW2" s="1825"/>
      <c r="FOX2" s="1825"/>
      <c r="FOY2" s="1825"/>
      <c r="FOZ2" s="1825"/>
      <c r="FPA2" s="1825"/>
      <c r="FPB2" s="1825"/>
      <c r="FPC2" s="1825"/>
      <c r="FPD2" s="1825"/>
      <c r="FPE2" s="1825"/>
      <c r="FPF2" s="1825"/>
      <c r="FPG2" s="1825"/>
      <c r="FPH2" s="1825"/>
      <c r="FPI2" s="1825"/>
      <c r="FPJ2" s="1825"/>
      <c r="FPK2" s="1825"/>
      <c r="FPL2" s="1825"/>
      <c r="FPM2" s="1825"/>
      <c r="FPN2" s="1825"/>
      <c r="FPO2" s="1825"/>
      <c r="FPP2" s="1825"/>
      <c r="FPQ2" s="1825"/>
      <c r="FPR2" s="1825"/>
      <c r="FPS2" s="1825"/>
      <c r="FPT2" s="1825"/>
      <c r="FPU2" s="1825"/>
      <c r="FPV2" s="1825"/>
      <c r="FPW2" s="1825"/>
      <c r="FPX2" s="1825"/>
      <c r="FPY2" s="1825"/>
      <c r="FPZ2" s="1825"/>
      <c r="FQA2" s="1825"/>
      <c r="FQB2" s="1825"/>
      <c r="FQC2" s="1825"/>
      <c r="FQD2" s="1825"/>
      <c r="FQE2" s="1825"/>
      <c r="FQF2" s="1825"/>
      <c r="FQG2" s="1825"/>
      <c r="FQH2" s="1825"/>
      <c r="FQI2" s="1825"/>
      <c r="FQJ2" s="1825"/>
      <c r="FQK2" s="1825"/>
      <c r="FQL2" s="1825"/>
      <c r="FQM2" s="1825"/>
      <c r="FQN2" s="1825"/>
      <c r="FQO2" s="1825"/>
      <c r="FQP2" s="1825"/>
      <c r="FQQ2" s="1825"/>
      <c r="FQR2" s="1825"/>
      <c r="FQS2" s="1825"/>
      <c r="FQT2" s="1825"/>
      <c r="FQU2" s="1825"/>
      <c r="FQV2" s="1825"/>
      <c r="FQW2" s="1825"/>
      <c r="FQX2" s="1825"/>
      <c r="FQY2" s="1825"/>
      <c r="FQZ2" s="1825"/>
      <c r="FRA2" s="1825"/>
      <c r="FRB2" s="1825"/>
      <c r="FRC2" s="1825"/>
      <c r="FRD2" s="1825"/>
      <c r="FRE2" s="1825"/>
      <c r="FRF2" s="1825"/>
      <c r="FRG2" s="1825"/>
      <c r="FRH2" s="1825"/>
      <c r="FRI2" s="1825"/>
      <c r="FRJ2" s="1825"/>
      <c r="FRK2" s="1825"/>
      <c r="FRL2" s="1825"/>
      <c r="FRM2" s="1825"/>
      <c r="FRN2" s="1825"/>
      <c r="FRO2" s="1825"/>
      <c r="FRP2" s="1825"/>
      <c r="FRQ2" s="1825"/>
      <c r="FRR2" s="1825"/>
      <c r="FRS2" s="1825"/>
      <c r="FRT2" s="1825"/>
      <c r="FRU2" s="1825"/>
      <c r="FRV2" s="1825"/>
      <c r="FRW2" s="1825"/>
      <c r="FRX2" s="1825"/>
      <c r="FRY2" s="1825"/>
      <c r="FRZ2" s="1825"/>
      <c r="FSA2" s="1825"/>
      <c r="FSB2" s="1825"/>
      <c r="FSC2" s="1825"/>
      <c r="FSD2" s="1825"/>
      <c r="FSE2" s="1825"/>
      <c r="FSF2" s="1825"/>
      <c r="FSG2" s="1825"/>
      <c r="FSH2" s="1825"/>
      <c r="FSI2" s="1825"/>
      <c r="FSJ2" s="1825"/>
      <c r="FSK2" s="1825"/>
      <c r="FSL2" s="1825"/>
      <c r="FSM2" s="1825"/>
      <c r="FSN2" s="1825"/>
      <c r="FSO2" s="1825"/>
      <c r="FSP2" s="1825"/>
      <c r="FSQ2" s="1825"/>
      <c r="FSR2" s="1825"/>
      <c r="FSS2" s="1825"/>
      <c r="FST2" s="1825"/>
      <c r="FSU2" s="1825"/>
      <c r="FSV2" s="1825"/>
      <c r="FSW2" s="1825"/>
      <c r="FSX2" s="1825"/>
      <c r="FSY2" s="1825"/>
      <c r="FSZ2" s="1825"/>
      <c r="FTA2" s="1825"/>
      <c r="FTB2" s="1825"/>
      <c r="FTC2" s="1825"/>
      <c r="FTD2" s="1825"/>
      <c r="FTE2" s="1825"/>
      <c r="FTF2" s="1825"/>
      <c r="FTG2" s="1825"/>
      <c r="FTH2" s="1825"/>
      <c r="FTI2" s="1825"/>
      <c r="FTJ2" s="1825"/>
      <c r="FTK2" s="1825"/>
      <c r="FTL2" s="1825"/>
      <c r="FTM2" s="1825"/>
      <c r="FTN2" s="1825"/>
      <c r="FTO2" s="1825"/>
      <c r="FTP2" s="1825"/>
      <c r="FTQ2" s="1825"/>
      <c r="FTR2" s="1825"/>
      <c r="FTS2" s="1825"/>
      <c r="FTT2" s="1825"/>
      <c r="FTU2" s="1825"/>
      <c r="FTV2" s="1825"/>
      <c r="FTW2" s="1825"/>
      <c r="FTX2" s="1825"/>
      <c r="FTY2" s="1825"/>
      <c r="FTZ2" s="1825"/>
      <c r="FUA2" s="1825"/>
      <c r="FUB2" s="1825"/>
      <c r="FUC2" s="1825"/>
      <c r="FUD2" s="1825"/>
      <c r="FUE2" s="1825"/>
      <c r="FUF2" s="1825"/>
      <c r="FUG2" s="1825"/>
      <c r="FUH2" s="1825"/>
      <c r="FUI2" s="1825"/>
      <c r="FUJ2" s="1825"/>
      <c r="FUK2" s="1825"/>
      <c r="FUL2" s="1825"/>
      <c r="FUM2" s="1825"/>
      <c r="FUN2" s="1825"/>
      <c r="FUO2" s="1825"/>
      <c r="FUP2" s="1825"/>
      <c r="FUQ2" s="1825"/>
      <c r="FUR2" s="1825"/>
      <c r="FUS2" s="1825"/>
      <c r="FUT2" s="1825"/>
      <c r="FUU2" s="1825"/>
      <c r="FUV2" s="1825"/>
      <c r="FUW2" s="1825"/>
      <c r="FUX2" s="1825"/>
      <c r="FUY2" s="1825"/>
      <c r="FUZ2" s="1825"/>
      <c r="FVA2" s="1825"/>
      <c r="FVB2" s="1825"/>
      <c r="FVC2" s="1825"/>
      <c r="FVD2" s="1825"/>
      <c r="FVE2" s="1825"/>
      <c r="FVF2" s="1825"/>
      <c r="FVG2" s="1825"/>
      <c r="FVH2" s="1825"/>
      <c r="FVI2" s="1825"/>
      <c r="FVJ2" s="1825"/>
      <c r="FVK2" s="1825"/>
      <c r="FVL2" s="1825"/>
      <c r="FVM2" s="1825"/>
      <c r="FVN2" s="1825"/>
      <c r="FVO2" s="1825"/>
      <c r="FVP2" s="1825"/>
      <c r="FVQ2" s="1825"/>
      <c r="FVR2" s="1825"/>
      <c r="FVS2" s="1825"/>
      <c r="FVT2" s="1825"/>
      <c r="FVU2" s="1825"/>
      <c r="FVV2" s="1825"/>
      <c r="FVW2" s="1825"/>
      <c r="FVX2" s="1825"/>
      <c r="FVY2" s="1825"/>
      <c r="FVZ2" s="1825"/>
      <c r="FWA2" s="1825"/>
      <c r="FWB2" s="1825"/>
      <c r="FWC2" s="1825"/>
      <c r="FWD2" s="1825"/>
      <c r="FWE2" s="1825"/>
      <c r="FWF2" s="1825"/>
      <c r="FWG2" s="1825"/>
      <c r="FWH2" s="1825"/>
      <c r="FWI2" s="1825"/>
      <c r="FWJ2" s="1825"/>
      <c r="FWK2" s="1825"/>
      <c r="FWL2" s="1825"/>
      <c r="FWM2" s="1825"/>
      <c r="FWN2" s="1825"/>
      <c r="FWO2" s="1825"/>
      <c r="FWP2" s="1825"/>
      <c r="FWQ2" s="1825"/>
      <c r="FWR2" s="1825"/>
      <c r="FWS2" s="1825"/>
      <c r="FWT2" s="1825"/>
      <c r="FWU2" s="1825"/>
      <c r="FWV2" s="1825"/>
      <c r="FWW2" s="1825"/>
      <c r="FWX2" s="1825"/>
      <c r="FWY2" s="1825"/>
      <c r="FWZ2" s="1825"/>
      <c r="FXA2" s="1825"/>
      <c r="FXB2" s="1825"/>
      <c r="FXC2" s="1825"/>
      <c r="FXD2" s="1825"/>
      <c r="FXE2" s="1825"/>
      <c r="FXF2" s="1825"/>
      <c r="FXG2" s="1825"/>
      <c r="FXH2" s="1825"/>
      <c r="FXI2" s="1825"/>
      <c r="FXJ2" s="1825"/>
      <c r="FXK2" s="1825"/>
      <c r="FXL2" s="1825"/>
      <c r="FXM2" s="1825"/>
      <c r="FXN2" s="1825"/>
      <c r="FXO2" s="1825"/>
      <c r="FXP2" s="1825"/>
      <c r="FXQ2" s="1825"/>
      <c r="FXR2" s="1825"/>
      <c r="FXS2" s="1825"/>
      <c r="FXT2" s="1825"/>
      <c r="FXU2" s="1825"/>
      <c r="FXV2" s="1825"/>
      <c r="FXW2" s="1825"/>
      <c r="FXX2" s="1825"/>
      <c r="FXY2" s="1825"/>
      <c r="FXZ2" s="1825"/>
      <c r="FYA2" s="1825"/>
      <c r="FYB2" s="1825"/>
      <c r="FYC2" s="1825"/>
      <c r="FYD2" s="1825"/>
      <c r="FYE2" s="1825"/>
      <c r="FYF2" s="1825"/>
      <c r="FYG2" s="1825"/>
      <c r="FYH2" s="1825"/>
      <c r="FYI2" s="1825"/>
      <c r="FYJ2" s="1825"/>
      <c r="FYK2" s="1825"/>
      <c r="FYL2" s="1825"/>
      <c r="FYM2" s="1825"/>
      <c r="FYN2" s="1825"/>
      <c r="FYO2" s="1825"/>
      <c r="FYP2" s="1825"/>
      <c r="FYQ2" s="1825"/>
      <c r="FYR2" s="1825"/>
      <c r="FYS2" s="1825"/>
      <c r="FYT2" s="1825"/>
      <c r="FYU2" s="1825"/>
      <c r="FYV2" s="1825"/>
      <c r="FYW2" s="1825"/>
      <c r="FYX2" s="1825"/>
      <c r="FYY2" s="1825"/>
      <c r="FYZ2" s="1825"/>
      <c r="FZA2" s="1825"/>
      <c r="FZB2" s="1825"/>
      <c r="FZC2" s="1825"/>
      <c r="FZD2" s="1825"/>
      <c r="FZE2" s="1825"/>
      <c r="FZF2" s="1825"/>
      <c r="FZG2" s="1825"/>
      <c r="FZH2" s="1825"/>
      <c r="FZI2" s="1825"/>
      <c r="FZJ2" s="1825"/>
      <c r="FZK2" s="1825"/>
      <c r="FZL2" s="1825"/>
      <c r="FZM2" s="1825"/>
      <c r="FZN2" s="1825"/>
      <c r="FZO2" s="1825"/>
      <c r="FZP2" s="1825"/>
      <c r="FZQ2" s="1825"/>
      <c r="FZR2" s="1825"/>
      <c r="FZS2" s="1825"/>
      <c r="FZT2" s="1825"/>
      <c r="FZU2" s="1825"/>
      <c r="FZV2" s="1825"/>
      <c r="FZW2" s="1825"/>
      <c r="FZX2" s="1825"/>
      <c r="FZY2" s="1825"/>
      <c r="FZZ2" s="1825"/>
      <c r="GAA2" s="1825"/>
      <c r="GAB2" s="1825"/>
      <c r="GAC2" s="1825"/>
      <c r="GAD2" s="1825"/>
      <c r="GAE2" s="1825"/>
      <c r="GAF2" s="1825"/>
      <c r="GAG2" s="1825"/>
      <c r="GAH2" s="1825"/>
      <c r="GAI2" s="1825"/>
      <c r="GAJ2" s="1825"/>
      <c r="GAK2" s="1825"/>
      <c r="GAL2" s="1825"/>
      <c r="GAM2" s="1825"/>
      <c r="GAN2" s="1825"/>
      <c r="GAO2" s="1825"/>
      <c r="GAP2" s="1825"/>
      <c r="GAQ2" s="1825"/>
      <c r="GAR2" s="1825"/>
      <c r="GAS2" s="1825"/>
      <c r="GAT2" s="1825"/>
      <c r="GAU2" s="1825"/>
      <c r="GAV2" s="1825"/>
      <c r="GAW2" s="1825"/>
      <c r="GAX2" s="1825"/>
      <c r="GAY2" s="1825"/>
      <c r="GAZ2" s="1825"/>
      <c r="GBA2" s="1825"/>
      <c r="GBB2" s="1825"/>
      <c r="GBC2" s="1825"/>
      <c r="GBD2" s="1825"/>
      <c r="GBE2" s="1825"/>
      <c r="GBF2" s="1825"/>
      <c r="GBG2" s="1825"/>
      <c r="GBH2" s="1825"/>
      <c r="GBI2" s="1825"/>
      <c r="GBJ2" s="1825"/>
      <c r="GBK2" s="1825"/>
      <c r="GBL2" s="1825"/>
      <c r="GBM2" s="1825"/>
      <c r="GBN2" s="1825"/>
      <c r="GBO2" s="1825"/>
      <c r="GBP2" s="1825"/>
      <c r="GBQ2" s="1825"/>
      <c r="GBR2" s="1825"/>
      <c r="GBS2" s="1825"/>
      <c r="GBT2" s="1825"/>
      <c r="GBU2" s="1825"/>
      <c r="GBV2" s="1825"/>
      <c r="GBW2" s="1825"/>
      <c r="GBX2" s="1825"/>
      <c r="GBY2" s="1825"/>
      <c r="GBZ2" s="1825"/>
      <c r="GCA2" s="1825"/>
      <c r="GCB2" s="1825"/>
      <c r="GCC2" s="1825"/>
      <c r="GCD2" s="1825"/>
      <c r="GCE2" s="1825"/>
      <c r="GCF2" s="1825"/>
      <c r="GCG2" s="1825"/>
      <c r="GCH2" s="1825"/>
      <c r="GCI2" s="1825"/>
      <c r="GCJ2" s="1825"/>
      <c r="GCK2" s="1825"/>
      <c r="GCL2" s="1825"/>
      <c r="GCM2" s="1825"/>
      <c r="GCN2" s="1825"/>
      <c r="GCO2" s="1825"/>
      <c r="GCP2" s="1825"/>
      <c r="GCQ2" s="1825"/>
      <c r="GCR2" s="1825"/>
      <c r="GCS2" s="1825"/>
      <c r="GCT2" s="1825"/>
      <c r="GCU2" s="1825"/>
      <c r="GCV2" s="1825"/>
      <c r="GCW2" s="1825"/>
      <c r="GCX2" s="1825"/>
      <c r="GCY2" s="1825"/>
      <c r="GCZ2" s="1825"/>
      <c r="GDA2" s="1825"/>
      <c r="GDB2" s="1825"/>
      <c r="GDC2" s="1825"/>
      <c r="GDD2" s="1825"/>
      <c r="GDE2" s="1825"/>
      <c r="GDF2" s="1825"/>
      <c r="GDG2" s="1825"/>
      <c r="GDH2" s="1825"/>
      <c r="GDI2" s="1825"/>
      <c r="GDJ2" s="1825"/>
      <c r="GDK2" s="1825"/>
      <c r="GDL2" s="1825"/>
      <c r="GDM2" s="1825"/>
      <c r="GDN2" s="1825"/>
      <c r="GDO2" s="1825"/>
      <c r="GDP2" s="1825"/>
      <c r="GDQ2" s="1825"/>
      <c r="GDR2" s="1825"/>
      <c r="GDS2" s="1825"/>
      <c r="GDT2" s="1825"/>
      <c r="GDU2" s="1825"/>
      <c r="GDV2" s="1825"/>
      <c r="GDW2" s="1825"/>
      <c r="GDX2" s="1825"/>
      <c r="GDY2" s="1825"/>
      <c r="GDZ2" s="1825"/>
      <c r="GEA2" s="1825"/>
      <c r="GEB2" s="1825"/>
      <c r="GEC2" s="1825"/>
      <c r="GED2" s="1825"/>
      <c r="GEE2" s="1825"/>
      <c r="GEF2" s="1825"/>
      <c r="GEG2" s="1825"/>
      <c r="GEH2" s="1825"/>
      <c r="GEI2" s="1825"/>
      <c r="GEJ2" s="1825"/>
      <c r="GEK2" s="1825"/>
      <c r="GEL2" s="1825"/>
      <c r="GEM2" s="1825"/>
      <c r="GEN2" s="1825"/>
      <c r="GEO2" s="1825"/>
      <c r="GEP2" s="1825"/>
      <c r="GEQ2" s="1825"/>
      <c r="GER2" s="1825"/>
      <c r="GES2" s="1825"/>
      <c r="GET2" s="1825"/>
      <c r="GEU2" s="1825"/>
      <c r="GEV2" s="1825"/>
      <c r="GEW2" s="1825"/>
      <c r="GEX2" s="1825"/>
      <c r="GEY2" s="1825"/>
      <c r="GEZ2" s="1825"/>
      <c r="GFA2" s="1825"/>
      <c r="GFB2" s="1825"/>
      <c r="GFC2" s="1825"/>
      <c r="GFD2" s="1825"/>
      <c r="GFE2" s="1825"/>
      <c r="GFF2" s="1825"/>
      <c r="GFG2" s="1825"/>
      <c r="GFH2" s="1825"/>
      <c r="GFI2" s="1825"/>
      <c r="GFJ2" s="1825"/>
      <c r="GFK2" s="1825"/>
      <c r="GFL2" s="1825"/>
      <c r="GFM2" s="1825"/>
      <c r="GFN2" s="1825"/>
      <c r="GFO2" s="1825"/>
      <c r="GFP2" s="1825"/>
      <c r="GFQ2" s="1825"/>
      <c r="GFR2" s="1825"/>
      <c r="GFS2" s="1825"/>
      <c r="GFT2" s="1825"/>
      <c r="GFU2" s="1825"/>
      <c r="GFV2" s="1825"/>
      <c r="GFW2" s="1825"/>
      <c r="GFX2" s="1825"/>
      <c r="GFY2" s="1825"/>
      <c r="GFZ2" s="1825"/>
      <c r="GGA2" s="1825"/>
      <c r="GGB2" s="1825"/>
      <c r="GGC2" s="1825"/>
      <c r="GGD2" s="1825"/>
      <c r="GGE2" s="1825"/>
      <c r="GGF2" s="1825"/>
      <c r="GGG2" s="1825"/>
      <c r="GGH2" s="1825"/>
      <c r="GGI2" s="1825"/>
      <c r="GGJ2" s="1825"/>
      <c r="GGK2" s="1825"/>
      <c r="GGL2" s="1825"/>
      <c r="GGM2" s="1825"/>
      <c r="GGN2" s="1825"/>
      <c r="GGO2" s="1825"/>
      <c r="GGP2" s="1825"/>
      <c r="GGQ2" s="1825"/>
      <c r="GGR2" s="1825"/>
      <c r="GGS2" s="1825"/>
      <c r="GGT2" s="1825"/>
      <c r="GGU2" s="1825"/>
      <c r="GGV2" s="1825"/>
      <c r="GGW2" s="1825"/>
      <c r="GGX2" s="1825"/>
      <c r="GGY2" s="1825"/>
      <c r="GGZ2" s="1825"/>
      <c r="GHA2" s="1825"/>
      <c r="GHB2" s="1825"/>
      <c r="GHC2" s="1825"/>
      <c r="GHD2" s="1825"/>
      <c r="GHE2" s="1825"/>
      <c r="GHF2" s="1825"/>
      <c r="GHG2" s="1825"/>
      <c r="GHH2" s="1825"/>
      <c r="GHI2" s="1825"/>
      <c r="GHJ2" s="1825"/>
      <c r="GHK2" s="1825"/>
      <c r="GHL2" s="1825"/>
      <c r="GHM2" s="1825"/>
      <c r="GHN2" s="1825"/>
      <c r="GHO2" s="1825"/>
      <c r="GHP2" s="1825"/>
      <c r="GHQ2" s="1825"/>
      <c r="GHR2" s="1825"/>
      <c r="GHS2" s="1825"/>
      <c r="GHT2" s="1825"/>
      <c r="GHU2" s="1825"/>
      <c r="GHV2" s="1825"/>
      <c r="GHW2" s="1825"/>
      <c r="GHX2" s="1825"/>
      <c r="GHY2" s="1825"/>
      <c r="GHZ2" s="1825"/>
      <c r="GIA2" s="1825"/>
      <c r="GIB2" s="1825"/>
      <c r="GIC2" s="1825"/>
      <c r="GID2" s="1825"/>
      <c r="GIE2" s="1825"/>
      <c r="GIF2" s="1825"/>
      <c r="GIG2" s="1825"/>
      <c r="GIH2" s="1825"/>
      <c r="GII2" s="1825"/>
      <c r="GIJ2" s="1825"/>
      <c r="GIK2" s="1825"/>
      <c r="GIL2" s="1825"/>
      <c r="GIM2" s="1825"/>
      <c r="GIN2" s="1825"/>
      <c r="GIO2" s="1825"/>
      <c r="GIP2" s="1825"/>
      <c r="GIQ2" s="1825"/>
      <c r="GIR2" s="1825"/>
      <c r="GIS2" s="1825"/>
      <c r="GIT2" s="1825"/>
      <c r="GIU2" s="1825"/>
      <c r="GIV2" s="1825"/>
      <c r="GIW2" s="1825"/>
      <c r="GIX2" s="1825"/>
      <c r="GIY2" s="1825"/>
      <c r="GIZ2" s="1825"/>
      <c r="GJA2" s="1825"/>
      <c r="GJB2" s="1825"/>
      <c r="GJC2" s="1825"/>
      <c r="GJD2" s="1825"/>
      <c r="GJE2" s="1825"/>
      <c r="GJF2" s="1825"/>
      <c r="GJG2" s="1825"/>
      <c r="GJH2" s="1825"/>
      <c r="GJI2" s="1825"/>
      <c r="GJJ2" s="1825"/>
      <c r="GJK2" s="1825"/>
      <c r="GJL2" s="1825"/>
      <c r="GJM2" s="1825"/>
      <c r="GJN2" s="1825"/>
      <c r="GJO2" s="1825"/>
      <c r="GJP2" s="1825"/>
      <c r="GJQ2" s="1825"/>
      <c r="GJR2" s="1825"/>
      <c r="GJS2" s="1825"/>
      <c r="GJT2" s="1825"/>
      <c r="GJU2" s="1825"/>
      <c r="GJV2" s="1825"/>
      <c r="GJW2" s="1825"/>
      <c r="GJX2" s="1825"/>
      <c r="GJY2" s="1825"/>
      <c r="GJZ2" s="1825"/>
      <c r="GKA2" s="1825"/>
      <c r="GKB2" s="1825"/>
      <c r="GKC2" s="1825"/>
      <c r="GKD2" s="1825"/>
      <c r="GKE2" s="1825"/>
      <c r="GKF2" s="1825"/>
      <c r="GKG2" s="1825"/>
      <c r="GKH2" s="1825"/>
      <c r="GKI2" s="1825"/>
      <c r="GKJ2" s="1825"/>
      <c r="GKK2" s="1825"/>
      <c r="GKL2" s="1825"/>
      <c r="GKM2" s="1825"/>
      <c r="GKN2" s="1825"/>
      <c r="GKO2" s="1825"/>
      <c r="GKP2" s="1825"/>
      <c r="GKQ2" s="1825"/>
      <c r="GKR2" s="1825"/>
      <c r="GKS2" s="1825"/>
      <c r="GKT2" s="1825"/>
      <c r="GKU2" s="1825"/>
      <c r="GKV2" s="1825"/>
      <c r="GKW2" s="1825"/>
      <c r="GKX2" s="1825"/>
      <c r="GKY2" s="1825"/>
      <c r="GKZ2" s="1825"/>
      <c r="GLA2" s="1825"/>
      <c r="GLB2" s="1825"/>
      <c r="GLC2" s="1825"/>
      <c r="GLD2" s="1825"/>
      <c r="GLE2" s="1825"/>
      <c r="GLF2" s="1825"/>
      <c r="GLG2" s="1825"/>
      <c r="GLH2" s="1825"/>
      <c r="GLI2" s="1825"/>
      <c r="GLJ2" s="1825"/>
      <c r="GLK2" s="1825"/>
      <c r="GLL2" s="1825"/>
      <c r="GLM2" s="1825"/>
      <c r="GLN2" s="1825"/>
      <c r="GLO2" s="1825"/>
      <c r="GLP2" s="1825"/>
      <c r="GLQ2" s="1825"/>
      <c r="GLR2" s="1825"/>
      <c r="GLS2" s="1825"/>
      <c r="GLT2" s="1825"/>
      <c r="GLU2" s="1825"/>
      <c r="GLV2" s="1825"/>
      <c r="GLW2" s="1825"/>
      <c r="GLX2" s="1825"/>
      <c r="GLY2" s="1825"/>
      <c r="GLZ2" s="1825"/>
      <c r="GMA2" s="1825"/>
      <c r="GMB2" s="1825"/>
      <c r="GMC2" s="1825"/>
      <c r="GMD2" s="1825"/>
      <c r="GME2" s="1825"/>
      <c r="GMF2" s="1825"/>
      <c r="GMG2" s="1825"/>
      <c r="GMH2" s="1825"/>
      <c r="GMI2" s="1825"/>
      <c r="GMJ2" s="1825"/>
      <c r="GMK2" s="1825"/>
      <c r="GML2" s="1825"/>
      <c r="GMM2" s="1825"/>
      <c r="GMN2" s="1825"/>
      <c r="GMO2" s="1825"/>
      <c r="GMP2" s="1825"/>
      <c r="GMQ2" s="1825"/>
      <c r="GMR2" s="1825"/>
      <c r="GMS2" s="1825"/>
      <c r="GMT2" s="1825"/>
      <c r="GMU2" s="1825"/>
      <c r="GMV2" s="1825"/>
      <c r="GMW2" s="1825"/>
      <c r="GMX2" s="1825"/>
      <c r="GMY2" s="1825"/>
      <c r="GMZ2" s="1825"/>
      <c r="GNA2" s="1825"/>
      <c r="GNB2" s="1825"/>
      <c r="GNC2" s="1825"/>
      <c r="GND2" s="1825"/>
      <c r="GNE2" s="1825"/>
      <c r="GNF2" s="1825"/>
      <c r="GNG2" s="1825"/>
      <c r="GNH2" s="1825"/>
      <c r="GNI2" s="1825"/>
      <c r="GNJ2" s="1825"/>
      <c r="GNK2" s="1825"/>
      <c r="GNL2" s="1825"/>
      <c r="GNM2" s="1825"/>
      <c r="GNN2" s="1825"/>
      <c r="GNO2" s="1825"/>
      <c r="GNP2" s="1825"/>
      <c r="GNQ2" s="1825"/>
      <c r="GNR2" s="1825"/>
      <c r="GNS2" s="1825"/>
      <c r="GNT2" s="1825"/>
      <c r="GNU2" s="1825"/>
      <c r="GNV2" s="1825"/>
      <c r="GNW2" s="1825"/>
      <c r="GNX2" s="1825"/>
      <c r="GNY2" s="1825"/>
      <c r="GNZ2" s="1825"/>
      <c r="GOA2" s="1825"/>
      <c r="GOB2" s="1825"/>
      <c r="GOC2" s="1825"/>
      <c r="GOD2" s="1825"/>
      <c r="GOE2" s="1825"/>
      <c r="GOF2" s="1825"/>
      <c r="GOG2" s="1825"/>
      <c r="GOH2" s="1825"/>
      <c r="GOI2" s="1825"/>
      <c r="GOJ2" s="1825"/>
      <c r="GOK2" s="1825"/>
      <c r="GOL2" s="1825"/>
      <c r="GOM2" s="1825"/>
      <c r="GON2" s="1825"/>
      <c r="GOO2" s="1825"/>
      <c r="GOP2" s="1825"/>
      <c r="GOQ2" s="1825"/>
      <c r="GOR2" s="1825"/>
      <c r="GOS2" s="1825"/>
      <c r="GOT2" s="1825"/>
      <c r="GOU2" s="1825"/>
      <c r="GOV2" s="1825"/>
      <c r="GOW2" s="1825"/>
      <c r="GOX2" s="1825"/>
      <c r="GOY2" s="1825"/>
      <c r="GOZ2" s="1825"/>
      <c r="GPA2" s="1825"/>
      <c r="GPB2" s="1825"/>
      <c r="GPC2" s="1825"/>
      <c r="GPD2" s="1825"/>
      <c r="GPE2" s="1825"/>
      <c r="GPF2" s="1825"/>
      <c r="GPG2" s="1825"/>
      <c r="GPH2" s="1825"/>
      <c r="GPI2" s="1825"/>
      <c r="GPJ2" s="1825"/>
      <c r="GPK2" s="1825"/>
      <c r="GPL2" s="1825"/>
      <c r="GPM2" s="1825"/>
      <c r="GPN2" s="1825"/>
      <c r="GPO2" s="1825"/>
      <c r="GPP2" s="1825"/>
      <c r="GPQ2" s="1825"/>
      <c r="GPR2" s="1825"/>
      <c r="GPS2" s="1825"/>
      <c r="GPT2" s="1825"/>
      <c r="GPU2" s="1825"/>
      <c r="GPV2" s="1825"/>
      <c r="GPW2" s="1825"/>
      <c r="GPX2" s="1825"/>
      <c r="GPY2" s="1825"/>
      <c r="GPZ2" s="1825"/>
      <c r="GQA2" s="1825"/>
      <c r="GQB2" s="1825"/>
      <c r="GQC2" s="1825"/>
      <c r="GQD2" s="1825"/>
      <c r="GQE2" s="1825"/>
      <c r="GQF2" s="1825"/>
      <c r="GQG2" s="1825"/>
      <c r="GQH2" s="1825"/>
      <c r="GQI2" s="1825"/>
      <c r="GQJ2" s="1825"/>
      <c r="GQK2" s="1825"/>
      <c r="GQL2" s="1825"/>
      <c r="GQM2" s="1825"/>
      <c r="GQN2" s="1825"/>
      <c r="GQO2" s="1825"/>
      <c r="GQP2" s="1825"/>
      <c r="GQQ2" s="1825"/>
      <c r="GQR2" s="1825"/>
      <c r="GQS2" s="1825"/>
      <c r="GQT2" s="1825"/>
      <c r="GQU2" s="1825"/>
      <c r="GQV2" s="1825"/>
      <c r="GQW2" s="1825"/>
      <c r="GQX2" s="1825"/>
      <c r="GQY2" s="1825"/>
      <c r="GQZ2" s="1825"/>
      <c r="GRA2" s="1825"/>
      <c r="GRB2" s="1825"/>
      <c r="GRC2" s="1825"/>
      <c r="GRD2" s="1825"/>
      <c r="GRE2" s="1825"/>
      <c r="GRF2" s="1825"/>
      <c r="GRG2" s="1825"/>
      <c r="GRH2" s="1825"/>
      <c r="GRI2" s="1825"/>
      <c r="GRJ2" s="1825"/>
      <c r="GRK2" s="1825"/>
      <c r="GRL2" s="1825"/>
      <c r="GRM2" s="1825"/>
      <c r="GRN2" s="1825"/>
      <c r="GRO2" s="1825"/>
      <c r="GRP2" s="1825"/>
      <c r="GRQ2" s="1825"/>
      <c r="GRR2" s="1825"/>
      <c r="GRS2" s="1825"/>
      <c r="GRT2" s="1825"/>
      <c r="GRU2" s="1825"/>
      <c r="GRV2" s="1825"/>
      <c r="GRW2" s="1825"/>
      <c r="GRX2" s="1825"/>
      <c r="GRY2" s="1825"/>
      <c r="GRZ2" s="1825"/>
      <c r="GSA2" s="1825"/>
      <c r="GSB2" s="1825"/>
      <c r="GSC2" s="1825"/>
      <c r="GSD2" s="1825"/>
      <c r="GSE2" s="1825"/>
      <c r="GSF2" s="1825"/>
      <c r="GSG2" s="1825"/>
      <c r="GSH2" s="1825"/>
      <c r="GSI2" s="1825"/>
      <c r="GSJ2" s="1825"/>
      <c r="GSK2" s="1825"/>
      <c r="GSL2" s="1825"/>
      <c r="GSM2" s="1825"/>
      <c r="GSN2" s="1825"/>
      <c r="GSO2" s="1825"/>
      <c r="GSP2" s="1825"/>
      <c r="GSQ2" s="1825"/>
      <c r="GSR2" s="1825"/>
      <c r="GSS2" s="1825"/>
      <c r="GST2" s="1825"/>
      <c r="GSU2" s="1825"/>
      <c r="GSV2" s="1825"/>
      <c r="GSW2" s="1825"/>
      <c r="GSX2" s="1825"/>
      <c r="GSY2" s="1825"/>
      <c r="GSZ2" s="1825"/>
      <c r="GTA2" s="1825"/>
      <c r="GTB2" s="1825"/>
      <c r="GTC2" s="1825"/>
      <c r="GTD2" s="1825"/>
      <c r="GTE2" s="1825"/>
      <c r="GTF2" s="1825"/>
      <c r="GTG2" s="1825"/>
      <c r="GTH2" s="1825"/>
      <c r="GTI2" s="1825"/>
      <c r="GTJ2" s="1825"/>
      <c r="GTK2" s="1825"/>
      <c r="GTL2" s="1825"/>
      <c r="GTM2" s="1825"/>
      <c r="GTN2" s="1825"/>
      <c r="GTO2" s="1825"/>
      <c r="GTP2" s="1825"/>
      <c r="GTQ2" s="1825"/>
      <c r="GTR2" s="1825"/>
      <c r="GTS2" s="1825"/>
      <c r="GTT2" s="1825"/>
      <c r="GTU2" s="1825"/>
      <c r="GTV2" s="1825"/>
      <c r="GTW2" s="1825"/>
      <c r="GTX2" s="1825"/>
      <c r="GTY2" s="1825"/>
      <c r="GTZ2" s="1825"/>
      <c r="GUA2" s="1825"/>
      <c r="GUB2" s="1825"/>
      <c r="GUC2" s="1825"/>
      <c r="GUD2" s="1825"/>
      <c r="GUE2" s="1825"/>
      <c r="GUF2" s="1825"/>
      <c r="GUG2" s="1825"/>
      <c r="GUH2" s="1825"/>
      <c r="GUI2" s="1825"/>
      <c r="GUJ2" s="1825"/>
      <c r="GUK2" s="1825"/>
      <c r="GUL2" s="1825"/>
      <c r="GUM2" s="1825"/>
      <c r="GUN2" s="1825"/>
      <c r="GUO2" s="1825"/>
      <c r="GUP2" s="1825"/>
      <c r="GUQ2" s="1825"/>
      <c r="GUR2" s="1825"/>
      <c r="GUS2" s="1825"/>
      <c r="GUT2" s="1825"/>
      <c r="GUU2" s="1825"/>
      <c r="GUV2" s="1825"/>
      <c r="GUW2" s="1825"/>
      <c r="GUX2" s="1825"/>
      <c r="GUY2" s="1825"/>
      <c r="GUZ2" s="1825"/>
      <c r="GVA2" s="1825"/>
      <c r="GVB2" s="1825"/>
      <c r="GVC2" s="1825"/>
      <c r="GVD2" s="1825"/>
      <c r="GVE2" s="1825"/>
      <c r="GVF2" s="1825"/>
      <c r="GVG2" s="1825"/>
      <c r="GVH2" s="1825"/>
      <c r="GVI2" s="1825"/>
      <c r="GVJ2" s="1825"/>
      <c r="GVK2" s="1825"/>
      <c r="GVL2" s="1825"/>
      <c r="GVM2" s="1825"/>
      <c r="GVN2" s="1825"/>
      <c r="GVO2" s="1825"/>
      <c r="GVP2" s="1825"/>
      <c r="GVQ2" s="1825"/>
      <c r="GVR2" s="1825"/>
      <c r="GVS2" s="1825"/>
      <c r="GVT2" s="1825"/>
      <c r="GVU2" s="1825"/>
      <c r="GVV2" s="1825"/>
      <c r="GVW2" s="1825"/>
      <c r="GVX2" s="1825"/>
      <c r="GVY2" s="1825"/>
      <c r="GVZ2" s="1825"/>
      <c r="GWA2" s="1825"/>
      <c r="GWB2" s="1825"/>
      <c r="GWC2" s="1825"/>
      <c r="GWD2" s="1825"/>
      <c r="GWE2" s="1825"/>
      <c r="GWF2" s="1825"/>
      <c r="GWG2" s="1825"/>
      <c r="GWH2" s="1825"/>
      <c r="GWI2" s="1825"/>
      <c r="GWJ2" s="1825"/>
      <c r="GWK2" s="1825"/>
      <c r="GWL2" s="1825"/>
      <c r="GWM2" s="1825"/>
      <c r="GWN2" s="1825"/>
      <c r="GWO2" s="1825"/>
      <c r="GWP2" s="1825"/>
      <c r="GWQ2" s="1825"/>
      <c r="GWR2" s="1825"/>
      <c r="GWS2" s="1825"/>
      <c r="GWT2" s="1825"/>
      <c r="GWU2" s="1825"/>
      <c r="GWV2" s="1825"/>
      <c r="GWW2" s="1825"/>
      <c r="GWX2" s="1825"/>
      <c r="GWY2" s="1825"/>
      <c r="GWZ2" s="1825"/>
      <c r="GXA2" s="1825"/>
      <c r="GXB2" s="1825"/>
      <c r="GXC2" s="1825"/>
      <c r="GXD2" s="1825"/>
      <c r="GXE2" s="1825"/>
      <c r="GXF2" s="1825"/>
      <c r="GXG2" s="1825"/>
      <c r="GXH2" s="1825"/>
      <c r="GXI2" s="1825"/>
      <c r="GXJ2" s="1825"/>
      <c r="GXK2" s="1825"/>
      <c r="GXL2" s="1825"/>
      <c r="GXM2" s="1825"/>
      <c r="GXN2" s="1825"/>
      <c r="GXO2" s="1825"/>
      <c r="GXP2" s="1825"/>
      <c r="GXQ2" s="1825"/>
      <c r="GXR2" s="1825"/>
      <c r="GXS2" s="1825"/>
      <c r="GXT2" s="1825"/>
      <c r="GXU2" s="1825"/>
      <c r="GXV2" s="1825"/>
      <c r="GXW2" s="1825"/>
      <c r="GXX2" s="1825"/>
      <c r="GXY2" s="1825"/>
      <c r="GXZ2" s="1825"/>
      <c r="GYA2" s="1825"/>
      <c r="GYB2" s="1825"/>
      <c r="GYC2" s="1825"/>
      <c r="GYD2" s="1825"/>
      <c r="GYE2" s="1825"/>
      <c r="GYF2" s="1825"/>
      <c r="GYG2" s="1825"/>
      <c r="GYH2" s="1825"/>
      <c r="GYI2" s="1825"/>
      <c r="GYJ2" s="1825"/>
      <c r="GYK2" s="1825"/>
      <c r="GYL2" s="1825"/>
      <c r="GYM2" s="1825"/>
      <c r="GYN2" s="1825"/>
      <c r="GYO2" s="1825"/>
      <c r="GYP2" s="1825"/>
      <c r="GYQ2" s="1825"/>
      <c r="GYR2" s="1825"/>
      <c r="GYS2" s="1825"/>
      <c r="GYT2" s="1825"/>
      <c r="GYU2" s="1825"/>
      <c r="GYV2" s="1825"/>
      <c r="GYW2" s="1825"/>
      <c r="GYX2" s="1825"/>
      <c r="GYY2" s="1825"/>
      <c r="GYZ2" s="1825"/>
      <c r="GZA2" s="1825"/>
      <c r="GZB2" s="1825"/>
      <c r="GZC2" s="1825"/>
      <c r="GZD2" s="1825"/>
      <c r="GZE2" s="1825"/>
      <c r="GZF2" s="1825"/>
      <c r="GZG2" s="1825"/>
      <c r="GZH2" s="1825"/>
      <c r="GZI2" s="1825"/>
      <c r="GZJ2" s="1825"/>
      <c r="GZK2" s="1825"/>
      <c r="GZL2" s="1825"/>
      <c r="GZM2" s="1825"/>
      <c r="GZN2" s="1825"/>
      <c r="GZO2" s="1825"/>
      <c r="GZP2" s="1825"/>
      <c r="GZQ2" s="1825"/>
      <c r="GZR2" s="1825"/>
      <c r="GZS2" s="1825"/>
      <c r="GZT2" s="1825"/>
      <c r="GZU2" s="1825"/>
      <c r="GZV2" s="1825"/>
      <c r="GZW2" s="1825"/>
      <c r="GZX2" s="1825"/>
      <c r="GZY2" s="1825"/>
      <c r="GZZ2" s="1825"/>
      <c r="HAA2" s="1825"/>
      <c r="HAB2" s="1825"/>
      <c r="HAC2" s="1825"/>
      <c r="HAD2" s="1825"/>
      <c r="HAE2" s="1825"/>
      <c r="HAF2" s="1825"/>
      <c r="HAG2" s="1825"/>
      <c r="HAH2" s="1825"/>
      <c r="HAI2" s="1825"/>
      <c r="HAJ2" s="1825"/>
      <c r="HAK2" s="1825"/>
      <c r="HAL2" s="1825"/>
      <c r="HAM2" s="1825"/>
      <c r="HAN2" s="1825"/>
      <c r="HAO2" s="1825"/>
      <c r="HAP2" s="1825"/>
      <c r="HAQ2" s="1825"/>
      <c r="HAR2" s="1825"/>
      <c r="HAS2" s="1825"/>
      <c r="HAT2" s="1825"/>
      <c r="HAU2" s="1825"/>
      <c r="HAV2" s="1825"/>
      <c r="HAW2" s="1825"/>
      <c r="HAX2" s="1825"/>
      <c r="HAY2" s="1825"/>
      <c r="HAZ2" s="1825"/>
      <c r="HBA2" s="1825"/>
      <c r="HBB2" s="1825"/>
      <c r="HBC2" s="1825"/>
      <c r="HBD2" s="1825"/>
      <c r="HBE2" s="1825"/>
      <c r="HBF2" s="1825"/>
      <c r="HBG2" s="1825"/>
      <c r="HBH2" s="1825"/>
      <c r="HBI2" s="1825"/>
      <c r="HBJ2" s="1825"/>
      <c r="HBK2" s="1825"/>
      <c r="HBL2" s="1825"/>
      <c r="HBM2" s="1825"/>
      <c r="HBN2" s="1825"/>
      <c r="HBO2" s="1825"/>
      <c r="HBP2" s="1825"/>
      <c r="HBQ2" s="1825"/>
      <c r="HBR2" s="1825"/>
      <c r="HBS2" s="1825"/>
      <c r="HBT2" s="1825"/>
      <c r="HBU2" s="1825"/>
      <c r="HBV2" s="1825"/>
      <c r="HBW2" s="1825"/>
      <c r="HBX2" s="1825"/>
      <c r="HBY2" s="1825"/>
      <c r="HBZ2" s="1825"/>
      <c r="HCA2" s="1825"/>
      <c r="HCB2" s="1825"/>
      <c r="HCC2" s="1825"/>
      <c r="HCD2" s="1825"/>
      <c r="HCE2" s="1825"/>
      <c r="HCF2" s="1825"/>
      <c r="HCG2" s="1825"/>
      <c r="HCH2" s="1825"/>
      <c r="HCI2" s="1825"/>
      <c r="HCJ2" s="1825"/>
      <c r="HCK2" s="1825"/>
      <c r="HCL2" s="1825"/>
      <c r="HCM2" s="1825"/>
      <c r="HCN2" s="1825"/>
      <c r="HCO2" s="1825"/>
      <c r="HCP2" s="1825"/>
      <c r="HCQ2" s="1825"/>
      <c r="HCR2" s="1825"/>
      <c r="HCS2" s="1825"/>
      <c r="HCT2" s="1825"/>
      <c r="HCU2" s="1825"/>
      <c r="HCV2" s="1825"/>
      <c r="HCW2" s="1825"/>
      <c r="HCX2" s="1825"/>
      <c r="HCY2" s="1825"/>
      <c r="HCZ2" s="1825"/>
      <c r="HDA2" s="1825"/>
      <c r="HDB2" s="1825"/>
      <c r="HDC2" s="1825"/>
      <c r="HDD2" s="1825"/>
      <c r="HDE2" s="1825"/>
      <c r="HDF2" s="1825"/>
      <c r="HDG2" s="1825"/>
      <c r="HDH2" s="1825"/>
      <c r="HDI2" s="1825"/>
      <c r="HDJ2" s="1825"/>
      <c r="HDK2" s="1825"/>
      <c r="HDL2" s="1825"/>
      <c r="HDM2" s="1825"/>
      <c r="HDN2" s="1825"/>
      <c r="HDO2" s="1825"/>
      <c r="HDP2" s="1825"/>
      <c r="HDQ2" s="1825"/>
      <c r="HDR2" s="1825"/>
      <c r="HDS2" s="1825"/>
      <c r="HDT2" s="1825"/>
      <c r="HDU2" s="1825"/>
      <c r="HDV2" s="1825"/>
      <c r="HDW2" s="1825"/>
      <c r="HDX2" s="1825"/>
      <c r="HDY2" s="1825"/>
      <c r="HDZ2" s="1825"/>
      <c r="HEA2" s="1825"/>
      <c r="HEB2" s="1825"/>
      <c r="HEC2" s="1825"/>
      <c r="HED2" s="1825"/>
      <c r="HEE2" s="1825"/>
      <c r="HEF2" s="1825"/>
      <c r="HEG2" s="1825"/>
      <c r="HEH2" s="1825"/>
      <c r="HEI2" s="1825"/>
      <c r="HEJ2" s="1825"/>
      <c r="HEK2" s="1825"/>
      <c r="HEL2" s="1825"/>
      <c r="HEM2" s="1825"/>
      <c r="HEN2" s="1825"/>
      <c r="HEO2" s="1825"/>
      <c r="HEP2" s="1825"/>
      <c r="HEQ2" s="1825"/>
      <c r="HER2" s="1825"/>
      <c r="HES2" s="1825"/>
      <c r="HET2" s="1825"/>
      <c r="HEU2" s="1825"/>
      <c r="HEV2" s="1825"/>
      <c r="HEW2" s="1825"/>
      <c r="HEX2" s="1825"/>
      <c r="HEY2" s="1825"/>
      <c r="HEZ2" s="1825"/>
      <c r="HFA2" s="1825"/>
      <c r="HFB2" s="1825"/>
      <c r="HFC2" s="1825"/>
      <c r="HFD2" s="1825"/>
      <c r="HFE2" s="1825"/>
      <c r="HFF2" s="1825"/>
      <c r="HFG2" s="1825"/>
      <c r="HFH2" s="1825"/>
      <c r="HFI2" s="1825"/>
      <c r="HFJ2" s="1825"/>
      <c r="HFK2" s="1825"/>
      <c r="HFL2" s="1825"/>
      <c r="HFM2" s="1825"/>
      <c r="HFN2" s="1825"/>
      <c r="HFO2" s="1825"/>
      <c r="HFP2" s="1825"/>
      <c r="HFQ2" s="1825"/>
      <c r="HFR2" s="1825"/>
      <c r="HFS2" s="1825"/>
      <c r="HFT2" s="1825"/>
      <c r="HFU2" s="1825"/>
      <c r="HFV2" s="1825"/>
      <c r="HFW2" s="1825"/>
      <c r="HFX2" s="1825"/>
      <c r="HFY2" s="1825"/>
      <c r="HFZ2" s="1825"/>
      <c r="HGA2" s="1825"/>
      <c r="HGB2" s="1825"/>
      <c r="HGC2" s="1825"/>
      <c r="HGD2" s="1825"/>
      <c r="HGE2" s="1825"/>
      <c r="HGF2" s="1825"/>
      <c r="HGG2" s="1825"/>
      <c r="HGH2" s="1825"/>
      <c r="HGI2" s="1825"/>
      <c r="HGJ2" s="1825"/>
      <c r="HGK2" s="1825"/>
      <c r="HGL2" s="1825"/>
      <c r="HGM2" s="1825"/>
      <c r="HGN2" s="1825"/>
      <c r="HGO2" s="1825"/>
      <c r="HGP2" s="1825"/>
      <c r="HGQ2" s="1825"/>
      <c r="HGR2" s="1825"/>
      <c r="HGS2" s="1825"/>
      <c r="HGT2" s="1825"/>
      <c r="HGU2" s="1825"/>
      <c r="HGV2" s="1825"/>
      <c r="HGW2" s="1825"/>
      <c r="HGX2" s="1825"/>
      <c r="HGY2" s="1825"/>
      <c r="HGZ2" s="1825"/>
      <c r="HHA2" s="1825"/>
      <c r="HHB2" s="1825"/>
      <c r="HHC2" s="1825"/>
      <c r="HHD2" s="1825"/>
      <c r="HHE2" s="1825"/>
      <c r="HHF2" s="1825"/>
      <c r="HHG2" s="1825"/>
      <c r="HHH2" s="1825"/>
      <c r="HHI2" s="1825"/>
      <c r="HHJ2" s="1825"/>
      <c r="HHK2" s="1825"/>
      <c r="HHL2" s="1825"/>
      <c r="HHM2" s="1825"/>
      <c r="HHN2" s="1825"/>
      <c r="HHO2" s="1825"/>
      <c r="HHP2" s="1825"/>
      <c r="HHQ2" s="1825"/>
      <c r="HHR2" s="1825"/>
      <c r="HHS2" s="1825"/>
      <c r="HHT2" s="1825"/>
      <c r="HHU2" s="1825"/>
      <c r="HHV2" s="1825"/>
      <c r="HHW2" s="1825"/>
      <c r="HHX2" s="1825"/>
      <c r="HHY2" s="1825"/>
      <c r="HHZ2" s="1825"/>
      <c r="HIA2" s="1825"/>
      <c r="HIB2" s="1825"/>
      <c r="HIC2" s="1825"/>
      <c r="HID2" s="1825"/>
      <c r="HIE2" s="1825"/>
      <c r="HIF2" s="1825"/>
      <c r="HIG2" s="1825"/>
      <c r="HIH2" s="1825"/>
      <c r="HII2" s="1825"/>
      <c r="HIJ2" s="1825"/>
      <c r="HIK2" s="1825"/>
      <c r="HIL2" s="1825"/>
      <c r="HIM2" s="1825"/>
      <c r="HIN2" s="1825"/>
      <c r="HIO2" s="1825"/>
      <c r="HIP2" s="1825"/>
      <c r="HIQ2" s="1825"/>
      <c r="HIR2" s="1825"/>
      <c r="HIS2" s="1825"/>
      <c r="HIT2" s="1825"/>
      <c r="HIU2" s="1825"/>
      <c r="HIV2" s="1825"/>
      <c r="HIW2" s="1825"/>
      <c r="HIX2" s="1825"/>
      <c r="HIY2" s="1825"/>
      <c r="HIZ2" s="1825"/>
      <c r="HJA2" s="1825"/>
      <c r="HJB2" s="1825"/>
      <c r="HJC2" s="1825"/>
      <c r="HJD2" s="1825"/>
      <c r="HJE2" s="1825"/>
      <c r="HJF2" s="1825"/>
      <c r="HJG2" s="1825"/>
      <c r="HJH2" s="1825"/>
      <c r="HJI2" s="1825"/>
      <c r="HJJ2" s="1825"/>
      <c r="HJK2" s="1825"/>
      <c r="HJL2" s="1825"/>
      <c r="HJM2" s="1825"/>
      <c r="HJN2" s="1825"/>
      <c r="HJO2" s="1825"/>
      <c r="HJP2" s="1825"/>
      <c r="HJQ2" s="1825"/>
      <c r="HJR2" s="1825"/>
      <c r="HJS2" s="1825"/>
      <c r="HJT2" s="1825"/>
      <c r="HJU2" s="1825"/>
      <c r="HJV2" s="1825"/>
      <c r="HJW2" s="1825"/>
      <c r="HJX2" s="1825"/>
      <c r="HJY2" s="1825"/>
      <c r="HJZ2" s="1825"/>
      <c r="HKA2" s="1825"/>
      <c r="HKB2" s="1825"/>
      <c r="HKC2" s="1825"/>
      <c r="HKD2" s="1825"/>
      <c r="HKE2" s="1825"/>
      <c r="HKF2" s="1825"/>
      <c r="HKG2" s="1825"/>
      <c r="HKH2" s="1825"/>
      <c r="HKI2" s="1825"/>
      <c r="HKJ2" s="1825"/>
      <c r="HKK2" s="1825"/>
      <c r="HKL2" s="1825"/>
      <c r="HKM2" s="1825"/>
      <c r="HKN2" s="1825"/>
      <c r="HKO2" s="1825"/>
      <c r="HKP2" s="1825"/>
      <c r="HKQ2" s="1825"/>
      <c r="HKR2" s="1825"/>
      <c r="HKS2" s="1825"/>
      <c r="HKT2" s="1825"/>
      <c r="HKU2" s="1825"/>
      <c r="HKV2" s="1825"/>
      <c r="HKW2" s="1825"/>
      <c r="HKX2" s="1825"/>
      <c r="HKY2" s="1825"/>
      <c r="HKZ2" s="1825"/>
      <c r="HLA2" s="1825"/>
      <c r="HLB2" s="1825"/>
      <c r="HLC2" s="1825"/>
      <c r="HLD2" s="1825"/>
      <c r="HLE2" s="1825"/>
      <c r="HLF2" s="1825"/>
      <c r="HLG2" s="1825"/>
      <c r="HLH2" s="1825"/>
      <c r="HLI2" s="1825"/>
      <c r="HLJ2" s="1825"/>
      <c r="HLK2" s="1825"/>
      <c r="HLL2" s="1825"/>
      <c r="HLM2" s="1825"/>
      <c r="HLN2" s="1825"/>
      <c r="HLO2" s="1825"/>
      <c r="HLP2" s="1825"/>
      <c r="HLQ2" s="1825"/>
      <c r="HLR2" s="1825"/>
      <c r="HLS2" s="1825"/>
      <c r="HLT2" s="1825"/>
      <c r="HLU2" s="1825"/>
      <c r="HLV2" s="1825"/>
      <c r="HLW2" s="1825"/>
      <c r="HLX2" s="1825"/>
      <c r="HLY2" s="1825"/>
      <c r="HLZ2" s="1825"/>
      <c r="HMA2" s="1825"/>
      <c r="HMB2" s="1825"/>
      <c r="HMC2" s="1825"/>
      <c r="HMD2" s="1825"/>
      <c r="HME2" s="1825"/>
      <c r="HMF2" s="1825"/>
      <c r="HMG2" s="1825"/>
      <c r="HMH2" s="1825"/>
      <c r="HMI2" s="1825"/>
      <c r="HMJ2" s="1825"/>
      <c r="HMK2" s="1825"/>
      <c r="HML2" s="1825"/>
      <c r="HMM2" s="1825"/>
      <c r="HMN2" s="1825"/>
      <c r="HMO2" s="1825"/>
      <c r="HMP2" s="1825"/>
      <c r="HMQ2" s="1825"/>
      <c r="HMR2" s="1825"/>
      <c r="HMS2" s="1825"/>
      <c r="HMT2" s="1825"/>
      <c r="HMU2" s="1825"/>
      <c r="HMV2" s="1825"/>
      <c r="HMW2" s="1825"/>
      <c r="HMX2" s="1825"/>
      <c r="HMY2" s="1825"/>
      <c r="HMZ2" s="1825"/>
      <c r="HNA2" s="1825"/>
      <c r="HNB2" s="1825"/>
      <c r="HNC2" s="1825"/>
      <c r="HND2" s="1825"/>
      <c r="HNE2" s="1825"/>
      <c r="HNF2" s="1825"/>
      <c r="HNG2" s="1825"/>
      <c r="HNH2" s="1825"/>
      <c r="HNI2" s="1825"/>
      <c r="HNJ2" s="1825"/>
      <c r="HNK2" s="1825"/>
      <c r="HNL2" s="1825"/>
      <c r="HNM2" s="1825"/>
      <c r="HNN2" s="1825"/>
      <c r="HNO2" s="1825"/>
      <c r="HNP2" s="1825"/>
      <c r="HNQ2" s="1825"/>
      <c r="HNR2" s="1825"/>
      <c r="HNS2" s="1825"/>
      <c r="HNT2" s="1825"/>
      <c r="HNU2" s="1825"/>
      <c r="HNV2" s="1825"/>
      <c r="HNW2" s="1825"/>
      <c r="HNX2" s="1825"/>
      <c r="HNY2" s="1825"/>
      <c r="HNZ2" s="1825"/>
      <c r="HOA2" s="1825"/>
      <c r="HOB2" s="1825"/>
      <c r="HOC2" s="1825"/>
      <c r="HOD2" s="1825"/>
      <c r="HOE2" s="1825"/>
      <c r="HOF2" s="1825"/>
      <c r="HOG2" s="1825"/>
      <c r="HOH2" s="1825"/>
      <c r="HOI2" s="1825"/>
      <c r="HOJ2" s="1825"/>
      <c r="HOK2" s="1825"/>
      <c r="HOL2" s="1825"/>
      <c r="HOM2" s="1825"/>
      <c r="HON2" s="1825"/>
      <c r="HOO2" s="1825"/>
      <c r="HOP2" s="1825"/>
      <c r="HOQ2" s="1825"/>
      <c r="HOR2" s="1825"/>
      <c r="HOS2" s="1825"/>
      <c r="HOT2" s="1825"/>
      <c r="HOU2" s="1825"/>
      <c r="HOV2" s="1825"/>
      <c r="HOW2" s="1825"/>
      <c r="HOX2" s="1825"/>
      <c r="HOY2" s="1825"/>
      <c r="HOZ2" s="1825"/>
      <c r="HPA2" s="1825"/>
      <c r="HPB2" s="1825"/>
      <c r="HPC2" s="1825"/>
      <c r="HPD2" s="1825"/>
      <c r="HPE2" s="1825"/>
      <c r="HPF2" s="1825"/>
      <c r="HPG2" s="1825"/>
      <c r="HPH2" s="1825"/>
      <c r="HPI2" s="1825"/>
      <c r="HPJ2" s="1825"/>
      <c r="HPK2" s="1825"/>
      <c r="HPL2" s="1825"/>
      <c r="HPM2" s="1825"/>
      <c r="HPN2" s="1825"/>
      <c r="HPO2" s="1825"/>
      <c r="HPP2" s="1825"/>
      <c r="HPQ2" s="1825"/>
      <c r="HPR2" s="1825"/>
      <c r="HPS2" s="1825"/>
      <c r="HPT2" s="1825"/>
      <c r="HPU2" s="1825"/>
      <c r="HPV2" s="1825"/>
      <c r="HPW2" s="1825"/>
      <c r="HPX2" s="1825"/>
      <c r="HPY2" s="1825"/>
      <c r="HPZ2" s="1825"/>
      <c r="HQA2" s="1825"/>
      <c r="HQB2" s="1825"/>
      <c r="HQC2" s="1825"/>
      <c r="HQD2" s="1825"/>
      <c r="HQE2" s="1825"/>
      <c r="HQF2" s="1825"/>
      <c r="HQG2" s="1825"/>
      <c r="HQH2" s="1825"/>
      <c r="HQI2" s="1825"/>
      <c r="HQJ2" s="1825"/>
      <c r="HQK2" s="1825"/>
      <c r="HQL2" s="1825"/>
      <c r="HQM2" s="1825"/>
      <c r="HQN2" s="1825"/>
      <c r="HQO2" s="1825"/>
      <c r="HQP2" s="1825"/>
      <c r="HQQ2" s="1825"/>
      <c r="HQR2" s="1825"/>
      <c r="HQS2" s="1825"/>
      <c r="HQT2" s="1825"/>
      <c r="HQU2" s="1825"/>
      <c r="HQV2" s="1825"/>
      <c r="HQW2" s="1825"/>
      <c r="HQX2" s="1825"/>
      <c r="HQY2" s="1825"/>
      <c r="HQZ2" s="1825"/>
      <c r="HRA2" s="1825"/>
      <c r="HRB2" s="1825"/>
      <c r="HRC2" s="1825"/>
      <c r="HRD2" s="1825"/>
      <c r="HRE2" s="1825"/>
      <c r="HRF2" s="1825"/>
      <c r="HRG2" s="1825"/>
      <c r="HRH2" s="1825"/>
      <c r="HRI2" s="1825"/>
      <c r="HRJ2" s="1825"/>
      <c r="HRK2" s="1825"/>
      <c r="HRL2" s="1825"/>
      <c r="HRM2" s="1825"/>
      <c r="HRN2" s="1825"/>
      <c r="HRO2" s="1825"/>
      <c r="HRP2" s="1825"/>
      <c r="HRQ2" s="1825"/>
      <c r="HRR2" s="1825"/>
      <c r="HRS2" s="1825"/>
      <c r="HRT2" s="1825"/>
      <c r="HRU2" s="1825"/>
      <c r="HRV2" s="1825"/>
      <c r="HRW2" s="1825"/>
      <c r="HRX2" s="1825"/>
      <c r="HRY2" s="1825"/>
      <c r="HRZ2" s="1825"/>
      <c r="HSA2" s="1825"/>
      <c r="HSB2" s="1825"/>
      <c r="HSC2" s="1825"/>
      <c r="HSD2" s="1825"/>
      <c r="HSE2" s="1825"/>
      <c r="HSF2" s="1825"/>
      <c r="HSG2" s="1825"/>
      <c r="HSH2" s="1825"/>
      <c r="HSI2" s="1825"/>
      <c r="HSJ2" s="1825"/>
      <c r="HSK2" s="1825"/>
      <c r="HSL2" s="1825"/>
      <c r="HSM2" s="1825"/>
      <c r="HSN2" s="1825"/>
      <c r="HSO2" s="1825"/>
      <c r="HSP2" s="1825"/>
      <c r="HSQ2" s="1825"/>
      <c r="HSR2" s="1825"/>
      <c r="HSS2" s="1825"/>
      <c r="HST2" s="1825"/>
      <c r="HSU2" s="1825"/>
      <c r="HSV2" s="1825"/>
      <c r="HSW2" s="1825"/>
      <c r="HSX2" s="1825"/>
      <c r="HSY2" s="1825"/>
      <c r="HSZ2" s="1825"/>
      <c r="HTA2" s="1825"/>
      <c r="HTB2" s="1825"/>
      <c r="HTC2" s="1825"/>
      <c r="HTD2" s="1825"/>
      <c r="HTE2" s="1825"/>
      <c r="HTF2" s="1825"/>
      <c r="HTG2" s="1825"/>
      <c r="HTH2" s="1825"/>
      <c r="HTI2" s="1825"/>
      <c r="HTJ2" s="1825"/>
      <c r="HTK2" s="1825"/>
      <c r="HTL2" s="1825"/>
      <c r="HTM2" s="1825"/>
      <c r="HTN2" s="1825"/>
      <c r="HTO2" s="1825"/>
      <c r="HTP2" s="1825"/>
      <c r="HTQ2" s="1825"/>
      <c r="HTR2" s="1825"/>
      <c r="HTS2" s="1825"/>
      <c r="HTT2" s="1825"/>
      <c r="HTU2" s="1825"/>
      <c r="HTV2" s="1825"/>
      <c r="HTW2" s="1825"/>
      <c r="HTX2" s="1825"/>
      <c r="HTY2" s="1825"/>
      <c r="HTZ2" s="1825"/>
      <c r="HUA2" s="1825"/>
      <c r="HUB2" s="1825"/>
      <c r="HUC2" s="1825"/>
      <c r="HUD2" s="1825"/>
      <c r="HUE2" s="1825"/>
      <c r="HUF2" s="1825"/>
      <c r="HUG2" s="1825"/>
      <c r="HUH2" s="1825"/>
      <c r="HUI2" s="1825"/>
      <c r="HUJ2" s="1825"/>
      <c r="HUK2" s="1825"/>
      <c r="HUL2" s="1825"/>
      <c r="HUM2" s="1825"/>
      <c r="HUN2" s="1825"/>
      <c r="HUO2" s="1825"/>
      <c r="HUP2" s="1825"/>
      <c r="HUQ2" s="1825"/>
      <c r="HUR2" s="1825"/>
      <c r="HUS2" s="1825"/>
      <c r="HUT2" s="1825"/>
      <c r="HUU2" s="1825"/>
      <c r="HUV2" s="1825"/>
      <c r="HUW2" s="1825"/>
      <c r="HUX2" s="1825"/>
      <c r="HUY2" s="1825"/>
      <c r="HUZ2" s="1825"/>
      <c r="HVA2" s="1825"/>
      <c r="HVB2" s="1825"/>
      <c r="HVC2" s="1825"/>
      <c r="HVD2" s="1825"/>
      <c r="HVE2" s="1825"/>
      <c r="HVF2" s="1825"/>
      <c r="HVG2" s="1825"/>
      <c r="HVH2" s="1825"/>
      <c r="HVI2" s="1825"/>
      <c r="HVJ2" s="1825"/>
      <c r="HVK2" s="1825"/>
      <c r="HVL2" s="1825"/>
      <c r="HVM2" s="1825"/>
      <c r="HVN2" s="1825"/>
      <c r="HVO2" s="1825"/>
      <c r="HVP2" s="1825"/>
      <c r="HVQ2" s="1825"/>
      <c r="HVR2" s="1825"/>
      <c r="HVS2" s="1825"/>
      <c r="HVT2" s="1825"/>
      <c r="HVU2" s="1825"/>
      <c r="HVV2" s="1825"/>
      <c r="HVW2" s="1825"/>
      <c r="HVX2" s="1825"/>
      <c r="HVY2" s="1825"/>
      <c r="HVZ2" s="1825"/>
      <c r="HWA2" s="1825"/>
      <c r="HWB2" s="1825"/>
      <c r="HWC2" s="1825"/>
      <c r="HWD2" s="1825"/>
      <c r="HWE2" s="1825"/>
      <c r="HWF2" s="1825"/>
      <c r="HWG2" s="1825"/>
      <c r="HWH2" s="1825"/>
      <c r="HWI2" s="1825"/>
      <c r="HWJ2" s="1825"/>
      <c r="HWK2" s="1825"/>
      <c r="HWL2" s="1825"/>
      <c r="HWM2" s="1825"/>
      <c r="HWN2" s="1825"/>
      <c r="HWO2" s="1825"/>
      <c r="HWP2" s="1825"/>
      <c r="HWQ2" s="1825"/>
      <c r="HWR2" s="1825"/>
      <c r="HWS2" s="1825"/>
      <c r="HWT2" s="1825"/>
      <c r="HWU2" s="1825"/>
      <c r="HWV2" s="1825"/>
      <c r="HWW2" s="1825"/>
      <c r="HWX2" s="1825"/>
      <c r="HWY2" s="1825"/>
      <c r="HWZ2" s="1825"/>
      <c r="HXA2" s="1825"/>
      <c r="HXB2" s="1825"/>
      <c r="HXC2" s="1825"/>
      <c r="HXD2" s="1825"/>
      <c r="HXE2" s="1825"/>
      <c r="HXF2" s="1825"/>
      <c r="HXG2" s="1825"/>
      <c r="HXH2" s="1825"/>
      <c r="HXI2" s="1825"/>
      <c r="HXJ2" s="1825"/>
      <c r="HXK2" s="1825"/>
      <c r="HXL2" s="1825"/>
      <c r="HXM2" s="1825"/>
      <c r="HXN2" s="1825"/>
      <c r="HXO2" s="1825"/>
      <c r="HXP2" s="1825"/>
      <c r="HXQ2" s="1825"/>
      <c r="HXR2" s="1825"/>
      <c r="HXS2" s="1825"/>
      <c r="HXT2" s="1825"/>
      <c r="HXU2" s="1825"/>
      <c r="HXV2" s="1825"/>
      <c r="HXW2" s="1825"/>
      <c r="HXX2" s="1825"/>
      <c r="HXY2" s="1825"/>
      <c r="HXZ2" s="1825"/>
      <c r="HYA2" s="1825"/>
      <c r="HYB2" s="1825"/>
      <c r="HYC2" s="1825"/>
      <c r="HYD2" s="1825"/>
      <c r="HYE2" s="1825"/>
      <c r="HYF2" s="1825"/>
      <c r="HYG2" s="1825"/>
      <c r="HYH2" s="1825"/>
      <c r="HYI2" s="1825"/>
      <c r="HYJ2" s="1825"/>
      <c r="HYK2" s="1825"/>
      <c r="HYL2" s="1825"/>
      <c r="HYM2" s="1825"/>
      <c r="HYN2" s="1825"/>
      <c r="HYO2" s="1825"/>
      <c r="HYP2" s="1825"/>
      <c r="HYQ2" s="1825"/>
      <c r="HYR2" s="1825"/>
      <c r="HYS2" s="1825"/>
      <c r="HYT2" s="1825"/>
      <c r="HYU2" s="1825"/>
      <c r="HYV2" s="1825"/>
      <c r="HYW2" s="1825"/>
      <c r="HYX2" s="1825"/>
      <c r="HYY2" s="1825"/>
      <c r="HYZ2" s="1825"/>
      <c r="HZA2" s="1825"/>
      <c r="HZB2" s="1825"/>
      <c r="HZC2" s="1825"/>
      <c r="HZD2" s="1825"/>
      <c r="HZE2" s="1825"/>
      <c r="HZF2" s="1825"/>
      <c r="HZG2" s="1825"/>
      <c r="HZH2" s="1825"/>
      <c r="HZI2" s="1825"/>
      <c r="HZJ2" s="1825"/>
      <c r="HZK2" s="1825"/>
      <c r="HZL2" s="1825"/>
      <c r="HZM2" s="1825"/>
      <c r="HZN2" s="1825"/>
      <c r="HZO2" s="1825"/>
      <c r="HZP2" s="1825"/>
      <c r="HZQ2" s="1825"/>
      <c r="HZR2" s="1825"/>
      <c r="HZS2" s="1825"/>
      <c r="HZT2" s="1825"/>
      <c r="HZU2" s="1825"/>
      <c r="HZV2" s="1825"/>
      <c r="HZW2" s="1825"/>
      <c r="HZX2" s="1825"/>
      <c r="HZY2" s="1825"/>
      <c r="HZZ2" s="1825"/>
      <c r="IAA2" s="1825"/>
      <c r="IAB2" s="1825"/>
      <c r="IAC2" s="1825"/>
      <c r="IAD2" s="1825"/>
      <c r="IAE2" s="1825"/>
      <c r="IAF2" s="1825"/>
      <c r="IAG2" s="1825"/>
      <c r="IAH2" s="1825"/>
      <c r="IAI2" s="1825"/>
      <c r="IAJ2" s="1825"/>
      <c r="IAK2" s="1825"/>
      <c r="IAL2" s="1825"/>
      <c r="IAM2" s="1825"/>
      <c r="IAN2" s="1825"/>
      <c r="IAO2" s="1825"/>
      <c r="IAP2" s="1825"/>
      <c r="IAQ2" s="1825"/>
      <c r="IAR2" s="1825"/>
      <c r="IAS2" s="1825"/>
      <c r="IAT2" s="1825"/>
      <c r="IAU2" s="1825"/>
      <c r="IAV2" s="1825"/>
      <c r="IAW2" s="1825"/>
      <c r="IAX2" s="1825"/>
      <c r="IAY2" s="1825"/>
      <c r="IAZ2" s="1825"/>
      <c r="IBA2" s="1825"/>
      <c r="IBB2" s="1825"/>
      <c r="IBC2" s="1825"/>
      <c r="IBD2" s="1825"/>
      <c r="IBE2" s="1825"/>
      <c r="IBF2" s="1825"/>
      <c r="IBG2" s="1825"/>
      <c r="IBH2" s="1825"/>
      <c r="IBI2" s="1825"/>
      <c r="IBJ2" s="1825"/>
      <c r="IBK2" s="1825"/>
      <c r="IBL2" s="1825"/>
      <c r="IBM2" s="1825"/>
      <c r="IBN2" s="1825"/>
      <c r="IBO2" s="1825"/>
      <c r="IBP2" s="1825"/>
      <c r="IBQ2" s="1825"/>
      <c r="IBR2" s="1825"/>
      <c r="IBS2" s="1825"/>
      <c r="IBT2" s="1825"/>
      <c r="IBU2" s="1825"/>
      <c r="IBV2" s="1825"/>
      <c r="IBW2" s="1825"/>
      <c r="IBX2" s="1825"/>
      <c r="IBY2" s="1825"/>
      <c r="IBZ2" s="1825"/>
      <c r="ICA2" s="1825"/>
      <c r="ICB2" s="1825"/>
      <c r="ICC2" s="1825"/>
      <c r="ICD2" s="1825"/>
      <c r="ICE2" s="1825"/>
      <c r="ICF2" s="1825"/>
      <c r="ICG2" s="1825"/>
      <c r="ICH2" s="1825"/>
      <c r="ICI2" s="1825"/>
      <c r="ICJ2" s="1825"/>
      <c r="ICK2" s="1825"/>
      <c r="ICL2" s="1825"/>
      <c r="ICM2" s="1825"/>
      <c r="ICN2" s="1825"/>
      <c r="ICO2" s="1825"/>
      <c r="ICP2" s="1825"/>
      <c r="ICQ2" s="1825"/>
      <c r="ICR2" s="1825"/>
      <c r="ICS2" s="1825"/>
      <c r="ICT2" s="1825"/>
      <c r="ICU2" s="1825"/>
      <c r="ICV2" s="1825"/>
      <c r="ICW2" s="1825"/>
      <c r="ICX2" s="1825"/>
      <c r="ICY2" s="1825"/>
      <c r="ICZ2" s="1825"/>
      <c r="IDA2" s="1825"/>
      <c r="IDB2" s="1825"/>
      <c r="IDC2" s="1825"/>
      <c r="IDD2" s="1825"/>
      <c r="IDE2" s="1825"/>
      <c r="IDF2" s="1825"/>
      <c r="IDG2" s="1825"/>
      <c r="IDH2" s="1825"/>
      <c r="IDI2" s="1825"/>
      <c r="IDJ2" s="1825"/>
      <c r="IDK2" s="1825"/>
      <c r="IDL2" s="1825"/>
      <c r="IDM2" s="1825"/>
      <c r="IDN2" s="1825"/>
      <c r="IDO2" s="1825"/>
      <c r="IDP2" s="1825"/>
      <c r="IDQ2" s="1825"/>
      <c r="IDR2" s="1825"/>
      <c r="IDS2" s="1825"/>
      <c r="IDT2" s="1825"/>
      <c r="IDU2" s="1825"/>
      <c r="IDV2" s="1825"/>
      <c r="IDW2" s="1825"/>
      <c r="IDX2" s="1825"/>
      <c r="IDY2" s="1825"/>
      <c r="IDZ2" s="1825"/>
      <c r="IEA2" s="1825"/>
      <c r="IEB2" s="1825"/>
      <c r="IEC2" s="1825"/>
      <c r="IED2" s="1825"/>
      <c r="IEE2" s="1825"/>
      <c r="IEF2" s="1825"/>
      <c r="IEG2" s="1825"/>
      <c r="IEH2" s="1825"/>
      <c r="IEI2" s="1825"/>
      <c r="IEJ2" s="1825"/>
      <c r="IEK2" s="1825"/>
      <c r="IEL2" s="1825"/>
      <c r="IEM2" s="1825"/>
      <c r="IEN2" s="1825"/>
      <c r="IEO2" s="1825"/>
      <c r="IEP2" s="1825"/>
      <c r="IEQ2" s="1825"/>
      <c r="IER2" s="1825"/>
      <c r="IES2" s="1825"/>
      <c r="IET2" s="1825"/>
      <c r="IEU2" s="1825"/>
      <c r="IEV2" s="1825"/>
      <c r="IEW2" s="1825"/>
      <c r="IEX2" s="1825"/>
      <c r="IEY2" s="1825"/>
      <c r="IEZ2" s="1825"/>
      <c r="IFA2" s="1825"/>
      <c r="IFB2" s="1825"/>
      <c r="IFC2" s="1825"/>
      <c r="IFD2" s="1825"/>
      <c r="IFE2" s="1825"/>
      <c r="IFF2" s="1825"/>
      <c r="IFG2" s="1825"/>
      <c r="IFH2" s="1825"/>
      <c r="IFI2" s="1825"/>
      <c r="IFJ2" s="1825"/>
      <c r="IFK2" s="1825"/>
      <c r="IFL2" s="1825"/>
      <c r="IFM2" s="1825"/>
      <c r="IFN2" s="1825"/>
      <c r="IFO2" s="1825"/>
      <c r="IFP2" s="1825"/>
      <c r="IFQ2" s="1825"/>
      <c r="IFR2" s="1825"/>
      <c r="IFS2" s="1825"/>
      <c r="IFT2" s="1825"/>
      <c r="IFU2" s="1825"/>
      <c r="IFV2" s="1825"/>
      <c r="IFW2" s="1825"/>
      <c r="IFX2" s="1825"/>
      <c r="IFY2" s="1825"/>
      <c r="IFZ2" s="1825"/>
      <c r="IGA2" s="1825"/>
      <c r="IGB2" s="1825"/>
      <c r="IGC2" s="1825"/>
      <c r="IGD2" s="1825"/>
      <c r="IGE2" s="1825"/>
      <c r="IGF2" s="1825"/>
      <c r="IGG2" s="1825"/>
      <c r="IGH2" s="1825"/>
      <c r="IGI2" s="1825"/>
      <c r="IGJ2" s="1825"/>
      <c r="IGK2" s="1825"/>
      <c r="IGL2" s="1825"/>
      <c r="IGM2" s="1825"/>
      <c r="IGN2" s="1825"/>
      <c r="IGO2" s="1825"/>
      <c r="IGP2" s="1825"/>
      <c r="IGQ2" s="1825"/>
      <c r="IGR2" s="1825"/>
      <c r="IGS2" s="1825"/>
      <c r="IGT2" s="1825"/>
      <c r="IGU2" s="1825"/>
      <c r="IGV2" s="1825"/>
      <c r="IGW2" s="1825"/>
      <c r="IGX2" s="1825"/>
      <c r="IGY2" s="1825"/>
      <c r="IGZ2" s="1825"/>
      <c r="IHA2" s="1825"/>
      <c r="IHB2" s="1825"/>
      <c r="IHC2" s="1825"/>
      <c r="IHD2" s="1825"/>
      <c r="IHE2" s="1825"/>
      <c r="IHF2" s="1825"/>
      <c r="IHG2" s="1825"/>
      <c r="IHH2" s="1825"/>
      <c r="IHI2" s="1825"/>
      <c r="IHJ2" s="1825"/>
      <c r="IHK2" s="1825"/>
      <c r="IHL2" s="1825"/>
      <c r="IHM2" s="1825"/>
      <c r="IHN2" s="1825"/>
      <c r="IHO2" s="1825"/>
      <c r="IHP2" s="1825"/>
      <c r="IHQ2" s="1825"/>
      <c r="IHR2" s="1825"/>
      <c r="IHS2" s="1825"/>
      <c r="IHT2" s="1825"/>
      <c r="IHU2" s="1825"/>
      <c r="IHV2" s="1825"/>
      <c r="IHW2" s="1825"/>
      <c r="IHX2" s="1825"/>
      <c r="IHY2" s="1825"/>
      <c r="IHZ2" s="1825"/>
      <c r="IIA2" s="1825"/>
      <c r="IIB2" s="1825"/>
      <c r="IIC2" s="1825"/>
      <c r="IID2" s="1825"/>
      <c r="IIE2" s="1825"/>
      <c r="IIF2" s="1825"/>
      <c r="IIG2" s="1825"/>
      <c r="IIH2" s="1825"/>
      <c r="III2" s="1825"/>
      <c r="IIJ2" s="1825"/>
      <c r="IIK2" s="1825"/>
      <c r="IIL2" s="1825"/>
      <c r="IIM2" s="1825"/>
      <c r="IIN2" s="1825"/>
      <c r="IIO2" s="1825"/>
      <c r="IIP2" s="1825"/>
      <c r="IIQ2" s="1825"/>
      <c r="IIR2" s="1825"/>
      <c r="IIS2" s="1825"/>
      <c r="IIT2" s="1825"/>
      <c r="IIU2" s="1825"/>
      <c r="IIV2" s="1825"/>
      <c r="IIW2" s="1825"/>
      <c r="IIX2" s="1825"/>
      <c r="IIY2" s="1825"/>
      <c r="IIZ2" s="1825"/>
      <c r="IJA2" s="1825"/>
      <c r="IJB2" s="1825"/>
      <c r="IJC2" s="1825"/>
      <c r="IJD2" s="1825"/>
      <c r="IJE2" s="1825"/>
      <c r="IJF2" s="1825"/>
      <c r="IJG2" s="1825"/>
      <c r="IJH2" s="1825"/>
      <c r="IJI2" s="1825"/>
      <c r="IJJ2" s="1825"/>
      <c r="IJK2" s="1825"/>
      <c r="IJL2" s="1825"/>
      <c r="IJM2" s="1825"/>
      <c r="IJN2" s="1825"/>
      <c r="IJO2" s="1825"/>
      <c r="IJP2" s="1825"/>
      <c r="IJQ2" s="1825"/>
      <c r="IJR2" s="1825"/>
      <c r="IJS2" s="1825"/>
      <c r="IJT2" s="1825"/>
      <c r="IJU2" s="1825"/>
      <c r="IJV2" s="1825"/>
      <c r="IJW2" s="1825"/>
      <c r="IJX2" s="1825"/>
      <c r="IJY2" s="1825"/>
      <c r="IJZ2" s="1825"/>
      <c r="IKA2" s="1825"/>
      <c r="IKB2" s="1825"/>
      <c r="IKC2" s="1825"/>
      <c r="IKD2" s="1825"/>
      <c r="IKE2" s="1825"/>
      <c r="IKF2" s="1825"/>
      <c r="IKG2" s="1825"/>
      <c r="IKH2" s="1825"/>
      <c r="IKI2" s="1825"/>
      <c r="IKJ2" s="1825"/>
      <c r="IKK2" s="1825"/>
      <c r="IKL2" s="1825"/>
      <c r="IKM2" s="1825"/>
      <c r="IKN2" s="1825"/>
      <c r="IKO2" s="1825"/>
      <c r="IKP2" s="1825"/>
      <c r="IKQ2" s="1825"/>
      <c r="IKR2" s="1825"/>
      <c r="IKS2" s="1825"/>
      <c r="IKT2" s="1825"/>
      <c r="IKU2" s="1825"/>
      <c r="IKV2" s="1825"/>
      <c r="IKW2" s="1825"/>
      <c r="IKX2" s="1825"/>
      <c r="IKY2" s="1825"/>
      <c r="IKZ2" s="1825"/>
      <c r="ILA2" s="1825"/>
      <c r="ILB2" s="1825"/>
      <c r="ILC2" s="1825"/>
      <c r="ILD2" s="1825"/>
      <c r="ILE2" s="1825"/>
      <c r="ILF2" s="1825"/>
      <c r="ILG2" s="1825"/>
      <c r="ILH2" s="1825"/>
      <c r="ILI2" s="1825"/>
      <c r="ILJ2" s="1825"/>
      <c r="ILK2" s="1825"/>
      <c r="ILL2" s="1825"/>
      <c r="ILM2" s="1825"/>
      <c r="ILN2" s="1825"/>
      <c r="ILO2" s="1825"/>
      <c r="ILP2" s="1825"/>
      <c r="ILQ2" s="1825"/>
      <c r="ILR2" s="1825"/>
      <c r="ILS2" s="1825"/>
      <c r="ILT2" s="1825"/>
      <c r="ILU2" s="1825"/>
      <c r="ILV2" s="1825"/>
      <c r="ILW2" s="1825"/>
      <c r="ILX2" s="1825"/>
      <c r="ILY2" s="1825"/>
      <c r="ILZ2" s="1825"/>
      <c r="IMA2" s="1825"/>
      <c r="IMB2" s="1825"/>
      <c r="IMC2" s="1825"/>
      <c r="IMD2" s="1825"/>
      <c r="IME2" s="1825"/>
      <c r="IMF2" s="1825"/>
      <c r="IMG2" s="1825"/>
      <c r="IMH2" s="1825"/>
      <c r="IMI2" s="1825"/>
      <c r="IMJ2" s="1825"/>
      <c r="IMK2" s="1825"/>
      <c r="IML2" s="1825"/>
      <c r="IMM2" s="1825"/>
      <c r="IMN2" s="1825"/>
      <c r="IMO2" s="1825"/>
      <c r="IMP2" s="1825"/>
      <c r="IMQ2" s="1825"/>
      <c r="IMR2" s="1825"/>
      <c r="IMS2" s="1825"/>
      <c r="IMT2" s="1825"/>
      <c r="IMU2" s="1825"/>
      <c r="IMV2" s="1825"/>
      <c r="IMW2" s="1825"/>
      <c r="IMX2" s="1825"/>
      <c r="IMY2" s="1825"/>
      <c r="IMZ2" s="1825"/>
      <c r="INA2" s="1825"/>
      <c r="INB2" s="1825"/>
      <c r="INC2" s="1825"/>
      <c r="IND2" s="1825"/>
      <c r="INE2" s="1825"/>
      <c r="INF2" s="1825"/>
      <c r="ING2" s="1825"/>
      <c r="INH2" s="1825"/>
      <c r="INI2" s="1825"/>
      <c r="INJ2" s="1825"/>
      <c r="INK2" s="1825"/>
      <c r="INL2" s="1825"/>
      <c r="INM2" s="1825"/>
      <c r="INN2" s="1825"/>
      <c r="INO2" s="1825"/>
      <c r="INP2" s="1825"/>
      <c r="INQ2" s="1825"/>
      <c r="INR2" s="1825"/>
      <c r="INS2" s="1825"/>
      <c r="INT2" s="1825"/>
      <c r="INU2" s="1825"/>
      <c r="INV2" s="1825"/>
      <c r="INW2" s="1825"/>
      <c r="INX2" s="1825"/>
      <c r="INY2" s="1825"/>
      <c r="INZ2" s="1825"/>
      <c r="IOA2" s="1825"/>
      <c r="IOB2" s="1825"/>
      <c r="IOC2" s="1825"/>
      <c r="IOD2" s="1825"/>
      <c r="IOE2" s="1825"/>
      <c r="IOF2" s="1825"/>
      <c r="IOG2" s="1825"/>
      <c r="IOH2" s="1825"/>
      <c r="IOI2" s="1825"/>
      <c r="IOJ2" s="1825"/>
      <c r="IOK2" s="1825"/>
      <c r="IOL2" s="1825"/>
      <c r="IOM2" s="1825"/>
      <c r="ION2" s="1825"/>
      <c r="IOO2" s="1825"/>
      <c r="IOP2" s="1825"/>
      <c r="IOQ2" s="1825"/>
      <c r="IOR2" s="1825"/>
      <c r="IOS2" s="1825"/>
      <c r="IOT2" s="1825"/>
      <c r="IOU2" s="1825"/>
      <c r="IOV2" s="1825"/>
      <c r="IOW2" s="1825"/>
      <c r="IOX2" s="1825"/>
      <c r="IOY2" s="1825"/>
      <c r="IOZ2" s="1825"/>
      <c r="IPA2" s="1825"/>
      <c r="IPB2" s="1825"/>
      <c r="IPC2" s="1825"/>
      <c r="IPD2" s="1825"/>
      <c r="IPE2" s="1825"/>
      <c r="IPF2" s="1825"/>
      <c r="IPG2" s="1825"/>
      <c r="IPH2" s="1825"/>
      <c r="IPI2" s="1825"/>
      <c r="IPJ2" s="1825"/>
      <c r="IPK2" s="1825"/>
      <c r="IPL2" s="1825"/>
      <c r="IPM2" s="1825"/>
      <c r="IPN2" s="1825"/>
      <c r="IPO2" s="1825"/>
      <c r="IPP2" s="1825"/>
      <c r="IPQ2" s="1825"/>
      <c r="IPR2" s="1825"/>
      <c r="IPS2" s="1825"/>
      <c r="IPT2" s="1825"/>
      <c r="IPU2" s="1825"/>
      <c r="IPV2" s="1825"/>
      <c r="IPW2" s="1825"/>
      <c r="IPX2" s="1825"/>
      <c r="IPY2" s="1825"/>
      <c r="IPZ2" s="1825"/>
      <c r="IQA2" s="1825"/>
      <c r="IQB2" s="1825"/>
      <c r="IQC2" s="1825"/>
      <c r="IQD2" s="1825"/>
      <c r="IQE2" s="1825"/>
      <c r="IQF2" s="1825"/>
      <c r="IQG2" s="1825"/>
      <c r="IQH2" s="1825"/>
      <c r="IQI2" s="1825"/>
      <c r="IQJ2" s="1825"/>
      <c r="IQK2" s="1825"/>
      <c r="IQL2" s="1825"/>
      <c r="IQM2" s="1825"/>
      <c r="IQN2" s="1825"/>
      <c r="IQO2" s="1825"/>
      <c r="IQP2" s="1825"/>
      <c r="IQQ2" s="1825"/>
      <c r="IQR2" s="1825"/>
      <c r="IQS2" s="1825"/>
      <c r="IQT2" s="1825"/>
      <c r="IQU2" s="1825"/>
      <c r="IQV2" s="1825"/>
      <c r="IQW2" s="1825"/>
      <c r="IQX2" s="1825"/>
      <c r="IQY2" s="1825"/>
      <c r="IQZ2" s="1825"/>
      <c r="IRA2" s="1825"/>
      <c r="IRB2" s="1825"/>
      <c r="IRC2" s="1825"/>
      <c r="IRD2" s="1825"/>
      <c r="IRE2" s="1825"/>
      <c r="IRF2" s="1825"/>
      <c r="IRG2" s="1825"/>
      <c r="IRH2" s="1825"/>
      <c r="IRI2" s="1825"/>
      <c r="IRJ2" s="1825"/>
      <c r="IRK2" s="1825"/>
      <c r="IRL2" s="1825"/>
      <c r="IRM2" s="1825"/>
      <c r="IRN2" s="1825"/>
      <c r="IRO2" s="1825"/>
      <c r="IRP2" s="1825"/>
      <c r="IRQ2" s="1825"/>
      <c r="IRR2" s="1825"/>
      <c r="IRS2" s="1825"/>
      <c r="IRT2" s="1825"/>
      <c r="IRU2" s="1825"/>
      <c r="IRV2" s="1825"/>
      <c r="IRW2" s="1825"/>
      <c r="IRX2" s="1825"/>
      <c r="IRY2" s="1825"/>
      <c r="IRZ2" s="1825"/>
      <c r="ISA2" s="1825"/>
      <c r="ISB2" s="1825"/>
      <c r="ISC2" s="1825"/>
      <c r="ISD2" s="1825"/>
      <c r="ISE2" s="1825"/>
      <c r="ISF2" s="1825"/>
      <c r="ISG2" s="1825"/>
      <c r="ISH2" s="1825"/>
      <c r="ISI2" s="1825"/>
      <c r="ISJ2" s="1825"/>
      <c r="ISK2" s="1825"/>
      <c r="ISL2" s="1825"/>
      <c r="ISM2" s="1825"/>
      <c r="ISN2" s="1825"/>
      <c r="ISO2" s="1825"/>
      <c r="ISP2" s="1825"/>
      <c r="ISQ2" s="1825"/>
      <c r="ISR2" s="1825"/>
      <c r="ISS2" s="1825"/>
      <c r="IST2" s="1825"/>
      <c r="ISU2" s="1825"/>
      <c r="ISV2" s="1825"/>
      <c r="ISW2" s="1825"/>
      <c r="ISX2" s="1825"/>
      <c r="ISY2" s="1825"/>
      <c r="ISZ2" s="1825"/>
      <c r="ITA2" s="1825"/>
      <c r="ITB2" s="1825"/>
      <c r="ITC2" s="1825"/>
      <c r="ITD2" s="1825"/>
      <c r="ITE2" s="1825"/>
      <c r="ITF2" s="1825"/>
      <c r="ITG2" s="1825"/>
      <c r="ITH2" s="1825"/>
      <c r="ITI2" s="1825"/>
      <c r="ITJ2" s="1825"/>
      <c r="ITK2" s="1825"/>
      <c r="ITL2" s="1825"/>
      <c r="ITM2" s="1825"/>
      <c r="ITN2" s="1825"/>
      <c r="ITO2" s="1825"/>
      <c r="ITP2" s="1825"/>
      <c r="ITQ2" s="1825"/>
      <c r="ITR2" s="1825"/>
      <c r="ITS2" s="1825"/>
      <c r="ITT2" s="1825"/>
      <c r="ITU2" s="1825"/>
      <c r="ITV2" s="1825"/>
      <c r="ITW2" s="1825"/>
      <c r="ITX2" s="1825"/>
      <c r="ITY2" s="1825"/>
      <c r="ITZ2" s="1825"/>
      <c r="IUA2" s="1825"/>
      <c r="IUB2" s="1825"/>
      <c r="IUC2" s="1825"/>
      <c r="IUD2" s="1825"/>
      <c r="IUE2" s="1825"/>
      <c r="IUF2" s="1825"/>
      <c r="IUG2" s="1825"/>
      <c r="IUH2" s="1825"/>
      <c r="IUI2" s="1825"/>
      <c r="IUJ2" s="1825"/>
      <c r="IUK2" s="1825"/>
      <c r="IUL2" s="1825"/>
      <c r="IUM2" s="1825"/>
      <c r="IUN2" s="1825"/>
      <c r="IUO2" s="1825"/>
      <c r="IUP2" s="1825"/>
      <c r="IUQ2" s="1825"/>
      <c r="IUR2" s="1825"/>
      <c r="IUS2" s="1825"/>
      <c r="IUT2" s="1825"/>
      <c r="IUU2" s="1825"/>
      <c r="IUV2" s="1825"/>
      <c r="IUW2" s="1825"/>
      <c r="IUX2" s="1825"/>
      <c r="IUY2" s="1825"/>
      <c r="IUZ2" s="1825"/>
      <c r="IVA2" s="1825"/>
      <c r="IVB2" s="1825"/>
      <c r="IVC2" s="1825"/>
      <c r="IVD2" s="1825"/>
      <c r="IVE2" s="1825"/>
      <c r="IVF2" s="1825"/>
      <c r="IVG2" s="1825"/>
      <c r="IVH2" s="1825"/>
      <c r="IVI2" s="1825"/>
      <c r="IVJ2" s="1825"/>
      <c r="IVK2" s="1825"/>
      <c r="IVL2" s="1825"/>
      <c r="IVM2" s="1825"/>
      <c r="IVN2" s="1825"/>
      <c r="IVO2" s="1825"/>
      <c r="IVP2" s="1825"/>
      <c r="IVQ2" s="1825"/>
      <c r="IVR2" s="1825"/>
      <c r="IVS2" s="1825"/>
      <c r="IVT2" s="1825"/>
      <c r="IVU2" s="1825"/>
      <c r="IVV2" s="1825"/>
      <c r="IVW2" s="1825"/>
      <c r="IVX2" s="1825"/>
      <c r="IVY2" s="1825"/>
      <c r="IVZ2" s="1825"/>
      <c r="IWA2" s="1825"/>
      <c r="IWB2" s="1825"/>
      <c r="IWC2" s="1825"/>
      <c r="IWD2" s="1825"/>
      <c r="IWE2" s="1825"/>
      <c r="IWF2" s="1825"/>
      <c r="IWG2" s="1825"/>
      <c r="IWH2" s="1825"/>
      <c r="IWI2" s="1825"/>
      <c r="IWJ2" s="1825"/>
      <c r="IWK2" s="1825"/>
      <c r="IWL2" s="1825"/>
      <c r="IWM2" s="1825"/>
      <c r="IWN2" s="1825"/>
      <c r="IWO2" s="1825"/>
      <c r="IWP2" s="1825"/>
      <c r="IWQ2" s="1825"/>
      <c r="IWR2" s="1825"/>
      <c r="IWS2" s="1825"/>
      <c r="IWT2" s="1825"/>
      <c r="IWU2" s="1825"/>
      <c r="IWV2" s="1825"/>
      <c r="IWW2" s="1825"/>
      <c r="IWX2" s="1825"/>
      <c r="IWY2" s="1825"/>
      <c r="IWZ2" s="1825"/>
      <c r="IXA2" s="1825"/>
      <c r="IXB2" s="1825"/>
      <c r="IXC2" s="1825"/>
      <c r="IXD2" s="1825"/>
      <c r="IXE2" s="1825"/>
      <c r="IXF2" s="1825"/>
      <c r="IXG2" s="1825"/>
      <c r="IXH2" s="1825"/>
      <c r="IXI2" s="1825"/>
      <c r="IXJ2" s="1825"/>
      <c r="IXK2" s="1825"/>
      <c r="IXL2" s="1825"/>
      <c r="IXM2" s="1825"/>
      <c r="IXN2" s="1825"/>
      <c r="IXO2" s="1825"/>
      <c r="IXP2" s="1825"/>
      <c r="IXQ2" s="1825"/>
      <c r="IXR2" s="1825"/>
      <c r="IXS2" s="1825"/>
      <c r="IXT2" s="1825"/>
      <c r="IXU2" s="1825"/>
      <c r="IXV2" s="1825"/>
      <c r="IXW2" s="1825"/>
      <c r="IXX2" s="1825"/>
      <c r="IXY2" s="1825"/>
      <c r="IXZ2" s="1825"/>
      <c r="IYA2" s="1825"/>
      <c r="IYB2" s="1825"/>
      <c r="IYC2" s="1825"/>
      <c r="IYD2" s="1825"/>
      <c r="IYE2" s="1825"/>
      <c r="IYF2" s="1825"/>
      <c r="IYG2" s="1825"/>
      <c r="IYH2" s="1825"/>
      <c r="IYI2" s="1825"/>
      <c r="IYJ2" s="1825"/>
      <c r="IYK2" s="1825"/>
      <c r="IYL2" s="1825"/>
      <c r="IYM2" s="1825"/>
      <c r="IYN2" s="1825"/>
      <c r="IYO2" s="1825"/>
      <c r="IYP2" s="1825"/>
      <c r="IYQ2" s="1825"/>
      <c r="IYR2" s="1825"/>
      <c r="IYS2" s="1825"/>
      <c r="IYT2" s="1825"/>
      <c r="IYU2" s="1825"/>
      <c r="IYV2" s="1825"/>
      <c r="IYW2" s="1825"/>
      <c r="IYX2" s="1825"/>
      <c r="IYY2" s="1825"/>
      <c r="IYZ2" s="1825"/>
      <c r="IZA2" s="1825"/>
      <c r="IZB2" s="1825"/>
      <c r="IZC2" s="1825"/>
      <c r="IZD2" s="1825"/>
      <c r="IZE2" s="1825"/>
      <c r="IZF2" s="1825"/>
      <c r="IZG2" s="1825"/>
      <c r="IZH2" s="1825"/>
      <c r="IZI2" s="1825"/>
      <c r="IZJ2" s="1825"/>
      <c r="IZK2" s="1825"/>
      <c r="IZL2" s="1825"/>
      <c r="IZM2" s="1825"/>
      <c r="IZN2" s="1825"/>
      <c r="IZO2" s="1825"/>
      <c r="IZP2" s="1825"/>
      <c r="IZQ2" s="1825"/>
      <c r="IZR2" s="1825"/>
      <c r="IZS2" s="1825"/>
      <c r="IZT2" s="1825"/>
      <c r="IZU2" s="1825"/>
      <c r="IZV2" s="1825"/>
      <c r="IZW2" s="1825"/>
      <c r="IZX2" s="1825"/>
      <c r="IZY2" s="1825"/>
      <c r="IZZ2" s="1825"/>
      <c r="JAA2" s="1825"/>
      <c r="JAB2" s="1825"/>
      <c r="JAC2" s="1825"/>
      <c r="JAD2" s="1825"/>
      <c r="JAE2" s="1825"/>
      <c r="JAF2" s="1825"/>
      <c r="JAG2" s="1825"/>
      <c r="JAH2" s="1825"/>
      <c r="JAI2" s="1825"/>
      <c r="JAJ2" s="1825"/>
      <c r="JAK2" s="1825"/>
      <c r="JAL2" s="1825"/>
      <c r="JAM2" s="1825"/>
      <c r="JAN2" s="1825"/>
      <c r="JAO2" s="1825"/>
      <c r="JAP2" s="1825"/>
      <c r="JAQ2" s="1825"/>
      <c r="JAR2" s="1825"/>
      <c r="JAS2" s="1825"/>
      <c r="JAT2" s="1825"/>
      <c r="JAU2" s="1825"/>
      <c r="JAV2" s="1825"/>
      <c r="JAW2" s="1825"/>
      <c r="JAX2" s="1825"/>
      <c r="JAY2" s="1825"/>
      <c r="JAZ2" s="1825"/>
      <c r="JBA2" s="1825"/>
      <c r="JBB2" s="1825"/>
      <c r="JBC2" s="1825"/>
      <c r="JBD2" s="1825"/>
      <c r="JBE2" s="1825"/>
      <c r="JBF2" s="1825"/>
      <c r="JBG2" s="1825"/>
      <c r="JBH2" s="1825"/>
      <c r="JBI2" s="1825"/>
      <c r="JBJ2" s="1825"/>
      <c r="JBK2" s="1825"/>
      <c r="JBL2" s="1825"/>
      <c r="JBM2" s="1825"/>
      <c r="JBN2" s="1825"/>
      <c r="JBO2" s="1825"/>
      <c r="JBP2" s="1825"/>
      <c r="JBQ2" s="1825"/>
      <c r="JBR2" s="1825"/>
      <c r="JBS2" s="1825"/>
      <c r="JBT2" s="1825"/>
      <c r="JBU2" s="1825"/>
      <c r="JBV2" s="1825"/>
      <c r="JBW2" s="1825"/>
      <c r="JBX2" s="1825"/>
      <c r="JBY2" s="1825"/>
      <c r="JBZ2" s="1825"/>
      <c r="JCA2" s="1825"/>
      <c r="JCB2" s="1825"/>
      <c r="JCC2" s="1825"/>
      <c r="JCD2" s="1825"/>
      <c r="JCE2" s="1825"/>
      <c r="JCF2" s="1825"/>
      <c r="JCG2" s="1825"/>
      <c r="JCH2" s="1825"/>
      <c r="JCI2" s="1825"/>
      <c r="JCJ2" s="1825"/>
      <c r="JCK2" s="1825"/>
      <c r="JCL2" s="1825"/>
      <c r="JCM2" s="1825"/>
      <c r="JCN2" s="1825"/>
      <c r="JCO2" s="1825"/>
      <c r="JCP2" s="1825"/>
      <c r="JCQ2" s="1825"/>
      <c r="JCR2" s="1825"/>
      <c r="JCS2" s="1825"/>
      <c r="JCT2" s="1825"/>
      <c r="JCU2" s="1825"/>
      <c r="JCV2" s="1825"/>
      <c r="JCW2" s="1825"/>
      <c r="JCX2" s="1825"/>
      <c r="JCY2" s="1825"/>
      <c r="JCZ2" s="1825"/>
      <c r="JDA2" s="1825"/>
      <c r="JDB2" s="1825"/>
      <c r="JDC2" s="1825"/>
      <c r="JDD2" s="1825"/>
      <c r="JDE2" s="1825"/>
      <c r="JDF2" s="1825"/>
      <c r="JDG2" s="1825"/>
      <c r="JDH2" s="1825"/>
      <c r="JDI2" s="1825"/>
      <c r="JDJ2" s="1825"/>
      <c r="JDK2" s="1825"/>
      <c r="JDL2" s="1825"/>
      <c r="JDM2" s="1825"/>
      <c r="JDN2" s="1825"/>
      <c r="JDO2" s="1825"/>
      <c r="JDP2" s="1825"/>
      <c r="JDQ2" s="1825"/>
      <c r="JDR2" s="1825"/>
      <c r="JDS2" s="1825"/>
      <c r="JDT2" s="1825"/>
      <c r="JDU2" s="1825"/>
      <c r="JDV2" s="1825"/>
      <c r="JDW2" s="1825"/>
      <c r="JDX2" s="1825"/>
      <c r="JDY2" s="1825"/>
      <c r="JDZ2" s="1825"/>
      <c r="JEA2" s="1825"/>
      <c r="JEB2" s="1825"/>
      <c r="JEC2" s="1825"/>
      <c r="JED2" s="1825"/>
      <c r="JEE2" s="1825"/>
      <c r="JEF2" s="1825"/>
      <c r="JEG2" s="1825"/>
      <c r="JEH2" s="1825"/>
      <c r="JEI2" s="1825"/>
      <c r="JEJ2" s="1825"/>
      <c r="JEK2" s="1825"/>
      <c r="JEL2" s="1825"/>
      <c r="JEM2" s="1825"/>
      <c r="JEN2" s="1825"/>
      <c r="JEO2" s="1825"/>
      <c r="JEP2" s="1825"/>
      <c r="JEQ2" s="1825"/>
      <c r="JER2" s="1825"/>
      <c r="JES2" s="1825"/>
      <c r="JET2" s="1825"/>
      <c r="JEU2" s="1825"/>
      <c r="JEV2" s="1825"/>
      <c r="JEW2" s="1825"/>
      <c r="JEX2" s="1825"/>
      <c r="JEY2" s="1825"/>
      <c r="JEZ2" s="1825"/>
      <c r="JFA2" s="1825"/>
      <c r="JFB2" s="1825"/>
      <c r="JFC2" s="1825"/>
      <c r="JFD2" s="1825"/>
      <c r="JFE2" s="1825"/>
      <c r="JFF2" s="1825"/>
      <c r="JFG2" s="1825"/>
      <c r="JFH2" s="1825"/>
      <c r="JFI2" s="1825"/>
      <c r="JFJ2" s="1825"/>
      <c r="JFK2" s="1825"/>
      <c r="JFL2" s="1825"/>
      <c r="JFM2" s="1825"/>
      <c r="JFN2" s="1825"/>
      <c r="JFO2" s="1825"/>
      <c r="JFP2" s="1825"/>
      <c r="JFQ2" s="1825"/>
      <c r="JFR2" s="1825"/>
      <c r="JFS2" s="1825"/>
      <c r="JFT2" s="1825"/>
      <c r="JFU2" s="1825"/>
      <c r="JFV2" s="1825"/>
      <c r="JFW2" s="1825"/>
      <c r="JFX2" s="1825"/>
      <c r="JFY2" s="1825"/>
      <c r="JFZ2" s="1825"/>
      <c r="JGA2" s="1825"/>
      <c r="JGB2" s="1825"/>
      <c r="JGC2" s="1825"/>
      <c r="JGD2" s="1825"/>
      <c r="JGE2" s="1825"/>
      <c r="JGF2" s="1825"/>
      <c r="JGG2" s="1825"/>
      <c r="JGH2" s="1825"/>
      <c r="JGI2" s="1825"/>
      <c r="JGJ2" s="1825"/>
      <c r="JGK2" s="1825"/>
      <c r="JGL2" s="1825"/>
      <c r="JGM2" s="1825"/>
      <c r="JGN2" s="1825"/>
      <c r="JGO2" s="1825"/>
      <c r="JGP2" s="1825"/>
      <c r="JGQ2" s="1825"/>
      <c r="JGR2" s="1825"/>
      <c r="JGS2" s="1825"/>
      <c r="JGT2" s="1825"/>
      <c r="JGU2" s="1825"/>
      <c r="JGV2" s="1825"/>
      <c r="JGW2" s="1825"/>
      <c r="JGX2" s="1825"/>
      <c r="JGY2" s="1825"/>
      <c r="JGZ2" s="1825"/>
      <c r="JHA2" s="1825"/>
      <c r="JHB2" s="1825"/>
      <c r="JHC2" s="1825"/>
      <c r="JHD2" s="1825"/>
      <c r="JHE2" s="1825"/>
      <c r="JHF2" s="1825"/>
      <c r="JHG2" s="1825"/>
      <c r="JHH2" s="1825"/>
      <c r="JHI2" s="1825"/>
      <c r="JHJ2" s="1825"/>
      <c r="JHK2" s="1825"/>
      <c r="JHL2" s="1825"/>
      <c r="JHM2" s="1825"/>
      <c r="JHN2" s="1825"/>
      <c r="JHO2" s="1825"/>
      <c r="JHP2" s="1825"/>
      <c r="JHQ2" s="1825"/>
      <c r="JHR2" s="1825"/>
      <c r="JHS2" s="1825"/>
      <c r="JHT2" s="1825"/>
      <c r="JHU2" s="1825"/>
      <c r="JHV2" s="1825"/>
      <c r="JHW2" s="1825"/>
      <c r="JHX2" s="1825"/>
      <c r="JHY2" s="1825"/>
      <c r="JHZ2" s="1825"/>
      <c r="JIA2" s="1825"/>
      <c r="JIB2" s="1825"/>
      <c r="JIC2" s="1825"/>
      <c r="JID2" s="1825"/>
      <c r="JIE2" s="1825"/>
      <c r="JIF2" s="1825"/>
      <c r="JIG2" s="1825"/>
      <c r="JIH2" s="1825"/>
      <c r="JII2" s="1825"/>
      <c r="JIJ2" s="1825"/>
      <c r="JIK2" s="1825"/>
      <c r="JIL2" s="1825"/>
      <c r="JIM2" s="1825"/>
      <c r="JIN2" s="1825"/>
      <c r="JIO2" s="1825"/>
      <c r="JIP2" s="1825"/>
      <c r="JIQ2" s="1825"/>
      <c r="JIR2" s="1825"/>
      <c r="JIS2" s="1825"/>
      <c r="JIT2" s="1825"/>
      <c r="JIU2" s="1825"/>
      <c r="JIV2" s="1825"/>
      <c r="JIW2" s="1825"/>
      <c r="JIX2" s="1825"/>
      <c r="JIY2" s="1825"/>
      <c r="JIZ2" s="1825"/>
      <c r="JJA2" s="1825"/>
      <c r="JJB2" s="1825"/>
      <c r="JJC2" s="1825"/>
      <c r="JJD2" s="1825"/>
      <c r="JJE2" s="1825"/>
      <c r="JJF2" s="1825"/>
      <c r="JJG2" s="1825"/>
      <c r="JJH2" s="1825"/>
      <c r="JJI2" s="1825"/>
      <c r="JJJ2" s="1825"/>
      <c r="JJK2" s="1825"/>
      <c r="JJL2" s="1825"/>
      <c r="JJM2" s="1825"/>
      <c r="JJN2" s="1825"/>
      <c r="JJO2" s="1825"/>
      <c r="JJP2" s="1825"/>
      <c r="JJQ2" s="1825"/>
      <c r="JJR2" s="1825"/>
      <c r="JJS2" s="1825"/>
      <c r="JJT2" s="1825"/>
      <c r="JJU2" s="1825"/>
      <c r="JJV2" s="1825"/>
      <c r="JJW2" s="1825"/>
      <c r="JJX2" s="1825"/>
      <c r="JJY2" s="1825"/>
      <c r="JJZ2" s="1825"/>
      <c r="JKA2" s="1825"/>
      <c r="JKB2" s="1825"/>
      <c r="JKC2" s="1825"/>
      <c r="JKD2" s="1825"/>
      <c r="JKE2" s="1825"/>
      <c r="JKF2" s="1825"/>
      <c r="JKG2" s="1825"/>
      <c r="JKH2" s="1825"/>
      <c r="JKI2" s="1825"/>
      <c r="JKJ2" s="1825"/>
      <c r="JKK2" s="1825"/>
      <c r="JKL2" s="1825"/>
      <c r="JKM2" s="1825"/>
      <c r="JKN2" s="1825"/>
      <c r="JKO2" s="1825"/>
      <c r="JKP2" s="1825"/>
      <c r="JKQ2" s="1825"/>
      <c r="JKR2" s="1825"/>
      <c r="JKS2" s="1825"/>
      <c r="JKT2" s="1825"/>
      <c r="JKU2" s="1825"/>
      <c r="JKV2" s="1825"/>
      <c r="JKW2" s="1825"/>
      <c r="JKX2" s="1825"/>
      <c r="JKY2" s="1825"/>
      <c r="JKZ2" s="1825"/>
      <c r="JLA2" s="1825"/>
      <c r="JLB2" s="1825"/>
      <c r="JLC2" s="1825"/>
      <c r="JLD2" s="1825"/>
      <c r="JLE2" s="1825"/>
      <c r="JLF2" s="1825"/>
      <c r="JLG2" s="1825"/>
      <c r="JLH2" s="1825"/>
      <c r="JLI2" s="1825"/>
      <c r="JLJ2" s="1825"/>
      <c r="JLK2" s="1825"/>
      <c r="JLL2" s="1825"/>
      <c r="JLM2" s="1825"/>
      <c r="JLN2" s="1825"/>
      <c r="JLO2" s="1825"/>
      <c r="JLP2" s="1825"/>
      <c r="JLQ2" s="1825"/>
      <c r="JLR2" s="1825"/>
      <c r="JLS2" s="1825"/>
      <c r="JLT2" s="1825"/>
      <c r="JLU2" s="1825"/>
      <c r="JLV2" s="1825"/>
      <c r="JLW2" s="1825"/>
      <c r="JLX2" s="1825"/>
      <c r="JLY2" s="1825"/>
      <c r="JLZ2" s="1825"/>
      <c r="JMA2" s="1825"/>
      <c r="JMB2" s="1825"/>
      <c r="JMC2" s="1825"/>
      <c r="JMD2" s="1825"/>
      <c r="JME2" s="1825"/>
      <c r="JMF2" s="1825"/>
      <c r="JMG2" s="1825"/>
      <c r="JMH2" s="1825"/>
      <c r="JMI2" s="1825"/>
      <c r="JMJ2" s="1825"/>
      <c r="JMK2" s="1825"/>
      <c r="JML2" s="1825"/>
      <c r="JMM2" s="1825"/>
      <c r="JMN2" s="1825"/>
      <c r="JMO2" s="1825"/>
      <c r="JMP2" s="1825"/>
      <c r="JMQ2" s="1825"/>
      <c r="JMR2" s="1825"/>
      <c r="JMS2" s="1825"/>
      <c r="JMT2" s="1825"/>
      <c r="JMU2" s="1825"/>
      <c r="JMV2" s="1825"/>
      <c r="JMW2" s="1825"/>
      <c r="JMX2" s="1825"/>
      <c r="JMY2" s="1825"/>
      <c r="JMZ2" s="1825"/>
      <c r="JNA2" s="1825"/>
      <c r="JNB2" s="1825"/>
      <c r="JNC2" s="1825"/>
      <c r="JND2" s="1825"/>
      <c r="JNE2" s="1825"/>
      <c r="JNF2" s="1825"/>
      <c r="JNG2" s="1825"/>
      <c r="JNH2" s="1825"/>
      <c r="JNI2" s="1825"/>
      <c r="JNJ2" s="1825"/>
      <c r="JNK2" s="1825"/>
      <c r="JNL2" s="1825"/>
      <c r="JNM2" s="1825"/>
      <c r="JNN2" s="1825"/>
      <c r="JNO2" s="1825"/>
      <c r="JNP2" s="1825"/>
      <c r="JNQ2" s="1825"/>
      <c r="JNR2" s="1825"/>
      <c r="JNS2" s="1825"/>
      <c r="JNT2" s="1825"/>
      <c r="JNU2" s="1825"/>
      <c r="JNV2" s="1825"/>
      <c r="JNW2" s="1825"/>
      <c r="JNX2" s="1825"/>
      <c r="JNY2" s="1825"/>
      <c r="JNZ2" s="1825"/>
      <c r="JOA2" s="1825"/>
      <c r="JOB2" s="1825"/>
      <c r="JOC2" s="1825"/>
      <c r="JOD2" s="1825"/>
      <c r="JOE2" s="1825"/>
      <c r="JOF2" s="1825"/>
      <c r="JOG2" s="1825"/>
      <c r="JOH2" s="1825"/>
      <c r="JOI2" s="1825"/>
      <c r="JOJ2" s="1825"/>
      <c r="JOK2" s="1825"/>
      <c r="JOL2" s="1825"/>
      <c r="JOM2" s="1825"/>
      <c r="JON2" s="1825"/>
      <c r="JOO2" s="1825"/>
      <c r="JOP2" s="1825"/>
      <c r="JOQ2" s="1825"/>
      <c r="JOR2" s="1825"/>
      <c r="JOS2" s="1825"/>
      <c r="JOT2" s="1825"/>
      <c r="JOU2" s="1825"/>
      <c r="JOV2" s="1825"/>
      <c r="JOW2" s="1825"/>
      <c r="JOX2" s="1825"/>
      <c r="JOY2" s="1825"/>
      <c r="JOZ2" s="1825"/>
      <c r="JPA2" s="1825"/>
      <c r="JPB2" s="1825"/>
      <c r="JPC2" s="1825"/>
      <c r="JPD2" s="1825"/>
      <c r="JPE2" s="1825"/>
      <c r="JPF2" s="1825"/>
      <c r="JPG2" s="1825"/>
      <c r="JPH2" s="1825"/>
      <c r="JPI2" s="1825"/>
      <c r="JPJ2" s="1825"/>
      <c r="JPK2" s="1825"/>
      <c r="JPL2" s="1825"/>
      <c r="JPM2" s="1825"/>
      <c r="JPN2" s="1825"/>
      <c r="JPO2" s="1825"/>
      <c r="JPP2" s="1825"/>
      <c r="JPQ2" s="1825"/>
      <c r="JPR2" s="1825"/>
      <c r="JPS2" s="1825"/>
      <c r="JPT2" s="1825"/>
      <c r="JPU2" s="1825"/>
      <c r="JPV2" s="1825"/>
      <c r="JPW2" s="1825"/>
      <c r="JPX2" s="1825"/>
      <c r="JPY2" s="1825"/>
      <c r="JPZ2" s="1825"/>
      <c r="JQA2" s="1825"/>
      <c r="JQB2" s="1825"/>
      <c r="JQC2" s="1825"/>
      <c r="JQD2" s="1825"/>
      <c r="JQE2" s="1825"/>
      <c r="JQF2" s="1825"/>
      <c r="JQG2" s="1825"/>
      <c r="JQH2" s="1825"/>
      <c r="JQI2" s="1825"/>
      <c r="JQJ2" s="1825"/>
      <c r="JQK2" s="1825"/>
      <c r="JQL2" s="1825"/>
      <c r="JQM2" s="1825"/>
      <c r="JQN2" s="1825"/>
      <c r="JQO2" s="1825"/>
      <c r="JQP2" s="1825"/>
      <c r="JQQ2" s="1825"/>
      <c r="JQR2" s="1825"/>
      <c r="JQS2" s="1825"/>
      <c r="JQT2" s="1825"/>
      <c r="JQU2" s="1825"/>
      <c r="JQV2" s="1825"/>
      <c r="JQW2" s="1825"/>
      <c r="JQX2" s="1825"/>
      <c r="JQY2" s="1825"/>
      <c r="JQZ2" s="1825"/>
      <c r="JRA2" s="1825"/>
      <c r="JRB2" s="1825"/>
      <c r="JRC2" s="1825"/>
      <c r="JRD2" s="1825"/>
      <c r="JRE2" s="1825"/>
      <c r="JRF2" s="1825"/>
      <c r="JRG2" s="1825"/>
      <c r="JRH2" s="1825"/>
      <c r="JRI2" s="1825"/>
      <c r="JRJ2" s="1825"/>
      <c r="JRK2" s="1825"/>
      <c r="JRL2" s="1825"/>
      <c r="JRM2" s="1825"/>
      <c r="JRN2" s="1825"/>
      <c r="JRO2" s="1825"/>
      <c r="JRP2" s="1825"/>
      <c r="JRQ2" s="1825"/>
      <c r="JRR2" s="1825"/>
      <c r="JRS2" s="1825"/>
      <c r="JRT2" s="1825"/>
      <c r="JRU2" s="1825"/>
      <c r="JRV2" s="1825"/>
      <c r="JRW2" s="1825"/>
      <c r="JRX2" s="1825"/>
      <c r="JRY2" s="1825"/>
      <c r="JRZ2" s="1825"/>
      <c r="JSA2" s="1825"/>
      <c r="JSB2" s="1825"/>
      <c r="JSC2" s="1825"/>
      <c r="JSD2" s="1825"/>
      <c r="JSE2" s="1825"/>
      <c r="JSF2" s="1825"/>
      <c r="JSG2" s="1825"/>
      <c r="JSH2" s="1825"/>
      <c r="JSI2" s="1825"/>
      <c r="JSJ2" s="1825"/>
      <c r="JSK2" s="1825"/>
      <c r="JSL2" s="1825"/>
      <c r="JSM2" s="1825"/>
      <c r="JSN2" s="1825"/>
      <c r="JSO2" s="1825"/>
      <c r="JSP2" s="1825"/>
      <c r="JSQ2" s="1825"/>
      <c r="JSR2" s="1825"/>
      <c r="JSS2" s="1825"/>
      <c r="JST2" s="1825"/>
      <c r="JSU2" s="1825"/>
      <c r="JSV2" s="1825"/>
      <c r="JSW2" s="1825"/>
      <c r="JSX2" s="1825"/>
      <c r="JSY2" s="1825"/>
      <c r="JSZ2" s="1825"/>
      <c r="JTA2" s="1825"/>
      <c r="JTB2" s="1825"/>
      <c r="JTC2" s="1825"/>
      <c r="JTD2" s="1825"/>
      <c r="JTE2" s="1825"/>
      <c r="JTF2" s="1825"/>
      <c r="JTG2" s="1825"/>
      <c r="JTH2" s="1825"/>
      <c r="JTI2" s="1825"/>
      <c r="JTJ2" s="1825"/>
      <c r="JTK2" s="1825"/>
      <c r="JTL2" s="1825"/>
      <c r="JTM2" s="1825"/>
      <c r="JTN2" s="1825"/>
      <c r="JTO2" s="1825"/>
      <c r="JTP2" s="1825"/>
      <c r="JTQ2" s="1825"/>
      <c r="JTR2" s="1825"/>
      <c r="JTS2" s="1825"/>
      <c r="JTT2" s="1825"/>
      <c r="JTU2" s="1825"/>
      <c r="JTV2" s="1825"/>
      <c r="JTW2" s="1825"/>
      <c r="JTX2" s="1825"/>
      <c r="JTY2" s="1825"/>
      <c r="JTZ2" s="1825"/>
      <c r="JUA2" s="1825"/>
      <c r="JUB2" s="1825"/>
      <c r="JUC2" s="1825"/>
      <c r="JUD2" s="1825"/>
      <c r="JUE2" s="1825"/>
      <c r="JUF2" s="1825"/>
      <c r="JUG2" s="1825"/>
      <c r="JUH2" s="1825"/>
      <c r="JUI2" s="1825"/>
      <c r="JUJ2" s="1825"/>
      <c r="JUK2" s="1825"/>
      <c r="JUL2" s="1825"/>
      <c r="JUM2" s="1825"/>
      <c r="JUN2" s="1825"/>
      <c r="JUO2" s="1825"/>
      <c r="JUP2" s="1825"/>
      <c r="JUQ2" s="1825"/>
      <c r="JUR2" s="1825"/>
      <c r="JUS2" s="1825"/>
      <c r="JUT2" s="1825"/>
      <c r="JUU2" s="1825"/>
      <c r="JUV2" s="1825"/>
      <c r="JUW2" s="1825"/>
      <c r="JUX2" s="1825"/>
      <c r="JUY2" s="1825"/>
      <c r="JUZ2" s="1825"/>
      <c r="JVA2" s="1825"/>
      <c r="JVB2" s="1825"/>
      <c r="JVC2" s="1825"/>
      <c r="JVD2" s="1825"/>
      <c r="JVE2" s="1825"/>
      <c r="JVF2" s="1825"/>
      <c r="JVG2" s="1825"/>
      <c r="JVH2" s="1825"/>
      <c r="JVI2" s="1825"/>
      <c r="JVJ2" s="1825"/>
      <c r="JVK2" s="1825"/>
      <c r="JVL2" s="1825"/>
      <c r="JVM2" s="1825"/>
      <c r="JVN2" s="1825"/>
      <c r="JVO2" s="1825"/>
      <c r="JVP2" s="1825"/>
      <c r="JVQ2" s="1825"/>
      <c r="JVR2" s="1825"/>
      <c r="JVS2" s="1825"/>
      <c r="JVT2" s="1825"/>
      <c r="JVU2" s="1825"/>
      <c r="JVV2" s="1825"/>
      <c r="JVW2" s="1825"/>
      <c r="JVX2" s="1825"/>
      <c r="JVY2" s="1825"/>
      <c r="JVZ2" s="1825"/>
      <c r="JWA2" s="1825"/>
      <c r="JWB2" s="1825"/>
      <c r="JWC2" s="1825"/>
      <c r="JWD2" s="1825"/>
      <c r="JWE2" s="1825"/>
      <c r="JWF2" s="1825"/>
      <c r="JWG2" s="1825"/>
      <c r="JWH2" s="1825"/>
      <c r="JWI2" s="1825"/>
      <c r="JWJ2" s="1825"/>
      <c r="JWK2" s="1825"/>
      <c r="JWL2" s="1825"/>
      <c r="JWM2" s="1825"/>
      <c r="JWN2" s="1825"/>
      <c r="JWO2" s="1825"/>
      <c r="JWP2" s="1825"/>
      <c r="JWQ2" s="1825"/>
      <c r="JWR2" s="1825"/>
      <c r="JWS2" s="1825"/>
      <c r="JWT2" s="1825"/>
      <c r="JWU2" s="1825"/>
      <c r="JWV2" s="1825"/>
      <c r="JWW2" s="1825"/>
      <c r="JWX2" s="1825"/>
      <c r="JWY2" s="1825"/>
      <c r="JWZ2" s="1825"/>
      <c r="JXA2" s="1825"/>
      <c r="JXB2" s="1825"/>
      <c r="JXC2" s="1825"/>
      <c r="JXD2" s="1825"/>
      <c r="JXE2" s="1825"/>
      <c r="JXF2" s="1825"/>
      <c r="JXG2" s="1825"/>
      <c r="JXH2" s="1825"/>
      <c r="JXI2" s="1825"/>
      <c r="JXJ2" s="1825"/>
      <c r="JXK2" s="1825"/>
      <c r="JXL2" s="1825"/>
      <c r="JXM2" s="1825"/>
      <c r="JXN2" s="1825"/>
      <c r="JXO2" s="1825"/>
      <c r="JXP2" s="1825"/>
      <c r="JXQ2" s="1825"/>
      <c r="JXR2" s="1825"/>
      <c r="JXS2" s="1825"/>
      <c r="JXT2" s="1825"/>
      <c r="JXU2" s="1825"/>
      <c r="JXV2" s="1825"/>
      <c r="JXW2" s="1825"/>
      <c r="JXX2" s="1825"/>
      <c r="JXY2" s="1825"/>
      <c r="JXZ2" s="1825"/>
      <c r="JYA2" s="1825"/>
      <c r="JYB2" s="1825"/>
      <c r="JYC2" s="1825"/>
      <c r="JYD2" s="1825"/>
      <c r="JYE2" s="1825"/>
      <c r="JYF2" s="1825"/>
      <c r="JYG2" s="1825"/>
      <c r="JYH2" s="1825"/>
      <c r="JYI2" s="1825"/>
      <c r="JYJ2" s="1825"/>
      <c r="JYK2" s="1825"/>
      <c r="JYL2" s="1825"/>
      <c r="JYM2" s="1825"/>
      <c r="JYN2" s="1825"/>
      <c r="JYO2" s="1825"/>
      <c r="JYP2" s="1825"/>
      <c r="JYQ2" s="1825"/>
      <c r="JYR2" s="1825"/>
      <c r="JYS2" s="1825"/>
      <c r="JYT2" s="1825"/>
      <c r="JYU2" s="1825"/>
      <c r="JYV2" s="1825"/>
      <c r="JYW2" s="1825"/>
      <c r="JYX2" s="1825"/>
      <c r="JYY2" s="1825"/>
      <c r="JYZ2" s="1825"/>
      <c r="JZA2" s="1825"/>
      <c r="JZB2" s="1825"/>
      <c r="JZC2" s="1825"/>
      <c r="JZD2" s="1825"/>
      <c r="JZE2" s="1825"/>
      <c r="JZF2" s="1825"/>
      <c r="JZG2" s="1825"/>
      <c r="JZH2" s="1825"/>
      <c r="JZI2" s="1825"/>
      <c r="JZJ2" s="1825"/>
      <c r="JZK2" s="1825"/>
      <c r="JZL2" s="1825"/>
      <c r="JZM2" s="1825"/>
      <c r="JZN2" s="1825"/>
      <c r="JZO2" s="1825"/>
      <c r="JZP2" s="1825"/>
      <c r="JZQ2" s="1825"/>
      <c r="JZR2" s="1825"/>
      <c r="JZS2" s="1825"/>
      <c r="JZT2" s="1825"/>
      <c r="JZU2" s="1825"/>
      <c r="JZV2" s="1825"/>
      <c r="JZW2" s="1825"/>
      <c r="JZX2" s="1825"/>
      <c r="JZY2" s="1825"/>
      <c r="JZZ2" s="1825"/>
      <c r="KAA2" s="1825"/>
      <c r="KAB2" s="1825"/>
      <c r="KAC2" s="1825"/>
      <c r="KAD2" s="1825"/>
      <c r="KAE2" s="1825"/>
      <c r="KAF2" s="1825"/>
      <c r="KAG2" s="1825"/>
      <c r="KAH2" s="1825"/>
      <c r="KAI2" s="1825"/>
      <c r="KAJ2" s="1825"/>
      <c r="KAK2" s="1825"/>
      <c r="KAL2" s="1825"/>
      <c r="KAM2" s="1825"/>
      <c r="KAN2" s="1825"/>
      <c r="KAO2" s="1825"/>
      <c r="KAP2" s="1825"/>
      <c r="KAQ2" s="1825"/>
      <c r="KAR2" s="1825"/>
      <c r="KAS2" s="1825"/>
      <c r="KAT2" s="1825"/>
      <c r="KAU2" s="1825"/>
      <c r="KAV2" s="1825"/>
      <c r="KAW2" s="1825"/>
      <c r="KAX2" s="1825"/>
      <c r="KAY2" s="1825"/>
      <c r="KAZ2" s="1825"/>
      <c r="KBA2" s="1825"/>
      <c r="KBB2" s="1825"/>
      <c r="KBC2" s="1825"/>
      <c r="KBD2" s="1825"/>
      <c r="KBE2" s="1825"/>
      <c r="KBF2" s="1825"/>
      <c r="KBG2" s="1825"/>
      <c r="KBH2" s="1825"/>
      <c r="KBI2" s="1825"/>
      <c r="KBJ2" s="1825"/>
      <c r="KBK2" s="1825"/>
      <c r="KBL2" s="1825"/>
      <c r="KBM2" s="1825"/>
      <c r="KBN2" s="1825"/>
      <c r="KBO2" s="1825"/>
      <c r="KBP2" s="1825"/>
      <c r="KBQ2" s="1825"/>
      <c r="KBR2" s="1825"/>
      <c r="KBS2" s="1825"/>
      <c r="KBT2" s="1825"/>
      <c r="KBU2" s="1825"/>
      <c r="KBV2" s="1825"/>
      <c r="KBW2" s="1825"/>
      <c r="KBX2" s="1825"/>
      <c r="KBY2" s="1825"/>
      <c r="KBZ2" s="1825"/>
      <c r="KCA2" s="1825"/>
      <c r="KCB2" s="1825"/>
      <c r="KCC2" s="1825"/>
      <c r="KCD2" s="1825"/>
      <c r="KCE2" s="1825"/>
      <c r="KCF2" s="1825"/>
      <c r="KCG2" s="1825"/>
      <c r="KCH2" s="1825"/>
      <c r="KCI2" s="1825"/>
      <c r="KCJ2" s="1825"/>
      <c r="KCK2" s="1825"/>
      <c r="KCL2" s="1825"/>
      <c r="KCM2" s="1825"/>
      <c r="KCN2" s="1825"/>
      <c r="KCO2" s="1825"/>
      <c r="KCP2" s="1825"/>
      <c r="KCQ2" s="1825"/>
      <c r="KCR2" s="1825"/>
      <c r="KCS2" s="1825"/>
      <c r="KCT2" s="1825"/>
      <c r="KCU2" s="1825"/>
      <c r="KCV2" s="1825"/>
      <c r="KCW2" s="1825"/>
      <c r="KCX2" s="1825"/>
      <c r="KCY2" s="1825"/>
      <c r="KCZ2" s="1825"/>
      <c r="KDA2" s="1825"/>
      <c r="KDB2" s="1825"/>
      <c r="KDC2" s="1825"/>
      <c r="KDD2" s="1825"/>
      <c r="KDE2" s="1825"/>
      <c r="KDF2" s="1825"/>
      <c r="KDG2" s="1825"/>
      <c r="KDH2" s="1825"/>
      <c r="KDI2" s="1825"/>
      <c r="KDJ2" s="1825"/>
      <c r="KDK2" s="1825"/>
      <c r="KDL2" s="1825"/>
      <c r="KDM2" s="1825"/>
      <c r="KDN2" s="1825"/>
      <c r="KDO2" s="1825"/>
      <c r="KDP2" s="1825"/>
      <c r="KDQ2" s="1825"/>
      <c r="KDR2" s="1825"/>
      <c r="KDS2" s="1825"/>
      <c r="KDT2" s="1825"/>
      <c r="KDU2" s="1825"/>
      <c r="KDV2" s="1825"/>
      <c r="KDW2" s="1825"/>
      <c r="KDX2" s="1825"/>
      <c r="KDY2" s="1825"/>
      <c r="KDZ2" s="1825"/>
      <c r="KEA2" s="1825"/>
      <c r="KEB2" s="1825"/>
      <c r="KEC2" s="1825"/>
      <c r="KED2" s="1825"/>
      <c r="KEE2" s="1825"/>
      <c r="KEF2" s="1825"/>
      <c r="KEG2" s="1825"/>
      <c r="KEH2" s="1825"/>
      <c r="KEI2" s="1825"/>
      <c r="KEJ2" s="1825"/>
      <c r="KEK2" s="1825"/>
      <c r="KEL2" s="1825"/>
      <c r="KEM2" s="1825"/>
      <c r="KEN2" s="1825"/>
      <c r="KEO2" s="1825"/>
      <c r="KEP2" s="1825"/>
      <c r="KEQ2" s="1825"/>
      <c r="KER2" s="1825"/>
      <c r="KES2" s="1825"/>
      <c r="KET2" s="1825"/>
      <c r="KEU2" s="1825"/>
      <c r="KEV2" s="1825"/>
      <c r="KEW2" s="1825"/>
      <c r="KEX2" s="1825"/>
      <c r="KEY2" s="1825"/>
      <c r="KEZ2" s="1825"/>
      <c r="KFA2" s="1825"/>
      <c r="KFB2" s="1825"/>
      <c r="KFC2" s="1825"/>
      <c r="KFD2" s="1825"/>
      <c r="KFE2" s="1825"/>
      <c r="KFF2" s="1825"/>
      <c r="KFG2" s="1825"/>
      <c r="KFH2" s="1825"/>
      <c r="KFI2" s="1825"/>
      <c r="KFJ2" s="1825"/>
      <c r="KFK2" s="1825"/>
      <c r="KFL2" s="1825"/>
      <c r="KFM2" s="1825"/>
      <c r="KFN2" s="1825"/>
      <c r="KFO2" s="1825"/>
      <c r="KFP2" s="1825"/>
      <c r="KFQ2" s="1825"/>
      <c r="KFR2" s="1825"/>
      <c r="KFS2" s="1825"/>
      <c r="KFT2" s="1825"/>
      <c r="KFU2" s="1825"/>
      <c r="KFV2" s="1825"/>
      <c r="KFW2" s="1825"/>
      <c r="KFX2" s="1825"/>
      <c r="KFY2" s="1825"/>
      <c r="KFZ2" s="1825"/>
      <c r="KGA2" s="1825"/>
      <c r="KGB2" s="1825"/>
      <c r="KGC2" s="1825"/>
      <c r="KGD2" s="1825"/>
      <c r="KGE2" s="1825"/>
      <c r="KGF2" s="1825"/>
      <c r="KGG2" s="1825"/>
      <c r="KGH2" s="1825"/>
      <c r="KGI2" s="1825"/>
      <c r="KGJ2" s="1825"/>
      <c r="KGK2" s="1825"/>
      <c r="KGL2" s="1825"/>
      <c r="KGM2" s="1825"/>
      <c r="KGN2" s="1825"/>
      <c r="KGO2" s="1825"/>
      <c r="KGP2" s="1825"/>
      <c r="KGQ2" s="1825"/>
      <c r="KGR2" s="1825"/>
      <c r="KGS2" s="1825"/>
      <c r="KGT2" s="1825"/>
      <c r="KGU2" s="1825"/>
      <c r="KGV2" s="1825"/>
      <c r="KGW2" s="1825"/>
      <c r="KGX2" s="1825"/>
      <c r="KGY2" s="1825"/>
      <c r="KGZ2" s="1825"/>
      <c r="KHA2" s="1825"/>
      <c r="KHB2" s="1825"/>
      <c r="KHC2" s="1825"/>
      <c r="KHD2" s="1825"/>
      <c r="KHE2" s="1825"/>
      <c r="KHF2" s="1825"/>
      <c r="KHG2" s="1825"/>
      <c r="KHH2" s="1825"/>
      <c r="KHI2" s="1825"/>
      <c r="KHJ2" s="1825"/>
      <c r="KHK2" s="1825"/>
      <c r="KHL2" s="1825"/>
      <c r="KHM2" s="1825"/>
      <c r="KHN2" s="1825"/>
      <c r="KHO2" s="1825"/>
      <c r="KHP2" s="1825"/>
      <c r="KHQ2" s="1825"/>
      <c r="KHR2" s="1825"/>
      <c r="KHS2" s="1825"/>
      <c r="KHT2" s="1825"/>
      <c r="KHU2" s="1825"/>
      <c r="KHV2" s="1825"/>
      <c r="KHW2" s="1825"/>
      <c r="KHX2" s="1825"/>
      <c r="KHY2" s="1825"/>
      <c r="KHZ2" s="1825"/>
      <c r="KIA2" s="1825"/>
      <c r="KIB2" s="1825"/>
      <c r="KIC2" s="1825"/>
      <c r="KID2" s="1825"/>
      <c r="KIE2" s="1825"/>
      <c r="KIF2" s="1825"/>
      <c r="KIG2" s="1825"/>
      <c r="KIH2" s="1825"/>
      <c r="KII2" s="1825"/>
      <c r="KIJ2" s="1825"/>
      <c r="KIK2" s="1825"/>
      <c r="KIL2" s="1825"/>
      <c r="KIM2" s="1825"/>
      <c r="KIN2" s="1825"/>
      <c r="KIO2" s="1825"/>
      <c r="KIP2" s="1825"/>
      <c r="KIQ2" s="1825"/>
      <c r="KIR2" s="1825"/>
      <c r="KIS2" s="1825"/>
      <c r="KIT2" s="1825"/>
      <c r="KIU2" s="1825"/>
      <c r="KIV2" s="1825"/>
      <c r="KIW2" s="1825"/>
      <c r="KIX2" s="1825"/>
      <c r="KIY2" s="1825"/>
      <c r="KIZ2" s="1825"/>
      <c r="KJA2" s="1825"/>
      <c r="KJB2" s="1825"/>
      <c r="KJC2" s="1825"/>
      <c r="KJD2" s="1825"/>
      <c r="KJE2" s="1825"/>
      <c r="KJF2" s="1825"/>
      <c r="KJG2" s="1825"/>
      <c r="KJH2" s="1825"/>
      <c r="KJI2" s="1825"/>
      <c r="KJJ2" s="1825"/>
      <c r="KJK2" s="1825"/>
      <c r="KJL2" s="1825"/>
      <c r="KJM2" s="1825"/>
      <c r="KJN2" s="1825"/>
      <c r="KJO2" s="1825"/>
      <c r="KJP2" s="1825"/>
      <c r="KJQ2" s="1825"/>
      <c r="KJR2" s="1825"/>
      <c r="KJS2" s="1825"/>
      <c r="KJT2" s="1825"/>
      <c r="KJU2" s="1825"/>
      <c r="KJV2" s="1825"/>
      <c r="KJW2" s="1825"/>
      <c r="KJX2" s="1825"/>
      <c r="KJY2" s="1825"/>
      <c r="KJZ2" s="1825"/>
      <c r="KKA2" s="1825"/>
      <c r="KKB2" s="1825"/>
      <c r="KKC2" s="1825"/>
      <c r="KKD2" s="1825"/>
      <c r="KKE2" s="1825"/>
      <c r="KKF2" s="1825"/>
      <c r="KKG2" s="1825"/>
      <c r="KKH2" s="1825"/>
      <c r="KKI2" s="1825"/>
      <c r="KKJ2" s="1825"/>
      <c r="KKK2" s="1825"/>
      <c r="KKL2" s="1825"/>
      <c r="KKM2" s="1825"/>
      <c r="KKN2" s="1825"/>
      <c r="KKO2" s="1825"/>
      <c r="KKP2" s="1825"/>
      <c r="KKQ2" s="1825"/>
      <c r="KKR2" s="1825"/>
      <c r="KKS2" s="1825"/>
      <c r="KKT2" s="1825"/>
      <c r="KKU2" s="1825"/>
      <c r="KKV2" s="1825"/>
      <c r="KKW2" s="1825"/>
      <c r="KKX2" s="1825"/>
      <c r="KKY2" s="1825"/>
      <c r="KKZ2" s="1825"/>
      <c r="KLA2" s="1825"/>
      <c r="KLB2" s="1825"/>
      <c r="KLC2" s="1825"/>
      <c r="KLD2" s="1825"/>
      <c r="KLE2" s="1825"/>
      <c r="KLF2" s="1825"/>
      <c r="KLG2" s="1825"/>
      <c r="KLH2" s="1825"/>
      <c r="KLI2" s="1825"/>
      <c r="KLJ2" s="1825"/>
      <c r="KLK2" s="1825"/>
      <c r="KLL2" s="1825"/>
      <c r="KLM2" s="1825"/>
      <c r="KLN2" s="1825"/>
      <c r="KLO2" s="1825"/>
      <c r="KLP2" s="1825"/>
      <c r="KLQ2" s="1825"/>
      <c r="KLR2" s="1825"/>
      <c r="KLS2" s="1825"/>
      <c r="KLT2" s="1825"/>
      <c r="KLU2" s="1825"/>
      <c r="KLV2" s="1825"/>
      <c r="KLW2" s="1825"/>
      <c r="KLX2" s="1825"/>
      <c r="KLY2" s="1825"/>
      <c r="KLZ2" s="1825"/>
      <c r="KMA2" s="1825"/>
      <c r="KMB2" s="1825"/>
      <c r="KMC2" s="1825"/>
      <c r="KMD2" s="1825"/>
      <c r="KME2" s="1825"/>
      <c r="KMF2" s="1825"/>
      <c r="KMG2" s="1825"/>
      <c r="KMH2" s="1825"/>
      <c r="KMI2" s="1825"/>
      <c r="KMJ2" s="1825"/>
      <c r="KMK2" s="1825"/>
      <c r="KML2" s="1825"/>
      <c r="KMM2" s="1825"/>
      <c r="KMN2" s="1825"/>
      <c r="KMO2" s="1825"/>
      <c r="KMP2" s="1825"/>
      <c r="KMQ2" s="1825"/>
      <c r="KMR2" s="1825"/>
      <c r="KMS2" s="1825"/>
      <c r="KMT2" s="1825"/>
      <c r="KMU2" s="1825"/>
      <c r="KMV2" s="1825"/>
      <c r="KMW2" s="1825"/>
      <c r="KMX2" s="1825"/>
      <c r="KMY2" s="1825"/>
      <c r="KMZ2" s="1825"/>
      <c r="KNA2" s="1825"/>
      <c r="KNB2" s="1825"/>
      <c r="KNC2" s="1825"/>
      <c r="KND2" s="1825"/>
      <c r="KNE2" s="1825"/>
      <c r="KNF2" s="1825"/>
      <c r="KNG2" s="1825"/>
      <c r="KNH2" s="1825"/>
      <c r="KNI2" s="1825"/>
      <c r="KNJ2" s="1825"/>
      <c r="KNK2" s="1825"/>
      <c r="KNL2" s="1825"/>
      <c r="KNM2" s="1825"/>
      <c r="KNN2" s="1825"/>
      <c r="KNO2" s="1825"/>
      <c r="KNP2" s="1825"/>
      <c r="KNQ2" s="1825"/>
      <c r="KNR2" s="1825"/>
      <c r="KNS2" s="1825"/>
      <c r="KNT2" s="1825"/>
      <c r="KNU2" s="1825"/>
      <c r="KNV2" s="1825"/>
      <c r="KNW2" s="1825"/>
      <c r="KNX2" s="1825"/>
      <c r="KNY2" s="1825"/>
      <c r="KNZ2" s="1825"/>
      <c r="KOA2" s="1825"/>
      <c r="KOB2" s="1825"/>
      <c r="KOC2" s="1825"/>
      <c r="KOD2" s="1825"/>
      <c r="KOE2" s="1825"/>
      <c r="KOF2" s="1825"/>
      <c r="KOG2" s="1825"/>
      <c r="KOH2" s="1825"/>
      <c r="KOI2" s="1825"/>
      <c r="KOJ2" s="1825"/>
      <c r="KOK2" s="1825"/>
      <c r="KOL2" s="1825"/>
      <c r="KOM2" s="1825"/>
      <c r="KON2" s="1825"/>
      <c r="KOO2" s="1825"/>
      <c r="KOP2" s="1825"/>
      <c r="KOQ2" s="1825"/>
      <c r="KOR2" s="1825"/>
      <c r="KOS2" s="1825"/>
      <c r="KOT2" s="1825"/>
      <c r="KOU2" s="1825"/>
      <c r="KOV2" s="1825"/>
      <c r="KOW2" s="1825"/>
      <c r="KOX2" s="1825"/>
      <c r="KOY2" s="1825"/>
      <c r="KOZ2" s="1825"/>
      <c r="KPA2" s="1825"/>
      <c r="KPB2" s="1825"/>
      <c r="KPC2" s="1825"/>
      <c r="KPD2" s="1825"/>
      <c r="KPE2" s="1825"/>
      <c r="KPF2" s="1825"/>
      <c r="KPG2" s="1825"/>
      <c r="KPH2" s="1825"/>
      <c r="KPI2" s="1825"/>
      <c r="KPJ2" s="1825"/>
      <c r="KPK2" s="1825"/>
      <c r="KPL2" s="1825"/>
      <c r="KPM2" s="1825"/>
      <c r="KPN2" s="1825"/>
      <c r="KPO2" s="1825"/>
      <c r="KPP2" s="1825"/>
      <c r="KPQ2" s="1825"/>
      <c r="KPR2" s="1825"/>
      <c r="KPS2" s="1825"/>
      <c r="KPT2" s="1825"/>
      <c r="KPU2" s="1825"/>
      <c r="KPV2" s="1825"/>
      <c r="KPW2" s="1825"/>
      <c r="KPX2" s="1825"/>
      <c r="KPY2" s="1825"/>
      <c r="KPZ2" s="1825"/>
      <c r="KQA2" s="1825"/>
      <c r="KQB2" s="1825"/>
      <c r="KQC2" s="1825"/>
      <c r="KQD2" s="1825"/>
      <c r="KQE2" s="1825"/>
      <c r="KQF2" s="1825"/>
      <c r="KQG2" s="1825"/>
      <c r="KQH2" s="1825"/>
      <c r="KQI2" s="1825"/>
      <c r="KQJ2" s="1825"/>
      <c r="KQK2" s="1825"/>
      <c r="KQL2" s="1825"/>
      <c r="KQM2" s="1825"/>
      <c r="KQN2" s="1825"/>
      <c r="KQO2" s="1825"/>
      <c r="KQP2" s="1825"/>
      <c r="KQQ2" s="1825"/>
      <c r="KQR2" s="1825"/>
      <c r="KQS2" s="1825"/>
      <c r="KQT2" s="1825"/>
      <c r="KQU2" s="1825"/>
      <c r="KQV2" s="1825"/>
      <c r="KQW2" s="1825"/>
      <c r="KQX2" s="1825"/>
      <c r="KQY2" s="1825"/>
      <c r="KQZ2" s="1825"/>
      <c r="KRA2" s="1825"/>
      <c r="KRB2" s="1825"/>
      <c r="KRC2" s="1825"/>
      <c r="KRD2" s="1825"/>
      <c r="KRE2" s="1825"/>
      <c r="KRF2" s="1825"/>
      <c r="KRG2" s="1825"/>
      <c r="KRH2" s="1825"/>
      <c r="KRI2" s="1825"/>
      <c r="KRJ2" s="1825"/>
      <c r="KRK2" s="1825"/>
      <c r="KRL2" s="1825"/>
      <c r="KRM2" s="1825"/>
      <c r="KRN2" s="1825"/>
      <c r="KRO2" s="1825"/>
      <c r="KRP2" s="1825"/>
      <c r="KRQ2" s="1825"/>
      <c r="KRR2" s="1825"/>
      <c r="KRS2" s="1825"/>
      <c r="KRT2" s="1825"/>
      <c r="KRU2" s="1825"/>
      <c r="KRV2" s="1825"/>
      <c r="KRW2" s="1825"/>
      <c r="KRX2" s="1825"/>
      <c r="KRY2" s="1825"/>
      <c r="KRZ2" s="1825"/>
      <c r="KSA2" s="1825"/>
      <c r="KSB2" s="1825"/>
      <c r="KSC2" s="1825"/>
      <c r="KSD2" s="1825"/>
      <c r="KSE2" s="1825"/>
      <c r="KSF2" s="1825"/>
      <c r="KSG2" s="1825"/>
      <c r="KSH2" s="1825"/>
      <c r="KSI2" s="1825"/>
      <c r="KSJ2" s="1825"/>
      <c r="KSK2" s="1825"/>
      <c r="KSL2" s="1825"/>
      <c r="KSM2" s="1825"/>
      <c r="KSN2" s="1825"/>
      <c r="KSO2" s="1825"/>
      <c r="KSP2" s="1825"/>
      <c r="KSQ2" s="1825"/>
      <c r="KSR2" s="1825"/>
      <c r="KSS2" s="1825"/>
      <c r="KST2" s="1825"/>
      <c r="KSU2" s="1825"/>
      <c r="KSV2" s="1825"/>
      <c r="KSW2" s="1825"/>
      <c r="KSX2" s="1825"/>
      <c r="KSY2" s="1825"/>
      <c r="KSZ2" s="1825"/>
      <c r="KTA2" s="1825"/>
      <c r="KTB2" s="1825"/>
      <c r="KTC2" s="1825"/>
      <c r="KTD2" s="1825"/>
      <c r="KTE2" s="1825"/>
      <c r="KTF2" s="1825"/>
      <c r="KTG2" s="1825"/>
      <c r="KTH2" s="1825"/>
      <c r="KTI2" s="1825"/>
      <c r="KTJ2" s="1825"/>
      <c r="KTK2" s="1825"/>
      <c r="KTL2" s="1825"/>
      <c r="KTM2" s="1825"/>
      <c r="KTN2" s="1825"/>
      <c r="KTO2" s="1825"/>
      <c r="KTP2" s="1825"/>
      <c r="KTQ2" s="1825"/>
      <c r="KTR2" s="1825"/>
      <c r="KTS2" s="1825"/>
      <c r="KTT2" s="1825"/>
      <c r="KTU2" s="1825"/>
      <c r="KTV2" s="1825"/>
      <c r="KTW2" s="1825"/>
      <c r="KTX2" s="1825"/>
      <c r="KTY2" s="1825"/>
      <c r="KTZ2" s="1825"/>
      <c r="KUA2" s="1825"/>
      <c r="KUB2" s="1825"/>
      <c r="KUC2" s="1825"/>
      <c r="KUD2" s="1825"/>
      <c r="KUE2" s="1825"/>
      <c r="KUF2" s="1825"/>
      <c r="KUG2" s="1825"/>
      <c r="KUH2" s="1825"/>
      <c r="KUI2" s="1825"/>
      <c r="KUJ2" s="1825"/>
      <c r="KUK2" s="1825"/>
      <c r="KUL2" s="1825"/>
      <c r="KUM2" s="1825"/>
      <c r="KUN2" s="1825"/>
      <c r="KUO2" s="1825"/>
      <c r="KUP2" s="1825"/>
      <c r="KUQ2" s="1825"/>
      <c r="KUR2" s="1825"/>
      <c r="KUS2" s="1825"/>
      <c r="KUT2" s="1825"/>
      <c r="KUU2" s="1825"/>
      <c r="KUV2" s="1825"/>
      <c r="KUW2" s="1825"/>
      <c r="KUX2" s="1825"/>
      <c r="KUY2" s="1825"/>
      <c r="KUZ2" s="1825"/>
      <c r="KVA2" s="1825"/>
      <c r="KVB2" s="1825"/>
      <c r="KVC2" s="1825"/>
      <c r="KVD2" s="1825"/>
      <c r="KVE2" s="1825"/>
      <c r="KVF2" s="1825"/>
      <c r="KVG2" s="1825"/>
      <c r="KVH2" s="1825"/>
      <c r="KVI2" s="1825"/>
      <c r="KVJ2" s="1825"/>
      <c r="KVK2" s="1825"/>
      <c r="KVL2" s="1825"/>
      <c r="KVM2" s="1825"/>
      <c r="KVN2" s="1825"/>
      <c r="KVO2" s="1825"/>
      <c r="KVP2" s="1825"/>
      <c r="KVQ2" s="1825"/>
      <c r="KVR2" s="1825"/>
      <c r="KVS2" s="1825"/>
      <c r="KVT2" s="1825"/>
      <c r="KVU2" s="1825"/>
      <c r="KVV2" s="1825"/>
      <c r="KVW2" s="1825"/>
      <c r="KVX2" s="1825"/>
      <c r="KVY2" s="1825"/>
      <c r="KVZ2" s="1825"/>
      <c r="KWA2" s="1825"/>
      <c r="KWB2" s="1825"/>
      <c r="KWC2" s="1825"/>
      <c r="KWD2" s="1825"/>
      <c r="KWE2" s="1825"/>
      <c r="KWF2" s="1825"/>
      <c r="KWG2" s="1825"/>
      <c r="KWH2" s="1825"/>
      <c r="KWI2" s="1825"/>
      <c r="KWJ2" s="1825"/>
      <c r="KWK2" s="1825"/>
      <c r="KWL2" s="1825"/>
      <c r="KWM2" s="1825"/>
      <c r="KWN2" s="1825"/>
      <c r="KWO2" s="1825"/>
      <c r="KWP2" s="1825"/>
      <c r="KWQ2" s="1825"/>
      <c r="KWR2" s="1825"/>
      <c r="KWS2" s="1825"/>
      <c r="KWT2" s="1825"/>
      <c r="KWU2" s="1825"/>
      <c r="KWV2" s="1825"/>
      <c r="KWW2" s="1825"/>
      <c r="KWX2" s="1825"/>
      <c r="KWY2" s="1825"/>
      <c r="KWZ2" s="1825"/>
      <c r="KXA2" s="1825"/>
      <c r="KXB2" s="1825"/>
      <c r="KXC2" s="1825"/>
      <c r="KXD2" s="1825"/>
      <c r="KXE2" s="1825"/>
      <c r="KXF2" s="1825"/>
      <c r="KXG2" s="1825"/>
      <c r="KXH2" s="1825"/>
      <c r="KXI2" s="1825"/>
      <c r="KXJ2" s="1825"/>
      <c r="KXK2" s="1825"/>
      <c r="KXL2" s="1825"/>
      <c r="KXM2" s="1825"/>
      <c r="KXN2" s="1825"/>
      <c r="KXO2" s="1825"/>
      <c r="KXP2" s="1825"/>
      <c r="KXQ2" s="1825"/>
      <c r="KXR2" s="1825"/>
      <c r="KXS2" s="1825"/>
      <c r="KXT2" s="1825"/>
      <c r="KXU2" s="1825"/>
      <c r="KXV2" s="1825"/>
      <c r="KXW2" s="1825"/>
      <c r="KXX2" s="1825"/>
      <c r="KXY2" s="1825"/>
      <c r="KXZ2" s="1825"/>
      <c r="KYA2" s="1825"/>
      <c r="KYB2" s="1825"/>
      <c r="KYC2" s="1825"/>
      <c r="KYD2" s="1825"/>
      <c r="KYE2" s="1825"/>
      <c r="KYF2" s="1825"/>
      <c r="KYG2" s="1825"/>
      <c r="KYH2" s="1825"/>
      <c r="KYI2" s="1825"/>
      <c r="KYJ2" s="1825"/>
      <c r="KYK2" s="1825"/>
      <c r="KYL2" s="1825"/>
      <c r="KYM2" s="1825"/>
      <c r="KYN2" s="1825"/>
      <c r="KYO2" s="1825"/>
      <c r="KYP2" s="1825"/>
      <c r="KYQ2" s="1825"/>
      <c r="KYR2" s="1825"/>
      <c r="KYS2" s="1825"/>
      <c r="KYT2" s="1825"/>
      <c r="KYU2" s="1825"/>
      <c r="KYV2" s="1825"/>
      <c r="KYW2" s="1825"/>
      <c r="KYX2" s="1825"/>
      <c r="KYY2" s="1825"/>
      <c r="KYZ2" s="1825"/>
      <c r="KZA2" s="1825"/>
      <c r="KZB2" s="1825"/>
      <c r="KZC2" s="1825"/>
      <c r="KZD2" s="1825"/>
      <c r="KZE2" s="1825"/>
      <c r="KZF2" s="1825"/>
      <c r="KZG2" s="1825"/>
      <c r="KZH2" s="1825"/>
      <c r="KZI2" s="1825"/>
      <c r="KZJ2" s="1825"/>
      <c r="KZK2" s="1825"/>
      <c r="KZL2" s="1825"/>
      <c r="KZM2" s="1825"/>
      <c r="KZN2" s="1825"/>
      <c r="KZO2" s="1825"/>
      <c r="KZP2" s="1825"/>
      <c r="KZQ2" s="1825"/>
      <c r="KZR2" s="1825"/>
      <c r="KZS2" s="1825"/>
      <c r="KZT2" s="1825"/>
      <c r="KZU2" s="1825"/>
      <c r="KZV2" s="1825"/>
      <c r="KZW2" s="1825"/>
      <c r="KZX2" s="1825"/>
      <c r="KZY2" s="1825"/>
      <c r="KZZ2" s="1825"/>
      <c r="LAA2" s="1825"/>
      <c r="LAB2" s="1825"/>
      <c r="LAC2" s="1825"/>
      <c r="LAD2" s="1825"/>
      <c r="LAE2" s="1825"/>
      <c r="LAF2" s="1825"/>
      <c r="LAG2" s="1825"/>
      <c r="LAH2" s="1825"/>
      <c r="LAI2" s="1825"/>
      <c r="LAJ2" s="1825"/>
      <c r="LAK2" s="1825"/>
      <c r="LAL2" s="1825"/>
      <c r="LAM2" s="1825"/>
      <c r="LAN2" s="1825"/>
      <c r="LAO2" s="1825"/>
      <c r="LAP2" s="1825"/>
      <c r="LAQ2" s="1825"/>
      <c r="LAR2" s="1825"/>
      <c r="LAS2" s="1825"/>
      <c r="LAT2" s="1825"/>
      <c r="LAU2" s="1825"/>
      <c r="LAV2" s="1825"/>
      <c r="LAW2" s="1825"/>
      <c r="LAX2" s="1825"/>
      <c r="LAY2" s="1825"/>
      <c r="LAZ2" s="1825"/>
      <c r="LBA2" s="1825"/>
      <c r="LBB2" s="1825"/>
      <c r="LBC2" s="1825"/>
      <c r="LBD2" s="1825"/>
      <c r="LBE2" s="1825"/>
      <c r="LBF2" s="1825"/>
      <c r="LBG2" s="1825"/>
      <c r="LBH2" s="1825"/>
      <c r="LBI2" s="1825"/>
      <c r="LBJ2" s="1825"/>
      <c r="LBK2" s="1825"/>
      <c r="LBL2" s="1825"/>
      <c r="LBM2" s="1825"/>
      <c r="LBN2" s="1825"/>
      <c r="LBO2" s="1825"/>
      <c r="LBP2" s="1825"/>
      <c r="LBQ2" s="1825"/>
      <c r="LBR2" s="1825"/>
      <c r="LBS2" s="1825"/>
      <c r="LBT2" s="1825"/>
      <c r="LBU2" s="1825"/>
      <c r="LBV2" s="1825"/>
      <c r="LBW2" s="1825"/>
      <c r="LBX2" s="1825"/>
      <c r="LBY2" s="1825"/>
      <c r="LBZ2" s="1825"/>
      <c r="LCA2" s="1825"/>
      <c r="LCB2" s="1825"/>
      <c r="LCC2" s="1825"/>
      <c r="LCD2" s="1825"/>
      <c r="LCE2" s="1825"/>
      <c r="LCF2" s="1825"/>
      <c r="LCG2" s="1825"/>
      <c r="LCH2" s="1825"/>
      <c r="LCI2" s="1825"/>
      <c r="LCJ2" s="1825"/>
      <c r="LCK2" s="1825"/>
      <c r="LCL2" s="1825"/>
      <c r="LCM2" s="1825"/>
      <c r="LCN2" s="1825"/>
      <c r="LCO2" s="1825"/>
      <c r="LCP2" s="1825"/>
      <c r="LCQ2" s="1825"/>
      <c r="LCR2" s="1825"/>
      <c r="LCS2" s="1825"/>
      <c r="LCT2" s="1825"/>
      <c r="LCU2" s="1825"/>
      <c r="LCV2" s="1825"/>
      <c r="LCW2" s="1825"/>
      <c r="LCX2" s="1825"/>
      <c r="LCY2" s="1825"/>
      <c r="LCZ2" s="1825"/>
      <c r="LDA2" s="1825"/>
      <c r="LDB2" s="1825"/>
      <c r="LDC2" s="1825"/>
      <c r="LDD2" s="1825"/>
      <c r="LDE2" s="1825"/>
      <c r="LDF2" s="1825"/>
      <c r="LDG2" s="1825"/>
      <c r="LDH2" s="1825"/>
      <c r="LDI2" s="1825"/>
      <c r="LDJ2" s="1825"/>
      <c r="LDK2" s="1825"/>
      <c r="LDL2" s="1825"/>
      <c r="LDM2" s="1825"/>
      <c r="LDN2" s="1825"/>
      <c r="LDO2" s="1825"/>
      <c r="LDP2" s="1825"/>
      <c r="LDQ2" s="1825"/>
      <c r="LDR2" s="1825"/>
      <c r="LDS2" s="1825"/>
      <c r="LDT2" s="1825"/>
      <c r="LDU2" s="1825"/>
      <c r="LDV2" s="1825"/>
      <c r="LDW2" s="1825"/>
      <c r="LDX2" s="1825"/>
      <c r="LDY2" s="1825"/>
      <c r="LDZ2" s="1825"/>
      <c r="LEA2" s="1825"/>
      <c r="LEB2" s="1825"/>
      <c r="LEC2" s="1825"/>
      <c r="LED2" s="1825"/>
      <c r="LEE2" s="1825"/>
      <c r="LEF2" s="1825"/>
      <c r="LEG2" s="1825"/>
      <c r="LEH2" s="1825"/>
      <c r="LEI2" s="1825"/>
      <c r="LEJ2" s="1825"/>
      <c r="LEK2" s="1825"/>
      <c r="LEL2" s="1825"/>
      <c r="LEM2" s="1825"/>
      <c r="LEN2" s="1825"/>
      <c r="LEO2" s="1825"/>
      <c r="LEP2" s="1825"/>
      <c r="LEQ2" s="1825"/>
      <c r="LER2" s="1825"/>
      <c r="LES2" s="1825"/>
      <c r="LET2" s="1825"/>
      <c r="LEU2" s="1825"/>
      <c r="LEV2" s="1825"/>
      <c r="LEW2" s="1825"/>
      <c r="LEX2" s="1825"/>
      <c r="LEY2" s="1825"/>
      <c r="LEZ2" s="1825"/>
      <c r="LFA2" s="1825"/>
      <c r="LFB2" s="1825"/>
      <c r="LFC2" s="1825"/>
      <c r="LFD2" s="1825"/>
      <c r="LFE2" s="1825"/>
      <c r="LFF2" s="1825"/>
      <c r="LFG2" s="1825"/>
      <c r="LFH2" s="1825"/>
      <c r="LFI2" s="1825"/>
      <c r="LFJ2" s="1825"/>
      <c r="LFK2" s="1825"/>
      <c r="LFL2" s="1825"/>
      <c r="LFM2" s="1825"/>
      <c r="LFN2" s="1825"/>
      <c r="LFO2" s="1825"/>
      <c r="LFP2" s="1825"/>
      <c r="LFQ2" s="1825"/>
      <c r="LFR2" s="1825"/>
      <c r="LFS2" s="1825"/>
      <c r="LFT2" s="1825"/>
      <c r="LFU2" s="1825"/>
      <c r="LFV2" s="1825"/>
      <c r="LFW2" s="1825"/>
      <c r="LFX2" s="1825"/>
      <c r="LFY2" s="1825"/>
      <c r="LFZ2" s="1825"/>
      <c r="LGA2" s="1825"/>
      <c r="LGB2" s="1825"/>
      <c r="LGC2" s="1825"/>
      <c r="LGD2" s="1825"/>
      <c r="LGE2" s="1825"/>
      <c r="LGF2" s="1825"/>
      <c r="LGG2" s="1825"/>
      <c r="LGH2" s="1825"/>
      <c r="LGI2" s="1825"/>
      <c r="LGJ2" s="1825"/>
      <c r="LGK2" s="1825"/>
      <c r="LGL2" s="1825"/>
      <c r="LGM2" s="1825"/>
      <c r="LGN2" s="1825"/>
      <c r="LGO2" s="1825"/>
      <c r="LGP2" s="1825"/>
      <c r="LGQ2" s="1825"/>
      <c r="LGR2" s="1825"/>
      <c r="LGS2" s="1825"/>
      <c r="LGT2" s="1825"/>
      <c r="LGU2" s="1825"/>
      <c r="LGV2" s="1825"/>
      <c r="LGW2" s="1825"/>
      <c r="LGX2" s="1825"/>
      <c r="LGY2" s="1825"/>
      <c r="LGZ2" s="1825"/>
      <c r="LHA2" s="1825"/>
      <c r="LHB2" s="1825"/>
      <c r="LHC2" s="1825"/>
      <c r="LHD2" s="1825"/>
      <c r="LHE2" s="1825"/>
      <c r="LHF2" s="1825"/>
      <c r="LHG2" s="1825"/>
      <c r="LHH2" s="1825"/>
      <c r="LHI2" s="1825"/>
      <c r="LHJ2" s="1825"/>
      <c r="LHK2" s="1825"/>
      <c r="LHL2" s="1825"/>
      <c r="LHM2" s="1825"/>
      <c r="LHN2" s="1825"/>
      <c r="LHO2" s="1825"/>
      <c r="LHP2" s="1825"/>
      <c r="LHQ2" s="1825"/>
      <c r="LHR2" s="1825"/>
      <c r="LHS2" s="1825"/>
      <c r="LHT2" s="1825"/>
      <c r="LHU2" s="1825"/>
      <c r="LHV2" s="1825"/>
      <c r="LHW2" s="1825"/>
      <c r="LHX2" s="1825"/>
      <c r="LHY2" s="1825"/>
      <c r="LHZ2" s="1825"/>
      <c r="LIA2" s="1825"/>
      <c r="LIB2" s="1825"/>
      <c r="LIC2" s="1825"/>
      <c r="LID2" s="1825"/>
      <c r="LIE2" s="1825"/>
      <c r="LIF2" s="1825"/>
      <c r="LIG2" s="1825"/>
      <c r="LIH2" s="1825"/>
      <c r="LII2" s="1825"/>
      <c r="LIJ2" s="1825"/>
      <c r="LIK2" s="1825"/>
      <c r="LIL2" s="1825"/>
      <c r="LIM2" s="1825"/>
      <c r="LIN2" s="1825"/>
      <c r="LIO2" s="1825"/>
      <c r="LIP2" s="1825"/>
      <c r="LIQ2" s="1825"/>
      <c r="LIR2" s="1825"/>
      <c r="LIS2" s="1825"/>
      <c r="LIT2" s="1825"/>
      <c r="LIU2" s="1825"/>
      <c r="LIV2" s="1825"/>
      <c r="LIW2" s="1825"/>
      <c r="LIX2" s="1825"/>
      <c r="LIY2" s="1825"/>
      <c r="LIZ2" s="1825"/>
      <c r="LJA2" s="1825"/>
      <c r="LJB2" s="1825"/>
      <c r="LJC2" s="1825"/>
      <c r="LJD2" s="1825"/>
      <c r="LJE2" s="1825"/>
      <c r="LJF2" s="1825"/>
      <c r="LJG2" s="1825"/>
      <c r="LJH2" s="1825"/>
      <c r="LJI2" s="1825"/>
      <c r="LJJ2" s="1825"/>
      <c r="LJK2" s="1825"/>
      <c r="LJL2" s="1825"/>
      <c r="LJM2" s="1825"/>
      <c r="LJN2" s="1825"/>
      <c r="LJO2" s="1825"/>
      <c r="LJP2" s="1825"/>
      <c r="LJQ2" s="1825"/>
      <c r="LJR2" s="1825"/>
      <c r="LJS2" s="1825"/>
      <c r="LJT2" s="1825"/>
      <c r="LJU2" s="1825"/>
      <c r="LJV2" s="1825"/>
      <c r="LJW2" s="1825"/>
      <c r="LJX2" s="1825"/>
      <c r="LJY2" s="1825"/>
      <c r="LJZ2" s="1825"/>
      <c r="LKA2" s="1825"/>
      <c r="LKB2" s="1825"/>
      <c r="LKC2" s="1825"/>
      <c r="LKD2" s="1825"/>
      <c r="LKE2" s="1825"/>
      <c r="LKF2" s="1825"/>
      <c r="LKG2" s="1825"/>
      <c r="LKH2" s="1825"/>
      <c r="LKI2" s="1825"/>
      <c r="LKJ2" s="1825"/>
      <c r="LKK2" s="1825"/>
      <c r="LKL2" s="1825"/>
      <c r="LKM2" s="1825"/>
      <c r="LKN2" s="1825"/>
      <c r="LKO2" s="1825"/>
      <c r="LKP2" s="1825"/>
      <c r="LKQ2" s="1825"/>
      <c r="LKR2" s="1825"/>
      <c r="LKS2" s="1825"/>
      <c r="LKT2" s="1825"/>
      <c r="LKU2" s="1825"/>
      <c r="LKV2" s="1825"/>
      <c r="LKW2" s="1825"/>
      <c r="LKX2" s="1825"/>
      <c r="LKY2" s="1825"/>
      <c r="LKZ2" s="1825"/>
      <c r="LLA2" s="1825"/>
      <c r="LLB2" s="1825"/>
      <c r="LLC2" s="1825"/>
      <c r="LLD2" s="1825"/>
      <c r="LLE2" s="1825"/>
      <c r="LLF2" s="1825"/>
      <c r="LLG2" s="1825"/>
      <c r="LLH2" s="1825"/>
      <c r="LLI2" s="1825"/>
      <c r="LLJ2" s="1825"/>
      <c r="LLK2" s="1825"/>
      <c r="LLL2" s="1825"/>
      <c r="LLM2" s="1825"/>
      <c r="LLN2" s="1825"/>
      <c r="LLO2" s="1825"/>
      <c r="LLP2" s="1825"/>
      <c r="LLQ2" s="1825"/>
      <c r="LLR2" s="1825"/>
      <c r="LLS2" s="1825"/>
      <c r="LLT2" s="1825"/>
      <c r="LLU2" s="1825"/>
      <c r="LLV2" s="1825"/>
      <c r="LLW2" s="1825"/>
      <c r="LLX2" s="1825"/>
      <c r="LLY2" s="1825"/>
      <c r="LLZ2" s="1825"/>
      <c r="LMA2" s="1825"/>
      <c r="LMB2" s="1825"/>
      <c r="LMC2" s="1825"/>
      <c r="LMD2" s="1825"/>
      <c r="LME2" s="1825"/>
      <c r="LMF2" s="1825"/>
      <c r="LMG2" s="1825"/>
      <c r="LMH2" s="1825"/>
      <c r="LMI2" s="1825"/>
      <c r="LMJ2" s="1825"/>
      <c r="LMK2" s="1825"/>
      <c r="LML2" s="1825"/>
      <c r="LMM2" s="1825"/>
      <c r="LMN2" s="1825"/>
      <c r="LMO2" s="1825"/>
      <c r="LMP2" s="1825"/>
      <c r="LMQ2" s="1825"/>
      <c r="LMR2" s="1825"/>
      <c r="LMS2" s="1825"/>
      <c r="LMT2" s="1825"/>
      <c r="LMU2" s="1825"/>
      <c r="LMV2" s="1825"/>
      <c r="LMW2" s="1825"/>
      <c r="LMX2" s="1825"/>
      <c r="LMY2" s="1825"/>
      <c r="LMZ2" s="1825"/>
      <c r="LNA2" s="1825"/>
      <c r="LNB2" s="1825"/>
      <c r="LNC2" s="1825"/>
      <c r="LND2" s="1825"/>
      <c r="LNE2" s="1825"/>
      <c r="LNF2" s="1825"/>
      <c r="LNG2" s="1825"/>
      <c r="LNH2" s="1825"/>
      <c r="LNI2" s="1825"/>
      <c r="LNJ2" s="1825"/>
      <c r="LNK2" s="1825"/>
      <c r="LNL2" s="1825"/>
      <c r="LNM2" s="1825"/>
      <c r="LNN2" s="1825"/>
      <c r="LNO2" s="1825"/>
      <c r="LNP2" s="1825"/>
      <c r="LNQ2" s="1825"/>
      <c r="LNR2" s="1825"/>
      <c r="LNS2" s="1825"/>
      <c r="LNT2" s="1825"/>
      <c r="LNU2" s="1825"/>
      <c r="LNV2" s="1825"/>
      <c r="LNW2" s="1825"/>
      <c r="LNX2" s="1825"/>
      <c r="LNY2" s="1825"/>
      <c r="LNZ2" s="1825"/>
      <c r="LOA2" s="1825"/>
      <c r="LOB2" s="1825"/>
      <c r="LOC2" s="1825"/>
      <c r="LOD2" s="1825"/>
      <c r="LOE2" s="1825"/>
      <c r="LOF2" s="1825"/>
      <c r="LOG2" s="1825"/>
      <c r="LOH2" s="1825"/>
      <c r="LOI2" s="1825"/>
      <c r="LOJ2" s="1825"/>
      <c r="LOK2" s="1825"/>
      <c r="LOL2" s="1825"/>
      <c r="LOM2" s="1825"/>
      <c r="LON2" s="1825"/>
      <c r="LOO2" s="1825"/>
      <c r="LOP2" s="1825"/>
      <c r="LOQ2" s="1825"/>
      <c r="LOR2" s="1825"/>
      <c r="LOS2" s="1825"/>
      <c r="LOT2" s="1825"/>
      <c r="LOU2" s="1825"/>
      <c r="LOV2" s="1825"/>
      <c r="LOW2" s="1825"/>
      <c r="LOX2" s="1825"/>
      <c r="LOY2" s="1825"/>
      <c r="LOZ2" s="1825"/>
      <c r="LPA2" s="1825"/>
      <c r="LPB2" s="1825"/>
      <c r="LPC2" s="1825"/>
      <c r="LPD2" s="1825"/>
      <c r="LPE2" s="1825"/>
      <c r="LPF2" s="1825"/>
      <c r="LPG2" s="1825"/>
      <c r="LPH2" s="1825"/>
      <c r="LPI2" s="1825"/>
      <c r="LPJ2" s="1825"/>
      <c r="LPK2" s="1825"/>
      <c r="LPL2" s="1825"/>
      <c r="LPM2" s="1825"/>
      <c r="LPN2" s="1825"/>
      <c r="LPO2" s="1825"/>
      <c r="LPP2" s="1825"/>
      <c r="LPQ2" s="1825"/>
      <c r="LPR2" s="1825"/>
      <c r="LPS2" s="1825"/>
      <c r="LPT2" s="1825"/>
      <c r="LPU2" s="1825"/>
      <c r="LPV2" s="1825"/>
      <c r="LPW2" s="1825"/>
      <c r="LPX2" s="1825"/>
      <c r="LPY2" s="1825"/>
      <c r="LPZ2" s="1825"/>
      <c r="LQA2" s="1825"/>
      <c r="LQB2" s="1825"/>
      <c r="LQC2" s="1825"/>
      <c r="LQD2" s="1825"/>
      <c r="LQE2" s="1825"/>
      <c r="LQF2" s="1825"/>
      <c r="LQG2" s="1825"/>
      <c r="LQH2" s="1825"/>
      <c r="LQI2" s="1825"/>
      <c r="LQJ2" s="1825"/>
      <c r="LQK2" s="1825"/>
      <c r="LQL2" s="1825"/>
      <c r="LQM2" s="1825"/>
      <c r="LQN2" s="1825"/>
      <c r="LQO2" s="1825"/>
      <c r="LQP2" s="1825"/>
      <c r="LQQ2" s="1825"/>
      <c r="LQR2" s="1825"/>
      <c r="LQS2" s="1825"/>
      <c r="LQT2" s="1825"/>
      <c r="LQU2" s="1825"/>
      <c r="LQV2" s="1825"/>
      <c r="LQW2" s="1825"/>
      <c r="LQX2" s="1825"/>
      <c r="LQY2" s="1825"/>
      <c r="LQZ2" s="1825"/>
      <c r="LRA2" s="1825"/>
      <c r="LRB2" s="1825"/>
      <c r="LRC2" s="1825"/>
      <c r="LRD2" s="1825"/>
      <c r="LRE2" s="1825"/>
      <c r="LRF2" s="1825"/>
      <c r="LRG2" s="1825"/>
      <c r="LRH2" s="1825"/>
      <c r="LRI2" s="1825"/>
      <c r="LRJ2" s="1825"/>
      <c r="LRK2" s="1825"/>
      <c r="LRL2" s="1825"/>
      <c r="LRM2" s="1825"/>
      <c r="LRN2" s="1825"/>
      <c r="LRO2" s="1825"/>
      <c r="LRP2" s="1825"/>
      <c r="LRQ2" s="1825"/>
      <c r="LRR2" s="1825"/>
      <c r="LRS2" s="1825"/>
      <c r="LRT2" s="1825"/>
      <c r="LRU2" s="1825"/>
      <c r="LRV2" s="1825"/>
      <c r="LRW2" s="1825"/>
      <c r="LRX2" s="1825"/>
      <c r="LRY2" s="1825"/>
      <c r="LRZ2" s="1825"/>
      <c r="LSA2" s="1825"/>
      <c r="LSB2" s="1825"/>
      <c r="LSC2" s="1825"/>
      <c r="LSD2" s="1825"/>
      <c r="LSE2" s="1825"/>
      <c r="LSF2" s="1825"/>
      <c r="LSG2" s="1825"/>
      <c r="LSH2" s="1825"/>
      <c r="LSI2" s="1825"/>
      <c r="LSJ2" s="1825"/>
      <c r="LSK2" s="1825"/>
      <c r="LSL2" s="1825"/>
      <c r="LSM2" s="1825"/>
      <c r="LSN2" s="1825"/>
      <c r="LSO2" s="1825"/>
      <c r="LSP2" s="1825"/>
      <c r="LSQ2" s="1825"/>
      <c r="LSR2" s="1825"/>
      <c r="LSS2" s="1825"/>
      <c r="LST2" s="1825"/>
      <c r="LSU2" s="1825"/>
      <c r="LSV2" s="1825"/>
      <c r="LSW2" s="1825"/>
      <c r="LSX2" s="1825"/>
      <c r="LSY2" s="1825"/>
      <c r="LSZ2" s="1825"/>
      <c r="LTA2" s="1825"/>
      <c r="LTB2" s="1825"/>
      <c r="LTC2" s="1825"/>
      <c r="LTD2" s="1825"/>
      <c r="LTE2" s="1825"/>
      <c r="LTF2" s="1825"/>
      <c r="LTG2" s="1825"/>
      <c r="LTH2" s="1825"/>
      <c r="LTI2" s="1825"/>
      <c r="LTJ2" s="1825"/>
      <c r="LTK2" s="1825"/>
      <c r="LTL2" s="1825"/>
      <c r="LTM2" s="1825"/>
      <c r="LTN2" s="1825"/>
      <c r="LTO2" s="1825"/>
      <c r="LTP2" s="1825"/>
      <c r="LTQ2" s="1825"/>
      <c r="LTR2" s="1825"/>
      <c r="LTS2" s="1825"/>
      <c r="LTT2" s="1825"/>
      <c r="LTU2" s="1825"/>
      <c r="LTV2" s="1825"/>
      <c r="LTW2" s="1825"/>
      <c r="LTX2" s="1825"/>
      <c r="LTY2" s="1825"/>
      <c r="LTZ2" s="1825"/>
      <c r="LUA2" s="1825"/>
      <c r="LUB2" s="1825"/>
      <c r="LUC2" s="1825"/>
      <c r="LUD2" s="1825"/>
      <c r="LUE2" s="1825"/>
      <c r="LUF2" s="1825"/>
      <c r="LUG2" s="1825"/>
      <c r="LUH2" s="1825"/>
      <c r="LUI2" s="1825"/>
      <c r="LUJ2" s="1825"/>
      <c r="LUK2" s="1825"/>
      <c r="LUL2" s="1825"/>
      <c r="LUM2" s="1825"/>
      <c r="LUN2" s="1825"/>
      <c r="LUO2" s="1825"/>
      <c r="LUP2" s="1825"/>
      <c r="LUQ2" s="1825"/>
      <c r="LUR2" s="1825"/>
      <c r="LUS2" s="1825"/>
      <c r="LUT2" s="1825"/>
      <c r="LUU2" s="1825"/>
      <c r="LUV2" s="1825"/>
      <c r="LUW2" s="1825"/>
      <c r="LUX2" s="1825"/>
      <c r="LUY2" s="1825"/>
      <c r="LUZ2" s="1825"/>
      <c r="LVA2" s="1825"/>
      <c r="LVB2" s="1825"/>
      <c r="LVC2" s="1825"/>
      <c r="LVD2" s="1825"/>
      <c r="LVE2" s="1825"/>
      <c r="LVF2" s="1825"/>
      <c r="LVG2" s="1825"/>
      <c r="LVH2" s="1825"/>
      <c r="LVI2" s="1825"/>
      <c r="LVJ2" s="1825"/>
      <c r="LVK2" s="1825"/>
      <c r="LVL2" s="1825"/>
      <c r="LVM2" s="1825"/>
      <c r="LVN2" s="1825"/>
      <c r="LVO2" s="1825"/>
      <c r="LVP2" s="1825"/>
      <c r="LVQ2" s="1825"/>
      <c r="LVR2" s="1825"/>
      <c r="LVS2" s="1825"/>
      <c r="LVT2" s="1825"/>
      <c r="LVU2" s="1825"/>
      <c r="LVV2" s="1825"/>
      <c r="LVW2" s="1825"/>
      <c r="LVX2" s="1825"/>
      <c r="LVY2" s="1825"/>
      <c r="LVZ2" s="1825"/>
      <c r="LWA2" s="1825"/>
      <c r="LWB2" s="1825"/>
      <c r="LWC2" s="1825"/>
      <c r="LWD2" s="1825"/>
      <c r="LWE2" s="1825"/>
      <c r="LWF2" s="1825"/>
      <c r="LWG2" s="1825"/>
      <c r="LWH2" s="1825"/>
      <c r="LWI2" s="1825"/>
      <c r="LWJ2" s="1825"/>
      <c r="LWK2" s="1825"/>
      <c r="LWL2" s="1825"/>
      <c r="LWM2" s="1825"/>
      <c r="LWN2" s="1825"/>
      <c r="LWO2" s="1825"/>
      <c r="LWP2" s="1825"/>
      <c r="LWQ2" s="1825"/>
      <c r="LWR2" s="1825"/>
      <c r="LWS2" s="1825"/>
      <c r="LWT2" s="1825"/>
      <c r="LWU2" s="1825"/>
      <c r="LWV2" s="1825"/>
      <c r="LWW2" s="1825"/>
      <c r="LWX2" s="1825"/>
      <c r="LWY2" s="1825"/>
      <c r="LWZ2" s="1825"/>
      <c r="LXA2" s="1825"/>
      <c r="LXB2" s="1825"/>
      <c r="LXC2" s="1825"/>
      <c r="LXD2" s="1825"/>
      <c r="LXE2" s="1825"/>
      <c r="LXF2" s="1825"/>
      <c r="LXG2" s="1825"/>
      <c r="LXH2" s="1825"/>
      <c r="LXI2" s="1825"/>
      <c r="LXJ2" s="1825"/>
      <c r="LXK2" s="1825"/>
      <c r="LXL2" s="1825"/>
      <c r="LXM2" s="1825"/>
      <c r="LXN2" s="1825"/>
      <c r="LXO2" s="1825"/>
      <c r="LXP2" s="1825"/>
      <c r="LXQ2" s="1825"/>
      <c r="LXR2" s="1825"/>
      <c r="LXS2" s="1825"/>
      <c r="LXT2" s="1825"/>
      <c r="LXU2" s="1825"/>
      <c r="LXV2" s="1825"/>
      <c r="LXW2" s="1825"/>
      <c r="LXX2" s="1825"/>
      <c r="LXY2" s="1825"/>
      <c r="LXZ2" s="1825"/>
      <c r="LYA2" s="1825"/>
      <c r="LYB2" s="1825"/>
      <c r="LYC2" s="1825"/>
      <c r="LYD2" s="1825"/>
      <c r="LYE2" s="1825"/>
      <c r="LYF2" s="1825"/>
      <c r="LYG2" s="1825"/>
      <c r="LYH2" s="1825"/>
      <c r="LYI2" s="1825"/>
      <c r="LYJ2" s="1825"/>
      <c r="LYK2" s="1825"/>
      <c r="LYL2" s="1825"/>
      <c r="LYM2" s="1825"/>
      <c r="LYN2" s="1825"/>
      <c r="LYO2" s="1825"/>
      <c r="LYP2" s="1825"/>
      <c r="LYQ2" s="1825"/>
      <c r="LYR2" s="1825"/>
      <c r="LYS2" s="1825"/>
      <c r="LYT2" s="1825"/>
      <c r="LYU2" s="1825"/>
      <c r="LYV2" s="1825"/>
      <c r="LYW2" s="1825"/>
      <c r="LYX2" s="1825"/>
      <c r="LYY2" s="1825"/>
      <c r="LYZ2" s="1825"/>
      <c r="LZA2" s="1825"/>
      <c r="LZB2" s="1825"/>
      <c r="LZC2" s="1825"/>
      <c r="LZD2" s="1825"/>
      <c r="LZE2" s="1825"/>
      <c r="LZF2" s="1825"/>
      <c r="LZG2" s="1825"/>
      <c r="LZH2" s="1825"/>
      <c r="LZI2" s="1825"/>
      <c r="LZJ2" s="1825"/>
      <c r="LZK2" s="1825"/>
      <c r="LZL2" s="1825"/>
      <c r="LZM2" s="1825"/>
      <c r="LZN2" s="1825"/>
      <c r="LZO2" s="1825"/>
      <c r="LZP2" s="1825"/>
      <c r="LZQ2" s="1825"/>
      <c r="LZR2" s="1825"/>
      <c r="LZS2" s="1825"/>
      <c r="LZT2" s="1825"/>
      <c r="LZU2" s="1825"/>
      <c r="LZV2" s="1825"/>
      <c r="LZW2" s="1825"/>
      <c r="LZX2" s="1825"/>
      <c r="LZY2" s="1825"/>
      <c r="LZZ2" s="1825"/>
      <c r="MAA2" s="1825"/>
      <c r="MAB2" s="1825"/>
      <c r="MAC2" s="1825"/>
      <c r="MAD2" s="1825"/>
      <c r="MAE2" s="1825"/>
      <c r="MAF2" s="1825"/>
      <c r="MAG2" s="1825"/>
      <c r="MAH2" s="1825"/>
      <c r="MAI2" s="1825"/>
      <c r="MAJ2" s="1825"/>
      <c r="MAK2" s="1825"/>
      <c r="MAL2" s="1825"/>
      <c r="MAM2" s="1825"/>
      <c r="MAN2" s="1825"/>
      <c r="MAO2" s="1825"/>
      <c r="MAP2" s="1825"/>
      <c r="MAQ2" s="1825"/>
      <c r="MAR2" s="1825"/>
      <c r="MAS2" s="1825"/>
      <c r="MAT2" s="1825"/>
      <c r="MAU2" s="1825"/>
      <c r="MAV2" s="1825"/>
      <c r="MAW2" s="1825"/>
      <c r="MAX2" s="1825"/>
      <c r="MAY2" s="1825"/>
      <c r="MAZ2" s="1825"/>
      <c r="MBA2" s="1825"/>
      <c r="MBB2" s="1825"/>
      <c r="MBC2" s="1825"/>
      <c r="MBD2" s="1825"/>
      <c r="MBE2" s="1825"/>
      <c r="MBF2" s="1825"/>
      <c r="MBG2" s="1825"/>
      <c r="MBH2" s="1825"/>
      <c r="MBI2" s="1825"/>
      <c r="MBJ2" s="1825"/>
      <c r="MBK2" s="1825"/>
      <c r="MBL2" s="1825"/>
      <c r="MBM2" s="1825"/>
      <c r="MBN2" s="1825"/>
      <c r="MBO2" s="1825"/>
      <c r="MBP2" s="1825"/>
      <c r="MBQ2" s="1825"/>
      <c r="MBR2" s="1825"/>
      <c r="MBS2" s="1825"/>
      <c r="MBT2" s="1825"/>
      <c r="MBU2" s="1825"/>
      <c r="MBV2" s="1825"/>
      <c r="MBW2" s="1825"/>
      <c r="MBX2" s="1825"/>
      <c r="MBY2" s="1825"/>
      <c r="MBZ2" s="1825"/>
      <c r="MCA2" s="1825"/>
      <c r="MCB2" s="1825"/>
      <c r="MCC2" s="1825"/>
      <c r="MCD2" s="1825"/>
      <c r="MCE2" s="1825"/>
      <c r="MCF2" s="1825"/>
      <c r="MCG2" s="1825"/>
      <c r="MCH2" s="1825"/>
      <c r="MCI2" s="1825"/>
      <c r="MCJ2" s="1825"/>
      <c r="MCK2" s="1825"/>
      <c r="MCL2" s="1825"/>
      <c r="MCM2" s="1825"/>
      <c r="MCN2" s="1825"/>
      <c r="MCO2" s="1825"/>
      <c r="MCP2" s="1825"/>
      <c r="MCQ2" s="1825"/>
      <c r="MCR2" s="1825"/>
      <c r="MCS2" s="1825"/>
      <c r="MCT2" s="1825"/>
      <c r="MCU2" s="1825"/>
      <c r="MCV2" s="1825"/>
      <c r="MCW2" s="1825"/>
      <c r="MCX2" s="1825"/>
      <c r="MCY2" s="1825"/>
      <c r="MCZ2" s="1825"/>
      <c r="MDA2" s="1825"/>
      <c r="MDB2" s="1825"/>
      <c r="MDC2" s="1825"/>
      <c r="MDD2" s="1825"/>
      <c r="MDE2" s="1825"/>
      <c r="MDF2" s="1825"/>
      <c r="MDG2" s="1825"/>
      <c r="MDH2" s="1825"/>
      <c r="MDI2" s="1825"/>
      <c r="MDJ2" s="1825"/>
      <c r="MDK2" s="1825"/>
      <c r="MDL2" s="1825"/>
      <c r="MDM2" s="1825"/>
      <c r="MDN2" s="1825"/>
      <c r="MDO2" s="1825"/>
      <c r="MDP2" s="1825"/>
      <c r="MDQ2" s="1825"/>
      <c r="MDR2" s="1825"/>
      <c r="MDS2" s="1825"/>
      <c r="MDT2" s="1825"/>
      <c r="MDU2" s="1825"/>
      <c r="MDV2" s="1825"/>
      <c r="MDW2" s="1825"/>
      <c r="MDX2" s="1825"/>
      <c r="MDY2" s="1825"/>
      <c r="MDZ2" s="1825"/>
      <c r="MEA2" s="1825"/>
      <c r="MEB2" s="1825"/>
      <c r="MEC2" s="1825"/>
      <c r="MED2" s="1825"/>
      <c r="MEE2" s="1825"/>
      <c r="MEF2" s="1825"/>
      <c r="MEG2" s="1825"/>
      <c r="MEH2" s="1825"/>
      <c r="MEI2" s="1825"/>
      <c r="MEJ2" s="1825"/>
      <c r="MEK2" s="1825"/>
      <c r="MEL2" s="1825"/>
      <c r="MEM2" s="1825"/>
      <c r="MEN2" s="1825"/>
      <c r="MEO2" s="1825"/>
      <c r="MEP2" s="1825"/>
      <c r="MEQ2" s="1825"/>
      <c r="MER2" s="1825"/>
      <c r="MES2" s="1825"/>
      <c r="MET2" s="1825"/>
      <c r="MEU2" s="1825"/>
      <c r="MEV2" s="1825"/>
      <c r="MEW2" s="1825"/>
      <c r="MEX2" s="1825"/>
      <c r="MEY2" s="1825"/>
      <c r="MEZ2" s="1825"/>
      <c r="MFA2" s="1825"/>
      <c r="MFB2" s="1825"/>
      <c r="MFC2" s="1825"/>
      <c r="MFD2" s="1825"/>
      <c r="MFE2" s="1825"/>
      <c r="MFF2" s="1825"/>
      <c r="MFG2" s="1825"/>
      <c r="MFH2" s="1825"/>
      <c r="MFI2" s="1825"/>
      <c r="MFJ2" s="1825"/>
      <c r="MFK2" s="1825"/>
      <c r="MFL2" s="1825"/>
      <c r="MFM2" s="1825"/>
      <c r="MFN2" s="1825"/>
      <c r="MFO2" s="1825"/>
      <c r="MFP2" s="1825"/>
      <c r="MFQ2" s="1825"/>
      <c r="MFR2" s="1825"/>
      <c r="MFS2" s="1825"/>
      <c r="MFT2" s="1825"/>
      <c r="MFU2" s="1825"/>
      <c r="MFV2" s="1825"/>
      <c r="MFW2" s="1825"/>
      <c r="MFX2" s="1825"/>
      <c r="MFY2" s="1825"/>
      <c r="MFZ2" s="1825"/>
      <c r="MGA2" s="1825"/>
      <c r="MGB2" s="1825"/>
      <c r="MGC2" s="1825"/>
      <c r="MGD2" s="1825"/>
      <c r="MGE2" s="1825"/>
      <c r="MGF2" s="1825"/>
      <c r="MGG2" s="1825"/>
      <c r="MGH2" s="1825"/>
      <c r="MGI2" s="1825"/>
      <c r="MGJ2" s="1825"/>
      <c r="MGK2" s="1825"/>
      <c r="MGL2" s="1825"/>
      <c r="MGM2" s="1825"/>
      <c r="MGN2" s="1825"/>
      <c r="MGO2" s="1825"/>
      <c r="MGP2" s="1825"/>
      <c r="MGQ2" s="1825"/>
      <c r="MGR2" s="1825"/>
      <c r="MGS2" s="1825"/>
      <c r="MGT2" s="1825"/>
      <c r="MGU2" s="1825"/>
      <c r="MGV2" s="1825"/>
      <c r="MGW2" s="1825"/>
      <c r="MGX2" s="1825"/>
      <c r="MGY2" s="1825"/>
      <c r="MGZ2" s="1825"/>
      <c r="MHA2" s="1825"/>
      <c r="MHB2" s="1825"/>
      <c r="MHC2" s="1825"/>
      <c r="MHD2" s="1825"/>
      <c r="MHE2" s="1825"/>
      <c r="MHF2" s="1825"/>
      <c r="MHG2" s="1825"/>
      <c r="MHH2" s="1825"/>
      <c r="MHI2" s="1825"/>
      <c r="MHJ2" s="1825"/>
      <c r="MHK2" s="1825"/>
      <c r="MHL2" s="1825"/>
      <c r="MHM2" s="1825"/>
      <c r="MHN2" s="1825"/>
      <c r="MHO2" s="1825"/>
      <c r="MHP2" s="1825"/>
      <c r="MHQ2" s="1825"/>
      <c r="MHR2" s="1825"/>
      <c r="MHS2" s="1825"/>
      <c r="MHT2" s="1825"/>
      <c r="MHU2" s="1825"/>
      <c r="MHV2" s="1825"/>
      <c r="MHW2" s="1825"/>
      <c r="MHX2" s="1825"/>
      <c r="MHY2" s="1825"/>
      <c r="MHZ2" s="1825"/>
      <c r="MIA2" s="1825"/>
      <c r="MIB2" s="1825"/>
      <c r="MIC2" s="1825"/>
      <c r="MID2" s="1825"/>
      <c r="MIE2" s="1825"/>
      <c r="MIF2" s="1825"/>
      <c r="MIG2" s="1825"/>
      <c r="MIH2" s="1825"/>
      <c r="MII2" s="1825"/>
      <c r="MIJ2" s="1825"/>
      <c r="MIK2" s="1825"/>
      <c r="MIL2" s="1825"/>
      <c r="MIM2" s="1825"/>
      <c r="MIN2" s="1825"/>
      <c r="MIO2" s="1825"/>
      <c r="MIP2" s="1825"/>
      <c r="MIQ2" s="1825"/>
      <c r="MIR2" s="1825"/>
      <c r="MIS2" s="1825"/>
      <c r="MIT2" s="1825"/>
      <c r="MIU2" s="1825"/>
      <c r="MIV2" s="1825"/>
      <c r="MIW2" s="1825"/>
      <c r="MIX2" s="1825"/>
      <c r="MIY2" s="1825"/>
      <c r="MIZ2" s="1825"/>
      <c r="MJA2" s="1825"/>
      <c r="MJB2" s="1825"/>
      <c r="MJC2" s="1825"/>
      <c r="MJD2" s="1825"/>
      <c r="MJE2" s="1825"/>
      <c r="MJF2" s="1825"/>
      <c r="MJG2" s="1825"/>
      <c r="MJH2" s="1825"/>
      <c r="MJI2" s="1825"/>
      <c r="MJJ2" s="1825"/>
      <c r="MJK2" s="1825"/>
      <c r="MJL2" s="1825"/>
      <c r="MJM2" s="1825"/>
      <c r="MJN2" s="1825"/>
      <c r="MJO2" s="1825"/>
      <c r="MJP2" s="1825"/>
      <c r="MJQ2" s="1825"/>
      <c r="MJR2" s="1825"/>
      <c r="MJS2" s="1825"/>
      <c r="MJT2" s="1825"/>
      <c r="MJU2" s="1825"/>
      <c r="MJV2" s="1825"/>
      <c r="MJW2" s="1825"/>
      <c r="MJX2" s="1825"/>
      <c r="MJY2" s="1825"/>
      <c r="MJZ2" s="1825"/>
      <c r="MKA2" s="1825"/>
      <c r="MKB2" s="1825"/>
      <c r="MKC2" s="1825"/>
      <c r="MKD2" s="1825"/>
      <c r="MKE2" s="1825"/>
      <c r="MKF2" s="1825"/>
      <c r="MKG2" s="1825"/>
      <c r="MKH2" s="1825"/>
      <c r="MKI2" s="1825"/>
      <c r="MKJ2" s="1825"/>
      <c r="MKK2" s="1825"/>
      <c r="MKL2" s="1825"/>
      <c r="MKM2" s="1825"/>
      <c r="MKN2" s="1825"/>
      <c r="MKO2" s="1825"/>
      <c r="MKP2" s="1825"/>
      <c r="MKQ2" s="1825"/>
      <c r="MKR2" s="1825"/>
      <c r="MKS2" s="1825"/>
      <c r="MKT2" s="1825"/>
      <c r="MKU2" s="1825"/>
      <c r="MKV2" s="1825"/>
      <c r="MKW2" s="1825"/>
      <c r="MKX2" s="1825"/>
      <c r="MKY2" s="1825"/>
      <c r="MKZ2" s="1825"/>
      <c r="MLA2" s="1825"/>
      <c r="MLB2" s="1825"/>
      <c r="MLC2" s="1825"/>
      <c r="MLD2" s="1825"/>
      <c r="MLE2" s="1825"/>
      <c r="MLF2" s="1825"/>
      <c r="MLG2" s="1825"/>
      <c r="MLH2" s="1825"/>
      <c r="MLI2" s="1825"/>
      <c r="MLJ2" s="1825"/>
      <c r="MLK2" s="1825"/>
      <c r="MLL2" s="1825"/>
      <c r="MLM2" s="1825"/>
      <c r="MLN2" s="1825"/>
      <c r="MLO2" s="1825"/>
      <c r="MLP2" s="1825"/>
      <c r="MLQ2" s="1825"/>
      <c r="MLR2" s="1825"/>
      <c r="MLS2" s="1825"/>
      <c r="MLT2" s="1825"/>
      <c r="MLU2" s="1825"/>
      <c r="MLV2" s="1825"/>
      <c r="MLW2" s="1825"/>
      <c r="MLX2" s="1825"/>
      <c r="MLY2" s="1825"/>
      <c r="MLZ2" s="1825"/>
      <c r="MMA2" s="1825"/>
      <c r="MMB2" s="1825"/>
      <c r="MMC2" s="1825"/>
      <c r="MMD2" s="1825"/>
      <c r="MME2" s="1825"/>
      <c r="MMF2" s="1825"/>
      <c r="MMG2" s="1825"/>
      <c r="MMH2" s="1825"/>
      <c r="MMI2" s="1825"/>
      <c r="MMJ2" s="1825"/>
      <c r="MMK2" s="1825"/>
      <c r="MML2" s="1825"/>
      <c r="MMM2" s="1825"/>
      <c r="MMN2" s="1825"/>
      <c r="MMO2" s="1825"/>
      <c r="MMP2" s="1825"/>
      <c r="MMQ2" s="1825"/>
      <c r="MMR2" s="1825"/>
      <c r="MMS2" s="1825"/>
      <c r="MMT2" s="1825"/>
      <c r="MMU2" s="1825"/>
      <c r="MMV2" s="1825"/>
      <c r="MMW2" s="1825"/>
      <c r="MMX2" s="1825"/>
      <c r="MMY2" s="1825"/>
      <c r="MMZ2" s="1825"/>
      <c r="MNA2" s="1825"/>
      <c r="MNB2" s="1825"/>
      <c r="MNC2" s="1825"/>
      <c r="MND2" s="1825"/>
      <c r="MNE2" s="1825"/>
      <c r="MNF2" s="1825"/>
      <c r="MNG2" s="1825"/>
      <c r="MNH2" s="1825"/>
      <c r="MNI2" s="1825"/>
      <c r="MNJ2" s="1825"/>
      <c r="MNK2" s="1825"/>
      <c r="MNL2" s="1825"/>
      <c r="MNM2" s="1825"/>
      <c r="MNN2" s="1825"/>
      <c r="MNO2" s="1825"/>
      <c r="MNP2" s="1825"/>
      <c r="MNQ2" s="1825"/>
      <c r="MNR2" s="1825"/>
      <c r="MNS2" s="1825"/>
      <c r="MNT2" s="1825"/>
      <c r="MNU2" s="1825"/>
      <c r="MNV2" s="1825"/>
      <c r="MNW2" s="1825"/>
      <c r="MNX2" s="1825"/>
      <c r="MNY2" s="1825"/>
      <c r="MNZ2" s="1825"/>
      <c r="MOA2" s="1825"/>
      <c r="MOB2" s="1825"/>
      <c r="MOC2" s="1825"/>
      <c r="MOD2" s="1825"/>
      <c r="MOE2" s="1825"/>
      <c r="MOF2" s="1825"/>
      <c r="MOG2" s="1825"/>
      <c r="MOH2" s="1825"/>
      <c r="MOI2" s="1825"/>
      <c r="MOJ2" s="1825"/>
      <c r="MOK2" s="1825"/>
      <c r="MOL2" s="1825"/>
      <c r="MOM2" s="1825"/>
      <c r="MON2" s="1825"/>
      <c r="MOO2" s="1825"/>
      <c r="MOP2" s="1825"/>
      <c r="MOQ2" s="1825"/>
      <c r="MOR2" s="1825"/>
      <c r="MOS2" s="1825"/>
      <c r="MOT2" s="1825"/>
      <c r="MOU2" s="1825"/>
      <c r="MOV2" s="1825"/>
      <c r="MOW2" s="1825"/>
      <c r="MOX2" s="1825"/>
      <c r="MOY2" s="1825"/>
      <c r="MOZ2" s="1825"/>
      <c r="MPA2" s="1825"/>
      <c r="MPB2" s="1825"/>
      <c r="MPC2" s="1825"/>
      <c r="MPD2" s="1825"/>
      <c r="MPE2" s="1825"/>
      <c r="MPF2" s="1825"/>
      <c r="MPG2" s="1825"/>
      <c r="MPH2" s="1825"/>
      <c r="MPI2" s="1825"/>
      <c r="MPJ2" s="1825"/>
      <c r="MPK2" s="1825"/>
      <c r="MPL2" s="1825"/>
      <c r="MPM2" s="1825"/>
      <c r="MPN2" s="1825"/>
      <c r="MPO2" s="1825"/>
      <c r="MPP2" s="1825"/>
      <c r="MPQ2" s="1825"/>
      <c r="MPR2" s="1825"/>
      <c r="MPS2" s="1825"/>
      <c r="MPT2" s="1825"/>
      <c r="MPU2" s="1825"/>
      <c r="MPV2" s="1825"/>
      <c r="MPW2" s="1825"/>
      <c r="MPX2" s="1825"/>
      <c r="MPY2" s="1825"/>
      <c r="MPZ2" s="1825"/>
      <c r="MQA2" s="1825"/>
      <c r="MQB2" s="1825"/>
      <c r="MQC2" s="1825"/>
      <c r="MQD2" s="1825"/>
      <c r="MQE2" s="1825"/>
      <c r="MQF2" s="1825"/>
      <c r="MQG2" s="1825"/>
      <c r="MQH2" s="1825"/>
      <c r="MQI2" s="1825"/>
      <c r="MQJ2" s="1825"/>
      <c r="MQK2" s="1825"/>
      <c r="MQL2" s="1825"/>
      <c r="MQM2" s="1825"/>
      <c r="MQN2" s="1825"/>
      <c r="MQO2" s="1825"/>
      <c r="MQP2" s="1825"/>
      <c r="MQQ2" s="1825"/>
      <c r="MQR2" s="1825"/>
      <c r="MQS2" s="1825"/>
      <c r="MQT2" s="1825"/>
      <c r="MQU2" s="1825"/>
      <c r="MQV2" s="1825"/>
      <c r="MQW2" s="1825"/>
      <c r="MQX2" s="1825"/>
      <c r="MQY2" s="1825"/>
      <c r="MQZ2" s="1825"/>
      <c r="MRA2" s="1825"/>
      <c r="MRB2" s="1825"/>
      <c r="MRC2" s="1825"/>
      <c r="MRD2" s="1825"/>
      <c r="MRE2" s="1825"/>
      <c r="MRF2" s="1825"/>
      <c r="MRG2" s="1825"/>
      <c r="MRH2" s="1825"/>
      <c r="MRI2" s="1825"/>
      <c r="MRJ2" s="1825"/>
      <c r="MRK2" s="1825"/>
      <c r="MRL2" s="1825"/>
      <c r="MRM2" s="1825"/>
      <c r="MRN2" s="1825"/>
      <c r="MRO2" s="1825"/>
      <c r="MRP2" s="1825"/>
      <c r="MRQ2" s="1825"/>
      <c r="MRR2" s="1825"/>
      <c r="MRS2" s="1825"/>
      <c r="MRT2" s="1825"/>
      <c r="MRU2" s="1825"/>
      <c r="MRV2" s="1825"/>
      <c r="MRW2" s="1825"/>
      <c r="MRX2" s="1825"/>
      <c r="MRY2" s="1825"/>
      <c r="MRZ2" s="1825"/>
      <c r="MSA2" s="1825"/>
      <c r="MSB2" s="1825"/>
      <c r="MSC2" s="1825"/>
      <c r="MSD2" s="1825"/>
      <c r="MSE2" s="1825"/>
      <c r="MSF2" s="1825"/>
      <c r="MSG2" s="1825"/>
      <c r="MSH2" s="1825"/>
      <c r="MSI2" s="1825"/>
      <c r="MSJ2" s="1825"/>
      <c r="MSK2" s="1825"/>
      <c r="MSL2" s="1825"/>
      <c r="MSM2" s="1825"/>
      <c r="MSN2" s="1825"/>
      <c r="MSO2" s="1825"/>
      <c r="MSP2" s="1825"/>
      <c r="MSQ2" s="1825"/>
      <c r="MSR2" s="1825"/>
      <c r="MSS2" s="1825"/>
      <c r="MST2" s="1825"/>
      <c r="MSU2" s="1825"/>
      <c r="MSV2" s="1825"/>
      <c r="MSW2" s="1825"/>
      <c r="MSX2" s="1825"/>
      <c r="MSY2" s="1825"/>
      <c r="MSZ2" s="1825"/>
      <c r="MTA2" s="1825"/>
      <c r="MTB2" s="1825"/>
      <c r="MTC2" s="1825"/>
      <c r="MTD2" s="1825"/>
      <c r="MTE2" s="1825"/>
      <c r="MTF2" s="1825"/>
      <c r="MTG2" s="1825"/>
      <c r="MTH2" s="1825"/>
      <c r="MTI2" s="1825"/>
      <c r="MTJ2" s="1825"/>
      <c r="MTK2" s="1825"/>
      <c r="MTL2" s="1825"/>
      <c r="MTM2" s="1825"/>
      <c r="MTN2" s="1825"/>
      <c r="MTO2" s="1825"/>
      <c r="MTP2" s="1825"/>
      <c r="MTQ2" s="1825"/>
      <c r="MTR2" s="1825"/>
      <c r="MTS2" s="1825"/>
      <c r="MTT2" s="1825"/>
      <c r="MTU2" s="1825"/>
      <c r="MTV2" s="1825"/>
      <c r="MTW2" s="1825"/>
      <c r="MTX2" s="1825"/>
      <c r="MTY2" s="1825"/>
      <c r="MTZ2" s="1825"/>
      <c r="MUA2" s="1825"/>
      <c r="MUB2" s="1825"/>
      <c r="MUC2" s="1825"/>
      <c r="MUD2" s="1825"/>
      <c r="MUE2" s="1825"/>
      <c r="MUF2" s="1825"/>
      <c r="MUG2" s="1825"/>
      <c r="MUH2" s="1825"/>
      <c r="MUI2" s="1825"/>
      <c r="MUJ2" s="1825"/>
      <c r="MUK2" s="1825"/>
      <c r="MUL2" s="1825"/>
      <c r="MUM2" s="1825"/>
      <c r="MUN2" s="1825"/>
      <c r="MUO2" s="1825"/>
      <c r="MUP2" s="1825"/>
      <c r="MUQ2" s="1825"/>
      <c r="MUR2" s="1825"/>
      <c r="MUS2" s="1825"/>
      <c r="MUT2" s="1825"/>
      <c r="MUU2" s="1825"/>
      <c r="MUV2" s="1825"/>
      <c r="MUW2" s="1825"/>
      <c r="MUX2" s="1825"/>
      <c r="MUY2" s="1825"/>
      <c r="MUZ2" s="1825"/>
      <c r="MVA2" s="1825"/>
      <c r="MVB2" s="1825"/>
      <c r="MVC2" s="1825"/>
      <c r="MVD2" s="1825"/>
      <c r="MVE2" s="1825"/>
      <c r="MVF2" s="1825"/>
      <c r="MVG2" s="1825"/>
      <c r="MVH2" s="1825"/>
      <c r="MVI2" s="1825"/>
      <c r="MVJ2" s="1825"/>
      <c r="MVK2" s="1825"/>
      <c r="MVL2" s="1825"/>
      <c r="MVM2" s="1825"/>
      <c r="MVN2" s="1825"/>
      <c r="MVO2" s="1825"/>
      <c r="MVP2" s="1825"/>
      <c r="MVQ2" s="1825"/>
      <c r="MVR2" s="1825"/>
      <c r="MVS2" s="1825"/>
      <c r="MVT2" s="1825"/>
      <c r="MVU2" s="1825"/>
      <c r="MVV2" s="1825"/>
      <c r="MVW2" s="1825"/>
      <c r="MVX2" s="1825"/>
      <c r="MVY2" s="1825"/>
      <c r="MVZ2" s="1825"/>
      <c r="MWA2" s="1825"/>
      <c r="MWB2" s="1825"/>
      <c r="MWC2" s="1825"/>
      <c r="MWD2" s="1825"/>
      <c r="MWE2" s="1825"/>
      <c r="MWF2" s="1825"/>
      <c r="MWG2" s="1825"/>
      <c r="MWH2" s="1825"/>
      <c r="MWI2" s="1825"/>
      <c r="MWJ2" s="1825"/>
      <c r="MWK2" s="1825"/>
      <c r="MWL2" s="1825"/>
      <c r="MWM2" s="1825"/>
      <c r="MWN2" s="1825"/>
      <c r="MWO2" s="1825"/>
      <c r="MWP2" s="1825"/>
      <c r="MWQ2" s="1825"/>
      <c r="MWR2" s="1825"/>
      <c r="MWS2" s="1825"/>
      <c r="MWT2" s="1825"/>
      <c r="MWU2" s="1825"/>
      <c r="MWV2" s="1825"/>
      <c r="MWW2" s="1825"/>
      <c r="MWX2" s="1825"/>
      <c r="MWY2" s="1825"/>
      <c r="MWZ2" s="1825"/>
      <c r="MXA2" s="1825"/>
      <c r="MXB2" s="1825"/>
      <c r="MXC2" s="1825"/>
      <c r="MXD2" s="1825"/>
      <c r="MXE2" s="1825"/>
      <c r="MXF2" s="1825"/>
      <c r="MXG2" s="1825"/>
      <c r="MXH2" s="1825"/>
      <c r="MXI2" s="1825"/>
      <c r="MXJ2" s="1825"/>
      <c r="MXK2" s="1825"/>
      <c r="MXL2" s="1825"/>
      <c r="MXM2" s="1825"/>
      <c r="MXN2" s="1825"/>
      <c r="MXO2" s="1825"/>
      <c r="MXP2" s="1825"/>
      <c r="MXQ2" s="1825"/>
      <c r="MXR2" s="1825"/>
      <c r="MXS2" s="1825"/>
      <c r="MXT2" s="1825"/>
      <c r="MXU2" s="1825"/>
      <c r="MXV2" s="1825"/>
      <c r="MXW2" s="1825"/>
      <c r="MXX2" s="1825"/>
      <c r="MXY2" s="1825"/>
      <c r="MXZ2" s="1825"/>
      <c r="MYA2" s="1825"/>
      <c r="MYB2" s="1825"/>
      <c r="MYC2" s="1825"/>
      <c r="MYD2" s="1825"/>
      <c r="MYE2" s="1825"/>
      <c r="MYF2" s="1825"/>
      <c r="MYG2" s="1825"/>
      <c r="MYH2" s="1825"/>
      <c r="MYI2" s="1825"/>
      <c r="MYJ2" s="1825"/>
      <c r="MYK2" s="1825"/>
      <c r="MYL2" s="1825"/>
      <c r="MYM2" s="1825"/>
      <c r="MYN2" s="1825"/>
      <c r="MYO2" s="1825"/>
      <c r="MYP2" s="1825"/>
      <c r="MYQ2" s="1825"/>
      <c r="MYR2" s="1825"/>
      <c r="MYS2" s="1825"/>
      <c r="MYT2" s="1825"/>
      <c r="MYU2" s="1825"/>
      <c r="MYV2" s="1825"/>
      <c r="MYW2" s="1825"/>
      <c r="MYX2" s="1825"/>
      <c r="MYY2" s="1825"/>
      <c r="MYZ2" s="1825"/>
      <c r="MZA2" s="1825"/>
      <c r="MZB2" s="1825"/>
      <c r="MZC2" s="1825"/>
      <c r="MZD2" s="1825"/>
      <c r="MZE2" s="1825"/>
      <c r="MZF2" s="1825"/>
      <c r="MZG2" s="1825"/>
      <c r="MZH2" s="1825"/>
      <c r="MZI2" s="1825"/>
      <c r="MZJ2" s="1825"/>
      <c r="MZK2" s="1825"/>
      <c r="MZL2" s="1825"/>
      <c r="MZM2" s="1825"/>
      <c r="MZN2" s="1825"/>
      <c r="MZO2" s="1825"/>
      <c r="MZP2" s="1825"/>
      <c r="MZQ2" s="1825"/>
      <c r="MZR2" s="1825"/>
      <c r="MZS2" s="1825"/>
      <c r="MZT2" s="1825"/>
      <c r="MZU2" s="1825"/>
      <c r="MZV2" s="1825"/>
      <c r="MZW2" s="1825"/>
      <c r="MZX2" s="1825"/>
      <c r="MZY2" s="1825"/>
      <c r="MZZ2" s="1825"/>
      <c r="NAA2" s="1825"/>
      <c r="NAB2" s="1825"/>
      <c r="NAC2" s="1825"/>
      <c r="NAD2" s="1825"/>
      <c r="NAE2" s="1825"/>
      <c r="NAF2" s="1825"/>
      <c r="NAG2" s="1825"/>
      <c r="NAH2" s="1825"/>
      <c r="NAI2" s="1825"/>
      <c r="NAJ2" s="1825"/>
      <c r="NAK2" s="1825"/>
      <c r="NAL2" s="1825"/>
      <c r="NAM2" s="1825"/>
      <c r="NAN2" s="1825"/>
      <c r="NAO2" s="1825"/>
      <c r="NAP2" s="1825"/>
      <c r="NAQ2" s="1825"/>
      <c r="NAR2" s="1825"/>
      <c r="NAS2" s="1825"/>
      <c r="NAT2" s="1825"/>
      <c r="NAU2" s="1825"/>
      <c r="NAV2" s="1825"/>
      <c r="NAW2" s="1825"/>
      <c r="NAX2" s="1825"/>
      <c r="NAY2" s="1825"/>
      <c r="NAZ2" s="1825"/>
      <c r="NBA2" s="1825"/>
      <c r="NBB2" s="1825"/>
      <c r="NBC2" s="1825"/>
      <c r="NBD2" s="1825"/>
      <c r="NBE2" s="1825"/>
      <c r="NBF2" s="1825"/>
      <c r="NBG2" s="1825"/>
      <c r="NBH2" s="1825"/>
      <c r="NBI2" s="1825"/>
      <c r="NBJ2" s="1825"/>
      <c r="NBK2" s="1825"/>
      <c r="NBL2" s="1825"/>
      <c r="NBM2" s="1825"/>
      <c r="NBN2" s="1825"/>
      <c r="NBO2" s="1825"/>
      <c r="NBP2" s="1825"/>
      <c r="NBQ2" s="1825"/>
      <c r="NBR2" s="1825"/>
      <c r="NBS2" s="1825"/>
      <c r="NBT2" s="1825"/>
      <c r="NBU2" s="1825"/>
      <c r="NBV2" s="1825"/>
      <c r="NBW2" s="1825"/>
      <c r="NBX2" s="1825"/>
      <c r="NBY2" s="1825"/>
      <c r="NBZ2" s="1825"/>
      <c r="NCA2" s="1825"/>
      <c r="NCB2" s="1825"/>
      <c r="NCC2" s="1825"/>
      <c r="NCD2" s="1825"/>
      <c r="NCE2" s="1825"/>
      <c r="NCF2" s="1825"/>
      <c r="NCG2" s="1825"/>
      <c r="NCH2" s="1825"/>
      <c r="NCI2" s="1825"/>
      <c r="NCJ2" s="1825"/>
      <c r="NCK2" s="1825"/>
      <c r="NCL2" s="1825"/>
      <c r="NCM2" s="1825"/>
      <c r="NCN2" s="1825"/>
      <c r="NCO2" s="1825"/>
      <c r="NCP2" s="1825"/>
      <c r="NCQ2" s="1825"/>
      <c r="NCR2" s="1825"/>
      <c r="NCS2" s="1825"/>
      <c r="NCT2" s="1825"/>
      <c r="NCU2" s="1825"/>
      <c r="NCV2" s="1825"/>
      <c r="NCW2" s="1825"/>
      <c r="NCX2" s="1825"/>
      <c r="NCY2" s="1825"/>
      <c r="NCZ2" s="1825"/>
      <c r="NDA2" s="1825"/>
      <c r="NDB2" s="1825"/>
      <c r="NDC2" s="1825"/>
      <c r="NDD2" s="1825"/>
      <c r="NDE2" s="1825"/>
      <c r="NDF2" s="1825"/>
      <c r="NDG2" s="1825"/>
      <c r="NDH2" s="1825"/>
      <c r="NDI2" s="1825"/>
      <c r="NDJ2" s="1825"/>
      <c r="NDK2" s="1825"/>
      <c r="NDL2" s="1825"/>
      <c r="NDM2" s="1825"/>
      <c r="NDN2" s="1825"/>
      <c r="NDO2" s="1825"/>
      <c r="NDP2" s="1825"/>
      <c r="NDQ2" s="1825"/>
      <c r="NDR2" s="1825"/>
      <c r="NDS2" s="1825"/>
      <c r="NDT2" s="1825"/>
      <c r="NDU2" s="1825"/>
      <c r="NDV2" s="1825"/>
      <c r="NDW2" s="1825"/>
      <c r="NDX2" s="1825"/>
      <c r="NDY2" s="1825"/>
      <c r="NDZ2" s="1825"/>
      <c r="NEA2" s="1825"/>
      <c r="NEB2" s="1825"/>
      <c r="NEC2" s="1825"/>
      <c r="NED2" s="1825"/>
      <c r="NEE2" s="1825"/>
      <c r="NEF2" s="1825"/>
      <c r="NEG2" s="1825"/>
      <c r="NEH2" s="1825"/>
      <c r="NEI2" s="1825"/>
      <c r="NEJ2" s="1825"/>
      <c r="NEK2" s="1825"/>
      <c r="NEL2" s="1825"/>
      <c r="NEM2" s="1825"/>
      <c r="NEN2" s="1825"/>
      <c r="NEO2" s="1825"/>
      <c r="NEP2" s="1825"/>
      <c r="NEQ2" s="1825"/>
      <c r="NER2" s="1825"/>
      <c r="NES2" s="1825"/>
      <c r="NET2" s="1825"/>
      <c r="NEU2" s="1825"/>
      <c r="NEV2" s="1825"/>
      <c r="NEW2" s="1825"/>
      <c r="NEX2" s="1825"/>
      <c r="NEY2" s="1825"/>
      <c r="NEZ2" s="1825"/>
      <c r="NFA2" s="1825"/>
      <c r="NFB2" s="1825"/>
      <c r="NFC2" s="1825"/>
      <c r="NFD2" s="1825"/>
      <c r="NFE2" s="1825"/>
      <c r="NFF2" s="1825"/>
      <c r="NFG2" s="1825"/>
      <c r="NFH2" s="1825"/>
      <c r="NFI2" s="1825"/>
      <c r="NFJ2" s="1825"/>
      <c r="NFK2" s="1825"/>
      <c r="NFL2" s="1825"/>
      <c r="NFM2" s="1825"/>
      <c r="NFN2" s="1825"/>
      <c r="NFO2" s="1825"/>
      <c r="NFP2" s="1825"/>
      <c r="NFQ2" s="1825"/>
      <c r="NFR2" s="1825"/>
      <c r="NFS2" s="1825"/>
      <c r="NFT2" s="1825"/>
      <c r="NFU2" s="1825"/>
      <c r="NFV2" s="1825"/>
      <c r="NFW2" s="1825"/>
      <c r="NFX2" s="1825"/>
      <c r="NFY2" s="1825"/>
      <c r="NFZ2" s="1825"/>
      <c r="NGA2" s="1825"/>
      <c r="NGB2" s="1825"/>
      <c r="NGC2" s="1825"/>
      <c r="NGD2" s="1825"/>
      <c r="NGE2" s="1825"/>
      <c r="NGF2" s="1825"/>
      <c r="NGG2" s="1825"/>
      <c r="NGH2" s="1825"/>
      <c r="NGI2" s="1825"/>
      <c r="NGJ2" s="1825"/>
      <c r="NGK2" s="1825"/>
      <c r="NGL2" s="1825"/>
      <c r="NGM2" s="1825"/>
      <c r="NGN2" s="1825"/>
      <c r="NGO2" s="1825"/>
      <c r="NGP2" s="1825"/>
      <c r="NGQ2" s="1825"/>
      <c r="NGR2" s="1825"/>
      <c r="NGS2" s="1825"/>
      <c r="NGT2" s="1825"/>
      <c r="NGU2" s="1825"/>
      <c r="NGV2" s="1825"/>
      <c r="NGW2" s="1825"/>
      <c r="NGX2" s="1825"/>
      <c r="NGY2" s="1825"/>
      <c r="NGZ2" s="1825"/>
      <c r="NHA2" s="1825"/>
      <c r="NHB2" s="1825"/>
      <c r="NHC2" s="1825"/>
      <c r="NHD2" s="1825"/>
      <c r="NHE2" s="1825"/>
      <c r="NHF2" s="1825"/>
      <c r="NHG2" s="1825"/>
      <c r="NHH2" s="1825"/>
      <c r="NHI2" s="1825"/>
      <c r="NHJ2" s="1825"/>
      <c r="NHK2" s="1825"/>
      <c r="NHL2" s="1825"/>
      <c r="NHM2" s="1825"/>
      <c r="NHN2" s="1825"/>
      <c r="NHO2" s="1825"/>
      <c r="NHP2" s="1825"/>
      <c r="NHQ2" s="1825"/>
      <c r="NHR2" s="1825"/>
      <c r="NHS2" s="1825"/>
      <c r="NHT2" s="1825"/>
      <c r="NHU2" s="1825"/>
      <c r="NHV2" s="1825"/>
      <c r="NHW2" s="1825"/>
      <c r="NHX2" s="1825"/>
      <c r="NHY2" s="1825"/>
      <c r="NHZ2" s="1825"/>
      <c r="NIA2" s="1825"/>
      <c r="NIB2" s="1825"/>
      <c r="NIC2" s="1825"/>
      <c r="NID2" s="1825"/>
      <c r="NIE2" s="1825"/>
      <c r="NIF2" s="1825"/>
      <c r="NIG2" s="1825"/>
      <c r="NIH2" s="1825"/>
      <c r="NII2" s="1825"/>
      <c r="NIJ2" s="1825"/>
      <c r="NIK2" s="1825"/>
      <c r="NIL2" s="1825"/>
      <c r="NIM2" s="1825"/>
      <c r="NIN2" s="1825"/>
      <c r="NIO2" s="1825"/>
      <c r="NIP2" s="1825"/>
      <c r="NIQ2" s="1825"/>
      <c r="NIR2" s="1825"/>
      <c r="NIS2" s="1825"/>
      <c r="NIT2" s="1825"/>
      <c r="NIU2" s="1825"/>
      <c r="NIV2" s="1825"/>
      <c r="NIW2" s="1825"/>
      <c r="NIX2" s="1825"/>
      <c r="NIY2" s="1825"/>
      <c r="NIZ2" s="1825"/>
      <c r="NJA2" s="1825"/>
      <c r="NJB2" s="1825"/>
      <c r="NJC2" s="1825"/>
      <c r="NJD2" s="1825"/>
      <c r="NJE2" s="1825"/>
      <c r="NJF2" s="1825"/>
      <c r="NJG2" s="1825"/>
      <c r="NJH2" s="1825"/>
      <c r="NJI2" s="1825"/>
      <c r="NJJ2" s="1825"/>
      <c r="NJK2" s="1825"/>
      <c r="NJL2" s="1825"/>
      <c r="NJM2" s="1825"/>
      <c r="NJN2" s="1825"/>
      <c r="NJO2" s="1825"/>
      <c r="NJP2" s="1825"/>
      <c r="NJQ2" s="1825"/>
      <c r="NJR2" s="1825"/>
      <c r="NJS2" s="1825"/>
      <c r="NJT2" s="1825"/>
      <c r="NJU2" s="1825"/>
      <c r="NJV2" s="1825"/>
      <c r="NJW2" s="1825"/>
      <c r="NJX2" s="1825"/>
      <c r="NJY2" s="1825"/>
      <c r="NJZ2" s="1825"/>
      <c r="NKA2" s="1825"/>
      <c r="NKB2" s="1825"/>
      <c r="NKC2" s="1825"/>
      <c r="NKD2" s="1825"/>
      <c r="NKE2" s="1825"/>
      <c r="NKF2" s="1825"/>
      <c r="NKG2" s="1825"/>
      <c r="NKH2" s="1825"/>
      <c r="NKI2" s="1825"/>
      <c r="NKJ2" s="1825"/>
      <c r="NKK2" s="1825"/>
      <c r="NKL2" s="1825"/>
      <c r="NKM2" s="1825"/>
      <c r="NKN2" s="1825"/>
      <c r="NKO2" s="1825"/>
      <c r="NKP2" s="1825"/>
      <c r="NKQ2" s="1825"/>
      <c r="NKR2" s="1825"/>
      <c r="NKS2" s="1825"/>
      <c r="NKT2" s="1825"/>
      <c r="NKU2" s="1825"/>
      <c r="NKV2" s="1825"/>
      <c r="NKW2" s="1825"/>
      <c r="NKX2" s="1825"/>
      <c r="NKY2" s="1825"/>
      <c r="NKZ2" s="1825"/>
      <c r="NLA2" s="1825"/>
      <c r="NLB2" s="1825"/>
      <c r="NLC2" s="1825"/>
      <c r="NLD2" s="1825"/>
      <c r="NLE2" s="1825"/>
      <c r="NLF2" s="1825"/>
      <c r="NLG2" s="1825"/>
      <c r="NLH2" s="1825"/>
      <c r="NLI2" s="1825"/>
      <c r="NLJ2" s="1825"/>
      <c r="NLK2" s="1825"/>
      <c r="NLL2" s="1825"/>
      <c r="NLM2" s="1825"/>
      <c r="NLN2" s="1825"/>
      <c r="NLO2" s="1825"/>
      <c r="NLP2" s="1825"/>
      <c r="NLQ2" s="1825"/>
      <c r="NLR2" s="1825"/>
      <c r="NLS2" s="1825"/>
      <c r="NLT2" s="1825"/>
      <c r="NLU2" s="1825"/>
      <c r="NLV2" s="1825"/>
      <c r="NLW2" s="1825"/>
      <c r="NLX2" s="1825"/>
      <c r="NLY2" s="1825"/>
      <c r="NLZ2" s="1825"/>
      <c r="NMA2" s="1825"/>
      <c r="NMB2" s="1825"/>
      <c r="NMC2" s="1825"/>
      <c r="NMD2" s="1825"/>
      <c r="NME2" s="1825"/>
      <c r="NMF2" s="1825"/>
      <c r="NMG2" s="1825"/>
      <c r="NMH2" s="1825"/>
      <c r="NMI2" s="1825"/>
      <c r="NMJ2" s="1825"/>
      <c r="NMK2" s="1825"/>
      <c r="NML2" s="1825"/>
      <c r="NMM2" s="1825"/>
      <c r="NMN2" s="1825"/>
      <c r="NMO2" s="1825"/>
      <c r="NMP2" s="1825"/>
      <c r="NMQ2" s="1825"/>
      <c r="NMR2" s="1825"/>
      <c r="NMS2" s="1825"/>
      <c r="NMT2" s="1825"/>
      <c r="NMU2" s="1825"/>
      <c r="NMV2" s="1825"/>
      <c r="NMW2" s="1825"/>
      <c r="NMX2" s="1825"/>
      <c r="NMY2" s="1825"/>
      <c r="NMZ2" s="1825"/>
      <c r="NNA2" s="1825"/>
      <c r="NNB2" s="1825"/>
      <c r="NNC2" s="1825"/>
      <c r="NND2" s="1825"/>
      <c r="NNE2" s="1825"/>
      <c r="NNF2" s="1825"/>
      <c r="NNG2" s="1825"/>
      <c r="NNH2" s="1825"/>
      <c r="NNI2" s="1825"/>
      <c r="NNJ2" s="1825"/>
      <c r="NNK2" s="1825"/>
      <c r="NNL2" s="1825"/>
      <c r="NNM2" s="1825"/>
      <c r="NNN2" s="1825"/>
      <c r="NNO2" s="1825"/>
      <c r="NNP2" s="1825"/>
      <c r="NNQ2" s="1825"/>
      <c r="NNR2" s="1825"/>
      <c r="NNS2" s="1825"/>
      <c r="NNT2" s="1825"/>
      <c r="NNU2" s="1825"/>
      <c r="NNV2" s="1825"/>
      <c r="NNW2" s="1825"/>
      <c r="NNX2" s="1825"/>
      <c r="NNY2" s="1825"/>
      <c r="NNZ2" s="1825"/>
      <c r="NOA2" s="1825"/>
      <c r="NOB2" s="1825"/>
      <c r="NOC2" s="1825"/>
      <c r="NOD2" s="1825"/>
      <c r="NOE2" s="1825"/>
      <c r="NOF2" s="1825"/>
      <c r="NOG2" s="1825"/>
      <c r="NOH2" s="1825"/>
      <c r="NOI2" s="1825"/>
      <c r="NOJ2" s="1825"/>
      <c r="NOK2" s="1825"/>
      <c r="NOL2" s="1825"/>
      <c r="NOM2" s="1825"/>
      <c r="NON2" s="1825"/>
      <c r="NOO2" s="1825"/>
      <c r="NOP2" s="1825"/>
      <c r="NOQ2" s="1825"/>
      <c r="NOR2" s="1825"/>
      <c r="NOS2" s="1825"/>
      <c r="NOT2" s="1825"/>
      <c r="NOU2" s="1825"/>
      <c r="NOV2" s="1825"/>
      <c r="NOW2" s="1825"/>
      <c r="NOX2" s="1825"/>
      <c r="NOY2" s="1825"/>
      <c r="NOZ2" s="1825"/>
      <c r="NPA2" s="1825"/>
      <c r="NPB2" s="1825"/>
      <c r="NPC2" s="1825"/>
      <c r="NPD2" s="1825"/>
      <c r="NPE2" s="1825"/>
      <c r="NPF2" s="1825"/>
      <c r="NPG2" s="1825"/>
      <c r="NPH2" s="1825"/>
      <c r="NPI2" s="1825"/>
      <c r="NPJ2" s="1825"/>
      <c r="NPK2" s="1825"/>
      <c r="NPL2" s="1825"/>
      <c r="NPM2" s="1825"/>
      <c r="NPN2" s="1825"/>
      <c r="NPO2" s="1825"/>
      <c r="NPP2" s="1825"/>
      <c r="NPQ2" s="1825"/>
      <c r="NPR2" s="1825"/>
      <c r="NPS2" s="1825"/>
      <c r="NPT2" s="1825"/>
      <c r="NPU2" s="1825"/>
      <c r="NPV2" s="1825"/>
      <c r="NPW2" s="1825"/>
      <c r="NPX2" s="1825"/>
      <c r="NPY2" s="1825"/>
      <c r="NPZ2" s="1825"/>
      <c r="NQA2" s="1825"/>
      <c r="NQB2" s="1825"/>
      <c r="NQC2" s="1825"/>
      <c r="NQD2" s="1825"/>
      <c r="NQE2" s="1825"/>
      <c r="NQF2" s="1825"/>
      <c r="NQG2" s="1825"/>
      <c r="NQH2" s="1825"/>
      <c r="NQI2" s="1825"/>
      <c r="NQJ2" s="1825"/>
      <c r="NQK2" s="1825"/>
      <c r="NQL2" s="1825"/>
      <c r="NQM2" s="1825"/>
      <c r="NQN2" s="1825"/>
      <c r="NQO2" s="1825"/>
      <c r="NQP2" s="1825"/>
      <c r="NQQ2" s="1825"/>
      <c r="NQR2" s="1825"/>
      <c r="NQS2" s="1825"/>
      <c r="NQT2" s="1825"/>
      <c r="NQU2" s="1825"/>
      <c r="NQV2" s="1825"/>
      <c r="NQW2" s="1825"/>
      <c r="NQX2" s="1825"/>
      <c r="NQY2" s="1825"/>
      <c r="NQZ2" s="1825"/>
      <c r="NRA2" s="1825"/>
      <c r="NRB2" s="1825"/>
      <c r="NRC2" s="1825"/>
      <c r="NRD2" s="1825"/>
      <c r="NRE2" s="1825"/>
      <c r="NRF2" s="1825"/>
      <c r="NRG2" s="1825"/>
      <c r="NRH2" s="1825"/>
      <c r="NRI2" s="1825"/>
      <c r="NRJ2" s="1825"/>
      <c r="NRK2" s="1825"/>
      <c r="NRL2" s="1825"/>
      <c r="NRM2" s="1825"/>
      <c r="NRN2" s="1825"/>
      <c r="NRO2" s="1825"/>
      <c r="NRP2" s="1825"/>
      <c r="NRQ2" s="1825"/>
      <c r="NRR2" s="1825"/>
      <c r="NRS2" s="1825"/>
      <c r="NRT2" s="1825"/>
      <c r="NRU2" s="1825"/>
      <c r="NRV2" s="1825"/>
      <c r="NRW2" s="1825"/>
      <c r="NRX2" s="1825"/>
      <c r="NRY2" s="1825"/>
      <c r="NRZ2" s="1825"/>
      <c r="NSA2" s="1825"/>
      <c r="NSB2" s="1825"/>
      <c r="NSC2" s="1825"/>
      <c r="NSD2" s="1825"/>
      <c r="NSE2" s="1825"/>
      <c r="NSF2" s="1825"/>
      <c r="NSG2" s="1825"/>
      <c r="NSH2" s="1825"/>
      <c r="NSI2" s="1825"/>
      <c r="NSJ2" s="1825"/>
      <c r="NSK2" s="1825"/>
      <c r="NSL2" s="1825"/>
      <c r="NSM2" s="1825"/>
      <c r="NSN2" s="1825"/>
      <c r="NSO2" s="1825"/>
      <c r="NSP2" s="1825"/>
      <c r="NSQ2" s="1825"/>
      <c r="NSR2" s="1825"/>
      <c r="NSS2" s="1825"/>
      <c r="NST2" s="1825"/>
      <c r="NSU2" s="1825"/>
      <c r="NSV2" s="1825"/>
      <c r="NSW2" s="1825"/>
      <c r="NSX2" s="1825"/>
      <c r="NSY2" s="1825"/>
      <c r="NSZ2" s="1825"/>
      <c r="NTA2" s="1825"/>
      <c r="NTB2" s="1825"/>
      <c r="NTC2" s="1825"/>
      <c r="NTD2" s="1825"/>
      <c r="NTE2" s="1825"/>
      <c r="NTF2" s="1825"/>
      <c r="NTG2" s="1825"/>
      <c r="NTH2" s="1825"/>
      <c r="NTI2" s="1825"/>
      <c r="NTJ2" s="1825"/>
      <c r="NTK2" s="1825"/>
      <c r="NTL2" s="1825"/>
      <c r="NTM2" s="1825"/>
      <c r="NTN2" s="1825"/>
      <c r="NTO2" s="1825"/>
      <c r="NTP2" s="1825"/>
      <c r="NTQ2" s="1825"/>
      <c r="NTR2" s="1825"/>
      <c r="NTS2" s="1825"/>
      <c r="NTT2" s="1825"/>
      <c r="NTU2" s="1825"/>
      <c r="NTV2" s="1825"/>
      <c r="NTW2" s="1825"/>
      <c r="NTX2" s="1825"/>
      <c r="NTY2" s="1825"/>
      <c r="NTZ2" s="1825"/>
      <c r="NUA2" s="1825"/>
      <c r="NUB2" s="1825"/>
      <c r="NUC2" s="1825"/>
      <c r="NUD2" s="1825"/>
      <c r="NUE2" s="1825"/>
      <c r="NUF2" s="1825"/>
      <c r="NUG2" s="1825"/>
      <c r="NUH2" s="1825"/>
      <c r="NUI2" s="1825"/>
      <c r="NUJ2" s="1825"/>
      <c r="NUK2" s="1825"/>
      <c r="NUL2" s="1825"/>
      <c r="NUM2" s="1825"/>
      <c r="NUN2" s="1825"/>
      <c r="NUO2" s="1825"/>
      <c r="NUP2" s="1825"/>
      <c r="NUQ2" s="1825"/>
      <c r="NUR2" s="1825"/>
      <c r="NUS2" s="1825"/>
      <c r="NUT2" s="1825"/>
      <c r="NUU2" s="1825"/>
      <c r="NUV2" s="1825"/>
      <c r="NUW2" s="1825"/>
      <c r="NUX2" s="1825"/>
      <c r="NUY2" s="1825"/>
      <c r="NUZ2" s="1825"/>
      <c r="NVA2" s="1825"/>
      <c r="NVB2" s="1825"/>
      <c r="NVC2" s="1825"/>
      <c r="NVD2" s="1825"/>
      <c r="NVE2" s="1825"/>
      <c r="NVF2" s="1825"/>
      <c r="NVG2" s="1825"/>
      <c r="NVH2" s="1825"/>
      <c r="NVI2" s="1825"/>
      <c r="NVJ2" s="1825"/>
      <c r="NVK2" s="1825"/>
      <c r="NVL2" s="1825"/>
      <c r="NVM2" s="1825"/>
      <c r="NVN2" s="1825"/>
      <c r="NVO2" s="1825"/>
      <c r="NVP2" s="1825"/>
      <c r="NVQ2" s="1825"/>
      <c r="NVR2" s="1825"/>
      <c r="NVS2" s="1825"/>
      <c r="NVT2" s="1825"/>
      <c r="NVU2" s="1825"/>
      <c r="NVV2" s="1825"/>
      <c r="NVW2" s="1825"/>
      <c r="NVX2" s="1825"/>
      <c r="NVY2" s="1825"/>
      <c r="NVZ2" s="1825"/>
      <c r="NWA2" s="1825"/>
      <c r="NWB2" s="1825"/>
      <c r="NWC2" s="1825"/>
      <c r="NWD2" s="1825"/>
      <c r="NWE2" s="1825"/>
      <c r="NWF2" s="1825"/>
      <c r="NWG2" s="1825"/>
      <c r="NWH2" s="1825"/>
      <c r="NWI2" s="1825"/>
      <c r="NWJ2" s="1825"/>
      <c r="NWK2" s="1825"/>
      <c r="NWL2" s="1825"/>
      <c r="NWM2" s="1825"/>
      <c r="NWN2" s="1825"/>
      <c r="NWO2" s="1825"/>
      <c r="NWP2" s="1825"/>
      <c r="NWQ2" s="1825"/>
      <c r="NWR2" s="1825"/>
      <c r="NWS2" s="1825"/>
      <c r="NWT2" s="1825"/>
      <c r="NWU2" s="1825"/>
      <c r="NWV2" s="1825"/>
      <c r="NWW2" s="1825"/>
      <c r="NWX2" s="1825"/>
      <c r="NWY2" s="1825"/>
      <c r="NWZ2" s="1825"/>
      <c r="NXA2" s="1825"/>
      <c r="NXB2" s="1825"/>
      <c r="NXC2" s="1825"/>
      <c r="NXD2" s="1825"/>
      <c r="NXE2" s="1825"/>
      <c r="NXF2" s="1825"/>
      <c r="NXG2" s="1825"/>
      <c r="NXH2" s="1825"/>
      <c r="NXI2" s="1825"/>
      <c r="NXJ2" s="1825"/>
      <c r="NXK2" s="1825"/>
      <c r="NXL2" s="1825"/>
      <c r="NXM2" s="1825"/>
      <c r="NXN2" s="1825"/>
      <c r="NXO2" s="1825"/>
      <c r="NXP2" s="1825"/>
      <c r="NXQ2" s="1825"/>
      <c r="NXR2" s="1825"/>
      <c r="NXS2" s="1825"/>
      <c r="NXT2" s="1825"/>
      <c r="NXU2" s="1825"/>
      <c r="NXV2" s="1825"/>
      <c r="NXW2" s="1825"/>
      <c r="NXX2" s="1825"/>
      <c r="NXY2" s="1825"/>
      <c r="NXZ2" s="1825"/>
      <c r="NYA2" s="1825"/>
      <c r="NYB2" s="1825"/>
      <c r="NYC2" s="1825"/>
      <c r="NYD2" s="1825"/>
      <c r="NYE2" s="1825"/>
      <c r="NYF2" s="1825"/>
      <c r="NYG2" s="1825"/>
      <c r="NYH2" s="1825"/>
      <c r="NYI2" s="1825"/>
      <c r="NYJ2" s="1825"/>
      <c r="NYK2" s="1825"/>
      <c r="NYL2" s="1825"/>
      <c r="NYM2" s="1825"/>
      <c r="NYN2" s="1825"/>
      <c r="NYO2" s="1825"/>
      <c r="NYP2" s="1825"/>
      <c r="NYQ2" s="1825"/>
      <c r="NYR2" s="1825"/>
      <c r="NYS2" s="1825"/>
      <c r="NYT2" s="1825"/>
      <c r="NYU2" s="1825"/>
      <c r="NYV2" s="1825"/>
      <c r="NYW2" s="1825"/>
      <c r="NYX2" s="1825"/>
      <c r="NYY2" s="1825"/>
      <c r="NYZ2" s="1825"/>
      <c r="NZA2" s="1825"/>
      <c r="NZB2" s="1825"/>
      <c r="NZC2" s="1825"/>
      <c r="NZD2" s="1825"/>
      <c r="NZE2" s="1825"/>
      <c r="NZF2" s="1825"/>
      <c r="NZG2" s="1825"/>
      <c r="NZH2" s="1825"/>
      <c r="NZI2" s="1825"/>
      <c r="NZJ2" s="1825"/>
      <c r="NZK2" s="1825"/>
      <c r="NZL2" s="1825"/>
      <c r="NZM2" s="1825"/>
      <c r="NZN2" s="1825"/>
      <c r="NZO2" s="1825"/>
      <c r="NZP2" s="1825"/>
      <c r="NZQ2" s="1825"/>
      <c r="NZR2" s="1825"/>
      <c r="NZS2" s="1825"/>
      <c r="NZT2" s="1825"/>
      <c r="NZU2" s="1825"/>
      <c r="NZV2" s="1825"/>
      <c r="NZW2" s="1825"/>
      <c r="NZX2" s="1825"/>
      <c r="NZY2" s="1825"/>
      <c r="NZZ2" s="1825"/>
      <c r="OAA2" s="1825"/>
      <c r="OAB2" s="1825"/>
      <c r="OAC2" s="1825"/>
      <c r="OAD2" s="1825"/>
      <c r="OAE2" s="1825"/>
      <c r="OAF2" s="1825"/>
      <c r="OAG2" s="1825"/>
      <c r="OAH2" s="1825"/>
      <c r="OAI2" s="1825"/>
      <c r="OAJ2" s="1825"/>
      <c r="OAK2" s="1825"/>
      <c r="OAL2" s="1825"/>
      <c r="OAM2" s="1825"/>
      <c r="OAN2" s="1825"/>
      <c r="OAO2" s="1825"/>
      <c r="OAP2" s="1825"/>
      <c r="OAQ2" s="1825"/>
      <c r="OAR2" s="1825"/>
      <c r="OAS2" s="1825"/>
      <c r="OAT2" s="1825"/>
      <c r="OAU2" s="1825"/>
      <c r="OAV2" s="1825"/>
      <c r="OAW2" s="1825"/>
      <c r="OAX2" s="1825"/>
      <c r="OAY2" s="1825"/>
      <c r="OAZ2" s="1825"/>
      <c r="OBA2" s="1825"/>
      <c r="OBB2" s="1825"/>
      <c r="OBC2" s="1825"/>
      <c r="OBD2" s="1825"/>
      <c r="OBE2" s="1825"/>
      <c r="OBF2" s="1825"/>
      <c r="OBG2" s="1825"/>
      <c r="OBH2" s="1825"/>
      <c r="OBI2" s="1825"/>
      <c r="OBJ2" s="1825"/>
      <c r="OBK2" s="1825"/>
      <c r="OBL2" s="1825"/>
      <c r="OBM2" s="1825"/>
      <c r="OBN2" s="1825"/>
      <c r="OBO2" s="1825"/>
      <c r="OBP2" s="1825"/>
      <c r="OBQ2" s="1825"/>
      <c r="OBR2" s="1825"/>
      <c r="OBS2" s="1825"/>
      <c r="OBT2" s="1825"/>
      <c r="OBU2" s="1825"/>
      <c r="OBV2" s="1825"/>
      <c r="OBW2" s="1825"/>
      <c r="OBX2" s="1825"/>
      <c r="OBY2" s="1825"/>
      <c r="OBZ2" s="1825"/>
      <c r="OCA2" s="1825"/>
      <c r="OCB2" s="1825"/>
      <c r="OCC2" s="1825"/>
      <c r="OCD2" s="1825"/>
      <c r="OCE2" s="1825"/>
      <c r="OCF2" s="1825"/>
      <c r="OCG2" s="1825"/>
      <c r="OCH2" s="1825"/>
      <c r="OCI2" s="1825"/>
      <c r="OCJ2" s="1825"/>
      <c r="OCK2" s="1825"/>
      <c r="OCL2" s="1825"/>
      <c r="OCM2" s="1825"/>
      <c r="OCN2" s="1825"/>
      <c r="OCO2" s="1825"/>
      <c r="OCP2" s="1825"/>
      <c r="OCQ2" s="1825"/>
      <c r="OCR2" s="1825"/>
      <c r="OCS2" s="1825"/>
      <c r="OCT2" s="1825"/>
      <c r="OCU2" s="1825"/>
      <c r="OCV2" s="1825"/>
      <c r="OCW2" s="1825"/>
      <c r="OCX2" s="1825"/>
      <c r="OCY2" s="1825"/>
      <c r="OCZ2" s="1825"/>
      <c r="ODA2" s="1825"/>
      <c r="ODB2" s="1825"/>
      <c r="ODC2" s="1825"/>
      <c r="ODD2" s="1825"/>
      <c r="ODE2" s="1825"/>
      <c r="ODF2" s="1825"/>
      <c r="ODG2" s="1825"/>
      <c r="ODH2" s="1825"/>
      <c r="ODI2" s="1825"/>
      <c r="ODJ2" s="1825"/>
      <c r="ODK2" s="1825"/>
      <c r="ODL2" s="1825"/>
      <c r="ODM2" s="1825"/>
      <c r="ODN2" s="1825"/>
      <c r="ODO2" s="1825"/>
      <c r="ODP2" s="1825"/>
      <c r="ODQ2" s="1825"/>
      <c r="ODR2" s="1825"/>
      <c r="ODS2" s="1825"/>
      <c r="ODT2" s="1825"/>
      <c r="ODU2" s="1825"/>
      <c r="ODV2" s="1825"/>
      <c r="ODW2" s="1825"/>
      <c r="ODX2" s="1825"/>
      <c r="ODY2" s="1825"/>
      <c r="ODZ2" s="1825"/>
      <c r="OEA2" s="1825"/>
      <c r="OEB2" s="1825"/>
      <c r="OEC2" s="1825"/>
      <c r="OED2" s="1825"/>
      <c r="OEE2" s="1825"/>
      <c r="OEF2" s="1825"/>
      <c r="OEG2" s="1825"/>
      <c r="OEH2" s="1825"/>
      <c r="OEI2" s="1825"/>
      <c r="OEJ2" s="1825"/>
      <c r="OEK2" s="1825"/>
      <c r="OEL2" s="1825"/>
      <c r="OEM2" s="1825"/>
      <c r="OEN2" s="1825"/>
      <c r="OEO2" s="1825"/>
      <c r="OEP2" s="1825"/>
      <c r="OEQ2" s="1825"/>
      <c r="OER2" s="1825"/>
      <c r="OES2" s="1825"/>
      <c r="OET2" s="1825"/>
      <c r="OEU2" s="1825"/>
      <c r="OEV2" s="1825"/>
      <c r="OEW2" s="1825"/>
      <c r="OEX2" s="1825"/>
      <c r="OEY2" s="1825"/>
      <c r="OEZ2" s="1825"/>
      <c r="OFA2" s="1825"/>
      <c r="OFB2" s="1825"/>
      <c r="OFC2" s="1825"/>
      <c r="OFD2" s="1825"/>
      <c r="OFE2" s="1825"/>
      <c r="OFF2" s="1825"/>
      <c r="OFG2" s="1825"/>
      <c r="OFH2" s="1825"/>
      <c r="OFI2" s="1825"/>
      <c r="OFJ2" s="1825"/>
      <c r="OFK2" s="1825"/>
      <c r="OFL2" s="1825"/>
      <c r="OFM2" s="1825"/>
      <c r="OFN2" s="1825"/>
      <c r="OFO2" s="1825"/>
      <c r="OFP2" s="1825"/>
      <c r="OFQ2" s="1825"/>
      <c r="OFR2" s="1825"/>
      <c r="OFS2" s="1825"/>
      <c r="OFT2" s="1825"/>
      <c r="OFU2" s="1825"/>
      <c r="OFV2" s="1825"/>
      <c r="OFW2" s="1825"/>
      <c r="OFX2" s="1825"/>
      <c r="OFY2" s="1825"/>
      <c r="OFZ2" s="1825"/>
      <c r="OGA2" s="1825"/>
      <c r="OGB2" s="1825"/>
      <c r="OGC2" s="1825"/>
      <c r="OGD2" s="1825"/>
      <c r="OGE2" s="1825"/>
      <c r="OGF2" s="1825"/>
      <c r="OGG2" s="1825"/>
      <c r="OGH2" s="1825"/>
      <c r="OGI2" s="1825"/>
      <c r="OGJ2" s="1825"/>
      <c r="OGK2" s="1825"/>
      <c r="OGL2" s="1825"/>
      <c r="OGM2" s="1825"/>
      <c r="OGN2" s="1825"/>
      <c r="OGO2" s="1825"/>
      <c r="OGP2" s="1825"/>
      <c r="OGQ2" s="1825"/>
      <c r="OGR2" s="1825"/>
      <c r="OGS2" s="1825"/>
      <c r="OGT2" s="1825"/>
      <c r="OGU2" s="1825"/>
      <c r="OGV2" s="1825"/>
      <c r="OGW2" s="1825"/>
      <c r="OGX2" s="1825"/>
      <c r="OGY2" s="1825"/>
      <c r="OGZ2" s="1825"/>
      <c r="OHA2" s="1825"/>
      <c r="OHB2" s="1825"/>
      <c r="OHC2" s="1825"/>
      <c r="OHD2" s="1825"/>
      <c r="OHE2" s="1825"/>
      <c r="OHF2" s="1825"/>
      <c r="OHG2" s="1825"/>
      <c r="OHH2" s="1825"/>
      <c r="OHI2" s="1825"/>
      <c r="OHJ2" s="1825"/>
      <c r="OHK2" s="1825"/>
      <c r="OHL2" s="1825"/>
      <c r="OHM2" s="1825"/>
      <c r="OHN2" s="1825"/>
      <c r="OHO2" s="1825"/>
      <c r="OHP2" s="1825"/>
      <c r="OHQ2" s="1825"/>
      <c r="OHR2" s="1825"/>
      <c r="OHS2" s="1825"/>
      <c r="OHT2" s="1825"/>
      <c r="OHU2" s="1825"/>
      <c r="OHV2" s="1825"/>
      <c r="OHW2" s="1825"/>
      <c r="OHX2" s="1825"/>
      <c r="OHY2" s="1825"/>
      <c r="OHZ2" s="1825"/>
      <c r="OIA2" s="1825"/>
      <c r="OIB2" s="1825"/>
      <c r="OIC2" s="1825"/>
      <c r="OID2" s="1825"/>
      <c r="OIE2" s="1825"/>
      <c r="OIF2" s="1825"/>
      <c r="OIG2" s="1825"/>
      <c r="OIH2" s="1825"/>
      <c r="OII2" s="1825"/>
      <c r="OIJ2" s="1825"/>
      <c r="OIK2" s="1825"/>
      <c r="OIL2" s="1825"/>
      <c r="OIM2" s="1825"/>
      <c r="OIN2" s="1825"/>
      <c r="OIO2" s="1825"/>
      <c r="OIP2" s="1825"/>
      <c r="OIQ2" s="1825"/>
      <c r="OIR2" s="1825"/>
      <c r="OIS2" s="1825"/>
      <c r="OIT2" s="1825"/>
      <c r="OIU2" s="1825"/>
      <c r="OIV2" s="1825"/>
      <c r="OIW2" s="1825"/>
      <c r="OIX2" s="1825"/>
      <c r="OIY2" s="1825"/>
      <c r="OIZ2" s="1825"/>
      <c r="OJA2" s="1825"/>
      <c r="OJB2" s="1825"/>
      <c r="OJC2" s="1825"/>
      <c r="OJD2" s="1825"/>
      <c r="OJE2" s="1825"/>
      <c r="OJF2" s="1825"/>
      <c r="OJG2" s="1825"/>
      <c r="OJH2" s="1825"/>
      <c r="OJI2" s="1825"/>
      <c r="OJJ2" s="1825"/>
      <c r="OJK2" s="1825"/>
      <c r="OJL2" s="1825"/>
      <c r="OJM2" s="1825"/>
      <c r="OJN2" s="1825"/>
      <c r="OJO2" s="1825"/>
      <c r="OJP2" s="1825"/>
      <c r="OJQ2" s="1825"/>
      <c r="OJR2" s="1825"/>
      <c r="OJS2" s="1825"/>
      <c r="OJT2" s="1825"/>
      <c r="OJU2" s="1825"/>
      <c r="OJV2" s="1825"/>
      <c r="OJW2" s="1825"/>
      <c r="OJX2" s="1825"/>
      <c r="OJY2" s="1825"/>
      <c r="OJZ2" s="1825"/>
      <c r="OKA2" s="1825"/>
      <c r="OKB2" s="1825"/>
      <c r="OKC2" s="1825"/>
      <c r="OKD2" s="1825"/>
      <c r="OKE2" s="1825"/>
      <c r="OKF2" s="1825"/>
      <c r="OKG2" s="1825"/>
      <c r="OKH2" s="1825"/>
      <c r="OKI2" s="1825"/>
      <c r="OKJ2" s="1825"/>
      <c r="OKK2" s="1825"/>
      <c r="OKL2" s="1825"/>
      <c r="OKM2" s="1825"/>
      <c r="OKN2" s="1825"/>
      <c r="OKO2" s="1825"/>
      <c r="OKP2" s="1825"/>
      <c r="OKQ2" s="1825"/>
      <c r="OKR2" s="1825"/>
      <c r="OKS2" s="1825"/>
      <c r="OKT2" s="1825"/>
      <c r="OKU2" s="1825"/>
      <c r="OKV2" s="1825"/>
      <c r="OKW2" s="1825"/>
      <c r="OKX2" s="1825"/>
      <c r="OKY2" s="1825"/>
      <c r="OKZ2" s="1825"/>
      <c r="OLA2" s="1825"/>
      <c r="OLB2" s="1825"/>
      <c r="OLC2" s="1825"/>
      <c r="OLD2" s="1825"/>
      <c r="OLE2" s="1825"/>
      <c r="OLF2" s="1825"/>
      <c r="OLG2" s="1825"/>
      <c r="OLH2" s="1825"/>
      <c r="OLI2" s="1825"/>
      <c r="OLJ2" s="1825"/>
      <c r="OLK2" s="1825"/>
      <c r="OLL2" s="1825"/>
      <c r="OLM2" s="1825"/>
      <c r="OLN2" s="1825"/>
      <c r="OLO2" s="1825"/>
      <c r="OLP2" s="1825"/>
      <c r="OLQ2" s="1825"/>
      <c r="OLR2" s="1825"/>
      <c r="OLS2" s="1825"/>
      <c r="OLT2" s="1825"/>
      <c r="OLU2" s="1825"/>
      <c r="OLV2" s="1825"/>
      <c r="OLW2" s="1825"/>
      <c r="OLX2" s="1825"/>
      <c r="OLY2" s="1825"/>
      <c r="OLZ2" s="1825"/>
      <c r="OMA2" s="1825"/>
      <c r="OMB2" s="1825"/>
      <c r="OMC2" s="1825"/>
      <c r="OMD2" s="1825"/>
      <c r="OME2" s="1825"/>
      <c r="OMF2" s="1825"/>
      <c r="OMG2" s="1825"/>
      <c r="OMH2" s="1825"/>
      <c r="OMI2" s="1825"/>
      <c r="OMJ2" s="1825"/>
      <c r="OMK2" s="1825"/>
      <c r="OML2" s="1825"/>
      <c r="OMM2" s="1825"/>
      <c r="OMN2" s="1825"/>
      <c r="OMO2" s="1825"/>
      <c r="OMP2" s="1825"/>
      <c r="OMQ2" s="1825"/>
      <c r="OMR2" s="1825"/>
      <c r="OMS2" s="1825"/>
      <c r="OMT2" s="1825"/>
      <c r="OMU2" s="1825"/>
      <c r="OMV2" s="1825"/>
      <c r="OMW2" s="1825"/>
      <c r="OMX2" s="1825"/>
      <c r="OMY2" s="1825"/>
      <c r="OMZ2" s="1825"/>
      <c r="ONA2" s="1825"/>
      <c r="ONB2" s="1825"/>
      <c r="ONC2" s="1825"/>
      <c r="OND2" s="1825"/>
      <c r="ONE2" s="1825"/>
      <c r="ONF2" s="1825"/>
      <c r="ONG2" s="1825"/>
      <c r="ONH2" s="1825"/>
      <c r="ONI2" s="1825"/>
      <c r="ONJ2" s="1825"/>
      <c r="ONK2" s="1825"/>
      <c r="ONL2" s="1825"/>
      <c r="ONM2" s="1825"/>
      <c r="ONN2" s="1825"/>
      <c r="ONO2" s="1825"/>
      <c r="ONP2" s="1825"/>
      <c r="ONQ2" s="1825"/>
      <c r="ONR2" s="1825"/>
      <c r="ONS2" s="1825"/>
      <c r="ONT2" s="1825"/>
      <c r="ONU2" s="1825"/>
      <c r="ONV2" s="1825"/>
      <c r="ONW2" s="1825"/>
      <c r="ONX2" s="1825"/>
      <c r="ONY2" s="1825"/>
      <c r="ONZ2" s="1825"/>
      <c r="OOA2" s="1825"/>
      <c r="OOB2" s="1825"/>
      <c r="OOC2" s="1825"/>
      <c r="OOD2" s="1825"/>
      <c r="OOE2" s="1825"/>
      <c r="OOF2" s="1825"/>
      <c r="OOG2" s="1825"/>
      <c r="OOH2" s="1825"/>
      <c r="OOI2" s="1825"/>
      <c r="OOJ2" s="1825"/>
      <c r="OOK2" s="1825"/>
      <c r="OOL2" s="1825"/>
      <c r="OOM2" s="1825"/>
      <c r="OON2" s="1825"/>
      <c r="OOO2" s="1825"/>
      <c r="OOP2" s="1825"/>
      <c r="OOQ2" s="1825"/>
      <c r="OOR2" s="1825"/>
      <c r="OOS2" s="1825"/>
      <c r="OOT2" s="1825"/>
      <c r="OOU2" s="1825"/>
      <c r="OOV2" s="1825"/>
      <c r="OOW2" s="1825"/>
      <c r="OOX2" s="1825"/>
      <c r="OOY2" s="1825"/>
      <c r="OOZ2" s="1825"/>
      <c r="OPA2" s="1825"/>
      <c r="OPB2" s="1825"/>
      <c r="OPC2" s="1825"/>
      <c r="OPD2" s="1825"/>
      <c r="OPE2" s="1825"/>
      <c r="OPF2" s="1825"/>
      <c r="OPG2" s="1825"/>
      <c r="OPH2" s="1825"/>
      <c r="OPI2" s="1825"/>
      <c r="OPJ2" s="1825"/>
      <c r="OPK2" s="1825"/>
      <c r="OPL2" s="1825"/>
      <c r="OPM2" s="1825"/>
      <c r="OPN2" s="1825"/>
      <c r="OPO2" s="1825"/>
      <c r="OPP2" s="1825"/>
      <c r="OPQ2" s="1825"/>
      <c r="OPR2" s="1825"/>
      <c r="OPS2" s="1825"/>
      <c r="OPT2" s="1825"/>
      <c r="OPU2" s="1825"/>
      <c r="OPV2" s="1825"/>
      <c r="OPW2" s="1825"/>
      <c r="OPX2" s="1825"/>
      <c r="OPY2" s="1825"/>
      <c r="OPZ2" s="1825"/>
      <c r="OQA2" s="1825"/>
      <c r="OQB2" s="1825"/>
      <c r="OQC2" s="1825"/>
      <c r="OQD2" s="1825"/>
      <c r="OQE2" s="1825"/>
      <c r="OQF2" s="1825"/>
      <c r="OQG2" s="1825"/>
      <c r="OQH2" s="1825"/>
      <c r="OQI2" s="1825"/>
      <c r="OQJ2" s="1825"/>
      <c r="OQK2" s="1825"/>
      <c r="OQL2" s="1825"/>
      <c r="OQM2" s="1825"/>
      <c r="OQN2" s="1825"/>
      <c r="OQO2" s="1825"/>
      <c r="OQP2" s="1825"/>
      <c r="OQQ2" s="1825"/>
      <c r="OQR2" s="1825"/>
      <c r="OQS2" s="1825"/>
      <c r="OQT2" s="1825"/>
      <c r="OQU2" s="1825"/>
      <c r="OQV2" s="1825"/>
      <c r="OQW2" s="1825"/>
      <c r="OQX2" s="1825"/>
      <c r="OQY2" s="1825"/>
      <c r="OQZ2" s="1825"/>
      <c r="ORA2" s="1825"/>
      <c r="ORB2" s="1825"/>
      <c r="ORC2" s="1825"/>
      <c r="ORD2" s="1825"/>
      <c r="ORE2" s="1825"/>
      <c r="ORF2" s="1825"/>
      <c r="ORG2" s="1825"/>
      <c r="ORH2" s="1825"/>
      <c r="ORI2" s="1825"/>
      <c r="ORJ2" s="1825"/>
      <c r="ORK2" s="1825"/>
      <c r="ORL2" s="1825"/>
      <c r="ORM2" s="1825"/>
      <c r="ORN2" s="1825"/>
      <c r="ORO2" s="1825"/>
      <c r="ORP2" s="1825"/>
      <c r="ORQ2" s="1825"/>
      <c r="ORR2" s="1825"/>
      <c r="ORS2" s="1825"/>
      <c r="ORT2" s="1825"/>
      <c r="ORU2" s="1825"/>
      <c r="ORV2" s="1825"/>
      <c r="ORW2" s="1825"/>
      <c r="ORX2" s="1825"/>
      <c r="ORY2" s="1825"/>
      <c r="ORZ2" s="1825"/>
      <c r="OSA2" s="1825"/>
      <c r="OSB2" s="1825"/>
      <c r="OSC2" s="1825"/>
      <c r="OSD2" s="1825"/>
      <c r="OSE2" s="1825"/>
      <c r="OSF2" s="1825"/>
      <c r="OSG2" s="1825"/>
      <c r="OSH2" s="1825"/>
      <c r="OSI2" s="1825"/>
      <c r="OSJ2" s="1825"/>
      <c r="OSK2" s="1825"/>
      <c r="OSL2" s="1825"/>
      <c r="OSM2" s="1825"/>
      <c r="OSN2" s="1825"/>
      <c r="OSO2" s="1825"/>
      <c r="OSP2" s="1825"/>
      <c r="OSQ2" s="1825"/>
      <c r="OSR2" s="1825"/>
      <c r="OSS2" s="1825"/>
      <c r="OST2" s="1825"/>
      <c r="OSU2" s="1825"/>
      <c r="OSV2" s="1825"/>
      <c r="OSW2" s="1825"/>
      <c r="OSX2" s="1825"/>
      <c r="OSY2" s="1825"/>
      <c r="OSZ2" s="1825"/>
      <c r="OTA2" s="1825"/>
      <c r="OTB2" s="1825"/>
      <c r="OTC2" s="1825"/>
      <c r="OTD2" s="1825"/>
      <c r="OTE2" s="1825"/>
      <c r="OTF2" s="1825"/>
      <c r="OTG2" s="1825"/>
      <c r="OTH2" s="1825"/>
      <c r="OTI2" s="1825"/>
      <c r="OTJ2" s="1825"/>
      <c r="OTK2" s="1825"/>
      <c r="OTL2" s="1825"/>
      <c r="OTM2" s="1825"/>
      <c r="OTN2" s="1825"/>
      <c r="OTO2" s="1825"/>
      <c r="OTP2" s="1825"/>
      <c r="OTQ2" s="1825"/>
      <c r="OTR2" s="1825"/>
      <c r="OTS2" s="1825"/>
      <c r="OTT2" s="1825"/>
      <c r="OTU2" s="1825"/>
      <c r="OTV2" s="1825"/>
      <c r="OTW2" s="1825"/>
      <c r="OTX2" s="1825"/>
      <c r="OTY2" s="1825"/>
      <c r="OTZ2" s="1825"/>
      <c r="OUA2" s="1825"/>
      <c r="OUB2" s="1825"/>
      <c r="OUC2" s="1825"/>
      <c r="OUD2" s="1825"/>
      <c r="OUE2" s="1825"/>
      <c r="OUF2" s="1825"/>
      <c r="OUG2" s="1825"/>
      <c r="OUH2" s="1825"/>
      <c r="OUI2" s="1825"/>
      <c r="OUJ2" s="1825"/>
      <c r="OUK2" s="1825"/>
      <c r="OUL2" s="1825"/>
      <c r="OUM2" s="1825"/>
      <c r="OUN2" s="1825"/>
      <c r="OUO2" s="1825"/>
      <c r="OUP2" s="1825"/>
      <c r="OUQ2" s="1825"/>
      <c r="OUR2" s="1825"/>
      <c r="OUS2" s="1825"/>
      <c r="OUT2" s="1825"/>
      <c r="OUU2" s="1825"/>
      <c r="OUV2" s="1825"/>
      <c r="OUW2" s="1825"/>
      <c r="OUX2" s="1825"/>
      <c r="OUY2" s="1825"/>
      <c r="OUZ2" s="1825"/>
      <c r="OVA2" s="1825"/>
      <c r="OVB2" s="1825"/>
      <c r="OVC2" s="1825"/>
      <c r="OVD2" s="1825"/>
      <c r="OVE2" s="1825"/>
      <c r="OVF2" s="1825"/>
      <c r="OVG2" s="1825"/>
      <c r="OVH2" s="1825"/>
      <c r="OVI2" s="1825"/>
      <c r="OVJ2" s="1825"/>
      <c r="OVK2" s="1825"/>
      <c r="OVL2" s="1825"/>
      <c r="OVM2" s="1825"/>
      <c r="OVN2" s="1825"/>
      <c r="OVO2" s="1825"/>
      <c r="OVP2" s="1825"/>
      <c r="OVQ2" s="1825"/>
      <c r="OVR2" s="1825"/>
      <c r="OVS2" s="1825"/>
      <c r="OVT2" s="1825"/>
      <c r="OVU2" s="1825"/>
      <c r="OVV2" s="1825"/>
      <c r="OVW2" s="1825"/>
      <c r="OVX2" s="1825"/>
      <c r="OVY2" s="1825"/>
      <c r="OVZ2" s="1825"/>
      <c r="OWA2" s="1825"/>
      <c r="OWB2" s="1825"/>
      <c r="OWC2" s="1825"/>
      <c r="OWD2" s="1825"/>
      <c r="OWE2" s="1825"/>
      <c r="OWF2" s="1825"/>
      <c r="OWG2" s="1825"/>
      <c r="OWH2" s="1825"/>
      <c r="OWI2" s="1825"/>
      <c r="OWJ2" s="1825"/>
      <c r="OWK2" s="1825"/>
      <c r="OWL2" s="1825"/>
      <c r="OWM2" s="1825"/>
      <c r="OWN2" s="1825"/>
      <c r="OWO2" s="1825"/>
      <c r="OWP2" s="1825"/>
      <c r="OWQ2" s="1825"/>
      <c r="OWR2" s="1825"/>
      <c r="OWS2" s="1825"/>
      <c r="OWT2" s="1825"/>
      <c r="OWU2" s="1825"/>
      <c r="OWV2" s="1825"/>
      <c r="OWW2" s="1825"/>
      <c r="OWX2" s="1825"/>
      <c r="OWY2" s="1825"/>
      <c r="OWZ2" s="1825"/>
      <c r="OXA2" s="1825"/>
      <c r="OXB2" s="1825"/>
      <c r="OXC2" s="1825"/>
      <c r="OXD2" s="1825"/>
      <c r="OXE2" s="1825"/>
      <c r="OXF2" s="1825"/>
      <c r="OXG2" s="1825"/>
      <c r="OXH2" s="1825"/>
      <c r="OXI2" s="1825"/>
      <c r="OXJ2" s="1825"/>
      <c r="OXK2" s="1825"/>
      <c r="OXL2" s="1825"/>
      <c r="OXM2" s="1825"/>
      <c r="OXN2" s="1825"/>
      <c r="OXO2" s="1825"/>
      <c r="OXP2" s="1825"/>
      <c r="OXQ2" s="1825"/>
      <c r="OXR2" s="1825"/>
      <c r="OXS2" s="1825"/>
      <c r="OXT2" s="1825"/>
      <c r="OXU2" s="1825"/>
      <c r="OXV2" s="1825"/>
      <c r="OXW2" s="1825"/>
      <c r="OXX2" s="1825"/>
      <c r="OXY2" s="1825"/>
      <c r="OXZ2" s="1825"/>
      <c r="OYA2" s="1825"/>
      <c r="OYB2" s="1825"/>
      <c r="OYC2" s="1825"/>
      <c r="OYD2" s="1825"/>
      <c r="OYE2" s="1825"/>
      <c r="OYF2" s="1825"/>
      <c r="OYG2" s="1825"/>
      <c r="OYH2" s="1825"/>
      <c r="OYI2" s="1825"/>
      <c r="OYJ2" s="1825"/>
      <c r="OYK2" s="1825"/>
      <c r="OYL2" s="1825"/>
      <c r="OYM2" s="1825"/>
      <c r="OYN2" s="1825"/>
      <c r="OYO2" s="1825"/>
      <c r="OYP2" s="1825"/>
      <c r="OYQ2" s="1825"/>
      <c r="OYR2" s="1825"/>
      <c r="OYS2" s="1825"/>
      <c r="OYT2" s="1825"/>
      <c r="OYU2" s="1825"/>
      <c r="OYV2" s="1825"/>
      <c r="OYW2" s="1825"/>
      <c r="OYX2" s="1825"/>
      <c r="OYY2" s="1825"/>
      <c r="OYZ2" s="1825"/>
      <c r="OZA2" s="1825"/>
      <c r="OZB2" s="1825"/>
      <c r="OZC2" s="1825"/>
      <c r="OZD2" s="1825"/>
      <c r="OZE2" s="1825"/>
      <c r="OZF2" s="1825"/>
      <c r="OZG2" s="1825"/>
      <c r="OZH2" s="1825"/>
      <c r="OZI2" s="1825"/>
      <c r="OZJ2" s="1825"/>
      <c r="OZK2" s="1825"/>
      <c r="OZL2" s="1825"/>
      <c r="OZM2" s="1825"/>
      <c r="OZN2" s="1825"/>
      <c r="OZO2" s="1825"/>
      <c r="OZP2" s="1825"/>
      <c r="OZQ2" s="1825"/>
      <c r="OZR2" s="1825"/>
      <c r="OZS2" s="1825"/>
      <c r="OZT2" s="1825"/>
      <c r="OZU2" s="1825"/>
      <c r="OZV2" s="1825"/>
      <c r="OZW2" s="1825"/>
      <c r="OZX2" s="1825"/>
      <c r="OZY2" s="1825"/>
      <c r="OZZ2" s="1825"/>
      <c r="PAA2" s="1825"/>
      <c r="PAB2" s="1825"/>
      <c r="PAC2" s="1825"/>
      <c r="PAD2" s="1825"/>
      <c r="PAE2" s="1825"/>
      <c r="PAF2" s="1825"/>
      <c r="PAG2" s="1825"/>
      <c r="PAH2" s="1825"/>
      <c r="PAI2" s="1825"/>
      <c r="PAJ2" s="1825"/>
      <c r="PAK2" s="1825"/>
      <c r="PAL2" s="1825"/>
      <c r="PAM2" s="1825"/>
      <c r="PAN2" s="1825"/>
      <c r="PAO2" s="1825"/>
      <c r="PAP2" s="1825"/>
      <c r="PAQ2" s="1825"/>
      <c r="PAR2" s="1825"/>
      <c r="PAS2" s="1825"/>
      <c r="PAT2" s="1825"/>
      <c r="PAU2" s="1825"/>
      <c r="PAV2" s="1825"/>
      <c r="PAW2" s="1825"/>
      <c r="PAX2" s="1825"/>
      <c r="PAY2" s="1825"/>
      <c r="PAZ2" s="1825"/>
      <c r="PBA2" s="1825"/>
      <c r="PBB2" s="1825"/>
      <c r="PBC2" s="1825"/>
      <c r="PBD2" s="1825"/>
      <c r="PBE2" s="1825"/>
      <c r="PBF2" s="1825"/>
      <c r="PBG2" s="1825"/>
      <c r="PBH2" s="1825"/>
      <c r="PBI2" s="1825"/>
      <c r="PBJ2" s="1825"/>
      <c r="PBK2" s="1825"/>
      <c r="PBL2" s="1825"/>
      <c r="PBM2" s="1825"/>
      <c r="PBN2" s="1825"/>
      <c r="PBO2" s="1825"/>
      <c r="PBP2" s="1825"/>
      <c r="PBQ2" s="1825"/>
      <c r="PBR2" s="1825"/>
      <c r="PBS2" s="1825"/>
      <c r="PBT2" s="1825"/>
      <c r="PBU2" s="1825"/>
      <c r="PBV2" s="1825"/>
      <c r="PBW2" s="1825"/>
      <c r="PBX2" s="1825"/>
      <c r="PBY2" s="1825"/>
      <c r="PBZ2" s="1825"/>
      <c r="PCA2" s="1825"/>
      <c r="PCB2" s="1825"/>
      <c r="PCC2" s="1825"/>
      <c r="PCD2" s="1825"/>
      <c r="PCE2" s="1825"/>
      <c r="PCF2" s="1825"/>
      <c r="PCG2" s="1825"/>
      <c r="PCH2" s="1825"/>
      <c r="PCI2" s="1825"/>
      <c r="PCJ2" s="1825"/>
      <c r="PCK2" s="1825"/>
      <c r="PCL2" s="1825"/>
      <c r="PCM2" s="1825"/>
      <c r="PCN2" s="1825"/>
      <c r="PCO2" s="1825"/>
      <c r="PCP2" s="1825"/>
      <c r="PCQ2" s="1825"/>
      <c r="PCR2" s="1825"/>
      <c r="PCS2" s="1825"/>
      <c r="PCT2" s="1825"/>
      <c r="PCU2" s="1825"/>
      <c r="PCV2" s="1825"/>
      <c r="PCW2" s="1825"/>
      <c r="PCX2" s="1825"/>
      <c r="PCY2" s="1825"/>
      <c r="PCZ2" s="1825"/>
      <c r="PDA2" s="1825"/>
      <c r="PDB2" s="1825"/>
      <c r="PDC2" s="1825"/>
      <c r="PDD2" s="1825"/>
      <c r="PDE2" s="1825"/>
      <c r="PDF2" s="1825"/>
      <c r="PDG2" s="1825"/>
      <c r="PDH2" s="1825"/>
      <c r="PDI2" s="1825"/>
      <c r="PDJ2" s="1825"/>
      <c r="PDK2" s="1825"/>
      <c r="PDL2" s="1825"/>
      <c r="PDM2" s="1825"/>
      <c r="PDN2" s="1825"/>
      <c r="PDO2" s="1825"/>
      <c r="PDP2" s="1825"/>
      <c r="PDQ2" s="1825"/>
      <c r="PDR2" s="1825"/>
      <c r="PDS2" s="1825"/>
      <c r="PDT2" s="1825"/>
      <c r="PDU2" s="1825"/>
      <c r="PDV2" s="1825"/>
      <c r="PDW2" s="1825"/>
      <c r="PDX2" s="1825"/>
      <c r="PDY2" s="1825"/>
      <c r="PDZ2" s="1825"/>
      <c r="PEA2" s="1825"/>
      <c r="PEB2" s="1825"/>
      <c r="PEC2" s="1825"/>
      <c r="PED2" s="1825"/>
      <c r="PEE2" s="1825"/>
      <c r="PEF2" s="1825"/>
      <c r="PEG2" s="1825"/>
      <c r="PEH2" s="1825"/>
      <c r="PEI2" s="1825"/>
      <c r="PEJ2" s="1825"/>
      <c r="PEK2" s="1825"/>
      <c r="PEL2" s="1825"/>
      <c r="PEM2" s="1825"/>
      <c r="PEN2" s="1825"/>
      <c r="PEO2" s="1825"/>
      <c r="PEP2" s="1825"/>
      <c r="PEQ2" s="1825"/>
      <c r="PER2" s="1825"/>
      <c r="PES2" s="1825"/>
      <c r="PET2" s="1825"/>
      <c r="PEU2" s="1825"/>
      <c r="PEV2" s="1825"/>
      <c r="PEW2" s="1825"/>
      <c r="PEX2" s="1825"/>
      <c r="PEY2" s="1825"/>
      <c r="PEZ2" s="1825"/>
      <c r="PFA2" s="1825"/>
      <c r="PFB2" s="1825"/>
      <c r="PFC2" s="1825"/>
      <c r="PFD2" s="1825"/>
      <c r="PFE2" s="1825"/>
      <c r="PFF2" s="1825"/>
      <c r="PFG2" s="1825"/>
      <c r="PFH2" s="1825"/>
      <c r="PFI2" s="1825"/>
      <c r="PFJ2" s="1825"/>
      <c r="PFK2" s="1825"/>
      <c r="PFL2" s="1825"/>
      <c r="PFM2" s="1825"/>
      <c r="PFN2" s="1825"/>
      <c r="PFO2" s="1825"/>
      <c r="PFP2" s="1825"/>
      <c r="PFQ2" s="1825"/>
      <c r="PFR2" s="1825"/>
      <c r="PFS2" s="1825"/>
      <c r="PFT2" s="1825"/>
      <c r="PFU2" s="1825"/>
      <c r="PFV2" s="1825"/>
      <c r="PFW2" s="1825"/>
      <c r="PFX2" s="1825"/>
      <c r="PFY2" s="1825"/>
      <c r="PFZ2" s="1825"/>
      <c r="PGA2" s="1825"/>
      <c r="PGB2" s="1825"/>
      <c r="PGC2" s="1825"/>
      <c r="PGD2" s="1825"/>
      <c r="PGE2" s="1825"/>
      <c r="PGF2" s="1825"/>
      <c r="PGG2" s="1825"/>
      <c r="PGH2" s="1825"/>
      <c r="PGI2" s="1825"/>
      <c r="PGJ2" s="1825"/>
      <c r="PGK2" s="1825"/>
      <c r="PGL2" s="1825"/>
      <c r="PGM2" s="1825"/>
      <c r="PGN2" s="1825"/>
      <c r="PGO2" s="1825"/>
      <c r="PGP2" s="1825"/>
      <c r="PGQ2" s="1825"/>
      <c r="PGR2" s="1825"/>
      <c r="PGS2" s="1825"/>
      <c r="PGT2" s="1825"/>
      <c r="PGU2" s="1825"/>
      <c r="PGV2" s="1825"/>
      <c r="PGW2" s="1825"/>
      <c r="PGX2" s="1825"/>
      <c r="PGY2" s="1825"/>
      <c r="PGZ2" s="1825"/>
      <c r="PHA2" s="1825"/>
      <c r="PHB2" s="1825"/>
      <c r="PHC2" s="1825"/>
      <c r="PHD2" s="1825"/>
      <c r="PHE2" s="1825"/>
      <c r="PHF2" s="1825"/>
      <c r="PHG2" s="1825"/>
      <c r="PHH2" s="1825"/>
      <c r="PHI2" s="1825"/>
      <c r="PHJ2" s="1825"/>
      <c r="PHK2" s="1825"/>
      <c r="PHL2" s="1825"/>
      <c r="PHM2" s="1825"/>
      <c r="PHN2" s="1825"/>
      <c r="PHO2" s="1825"/>
      <c r="PHP2" s="1825"/>
      <c r="PHQ2" s="1825"/>
      <c r="PHR2" s="1825"/>
      <c r="PHS2" s="1825"/>
      <c r="PHT2" s="1825"/>
      <c r="PHU2" s="1825"/>
      <c r="PHV2" s="1825"/>
      <c r="PHW2" s="1825"/>
      <c r="PHX2" s="1825"/>
      <c r="PHY2" s="1825"/>
      <c r="PHZ2" s="1825"/>
      <c r="PIA2" s="1825"/>
      <c r="PIB2" s="1825"/>
      <c r="PIC2" s="1825"/>
      <c r="PID2" s="1825"/>
      <c r="PIE2" s="1825"/>
      <c r="PIF2" s="1825"/>
      <c r="PIG2" s="1825"/>
      <c r="PIH2" s="1825"/>
      <c r="PII2" s="1825"/>
      <c r="PIJ2" s="1825"/>
      <c r="PIK2" s="1825"/>
      <c r="PIL2" s="1825"/>
      <c r="PIM2" s="1825"/>
      <c r="PIN2" s="1825"/>
      <c r="PIO2" s="1825"/>
      <c r="PIP2" s="1825"/>
      <c r="PIQ2" s="1825"/>
      <c r="PIR2" s="1825"/>
      <c r="PIS2" s="1825"/>
      <c r="PIT2" s="1825"/>
      <c r="PIU2" s="1825"/>
      <c r="PIV2" s="1825"/>
      <c r="PIW2" s="1825"/>
      <c r="PIX2" s="1825"/>
      <c r="PIY2" s="1825"/>
      <c r="PIZ2" s="1825"/>
      <c r="PJA2" s="1825"/>
      <c r="PJB2" s="1825"/>
      <c r="PJC2" s="1825"/>
      <c r="PJD2" s="1825"/>
      <c r="PJE2" s="1825"/>
      <c r="PJF2" s="1825"/>
      <c r="PJG2" s="1825"/>
      <c r="PJH2" s="1825"/>
      <c r="PJI2" s="1825"/>
      <c r="PJJ2" s="1825"/>
      <c r="PJK2" s="1825"/>
      <c r="PJL2" s="1825"/>
      <c r="PJM2" s="1825"/>
      <c r="PJN2" s="1825"/>
      <c r="PJO2" s="1825"/>
      <c r="PJP2" s="1825"/>
      <c r="PJQ2" s="1825"/>
      <c r="PJR2" s="1825"/>
      <c r="PJS2" s="1825"/>
      <c r="PJT2" s="1825"/>
      <c r="PJU2" s="1825"/>
      <c r="PJV2" s="1825"/>
      <c r="PJW2" s="1825"/>
      <c r="PJX2" s="1825"/>
      <c r="PJY2" s="1825"/>
      <c r="PJZ2" s="1825"/>
      <c r="PKA2" s="1825"/>
      <c r="PKB2" s="1825"/>
      <c r="PKC2" s="1825"/>
      <c r="PKD2" s="1825"/>
      <c r="PKE2" s="1825"/>
      <c r="PKF2" s="1825"/>
      <c r="PKG2" s="1825"/>
      <c r="PKH2" s="1825"/>
      <c r="PKI2" s="1825"/>
      <c r="PKJ2" s="1825"/>
      <c r="PKK2" s="1825"/>
      <c r="PKL2" s="1825"/>
      <c r="PKM2" s="1825"/>
      <c r="PKN2" s="1825"/>
      <c r="PKO2" s="1825"/>
      <c r="PKP2" s="1825"/>
      <c r="PKQ2" s="1825"/>
      <c r="PKR2" s="1825"/>
      <c r="PKS2" s="1825"/>
      <c r="PKT2" s="1825"/>
      <c r="PKU2" s="1825"/>
      <c r="PKV2" s="1825"/>
      <c r="PKW2" s="1825"/>
      <c r="PKX2" s="1825"/>
      <c r="PKY2" s="1825"/>
      <c r="PKZ2" s="1825"/>
      <c r="PLA2" s="1825"/>
      <c r="PLB2" s="1825"/>
      <c r="PLC2" s="1825"/>
      <c r="PLD2" s="1825"/>
      <c r="PLE2" s="1825"/>
      <c r="PLF2" s="1825"/>
      <c r="PLG2" s="1825"/>
      <c r="PLH2" s="1825"/>
      <c r="PLI2" s="1825"/>
      <c r="PLJ2" s="1825"/>
      <c r="PLK2" s="1825"/>
      <c r="PLL2" s="1825"/>
      <c r="PLM2" s="1825"/>
      <c r="PLN2" s="1825"/>
      <c r="PLO2" s="1825"/>
      <c r="PLP2" s="1825"/>
      <c r="PLQ2" s="1825"/>
      <c r="PLR2" s="1825"/>
      <c r="PLS2" s="1825"/>
      <c r="PLT2" s="1825"/>
      <c r="PLU2" s="1825"/>
      <c r="PLV2" s="1825"/>
      <c r="PLW2" s="1825"/>
      <c r="PLX2" s="1825"/>
      <c r="PLY2" s="1825"/>
      <c r="PLZ2" s="1825"/>
      <c r="PMA2" s="1825"/>
      <c r="PMB2" s="1825"/>
      <c r="PMC2" s="1825"/>
      <c r="PMD2" s="1825"/>
      <c r="PME2" s="1825"/>
      <c r="PMF2" s="1825"/>
      <c r="PMG2" s="1825"/>
      <c r="PMH2" s="1825"/>
      <c r="PMI2" s="1825"/>
      <c r="PMJ2" s="1825"/>
      <c r="PMK2" s="1825"/>
      <c r="PML2" s="1825"/>
      <c r="PMM2" s="1825"/>
      <c r="PMN2" s="1825"/>
      <c r="PMO2" s="1825"/>
      <c r="PMP2" s="1825"/>
      <c r="PMQ2" s="1825"/>
      <c r="PMR2" s="1825"/>
      <c r="PMS2" s="1825"/>
      <c r="PMT2" s="1825"/>
      <c r="PMU2" s="1825"/>
      <c r="PMV2" s="1825"/>
      <c r="PMW2" s="1825"/>
      <c r="PMX2" s="1825"/>
      <c r="PMY2" s="1825"/>
      <c r="PMZ2" s="1825"/>
      <c r="PNA2" s="1825"/>
      <c r="PNB2" s="1825"/>
      <c r="PNC2" s="1825"/>
      <c r="PND2" s="1825"/>
      <c r="PNE2" s="1825"/>
      <c r="PNF2" s="1825"/>
      <c r="PNG2" s="1825"/>
      <c r="PNH2" s="1825"/>
      <c r="PNI2" s="1825"/>
      <c r="PNJ2" s="1825"/>
      <c r="PNK2" s="1825"/>
      <c r="PNL2" s="1825"/>
      <c r="PNM2" s="1825"/>
      <c r="PNN2" s="1825"/>
      <c r="PNO2" s="1825"/>
      <c r="PNP2" s="1825"/>
      <c r="PNQ2" s="1825"/>
      <c r="PNR2" s="1825"/>
      <c r="PNS2" s="1825"/>
      <c r="PNT2" s="1825"/>
      <c r="PNU2" s="1825"/>
      <c r="PNV2" s="1825"/>
      <c r="PNW2" s="1825"/>
      <c r="PNX2" s="1825"/>
      <c r="PNY2" s="1825"/>
      <c r="PNZ2" s="1825"/>
      <c r="POA2" s="1825"/>
      <c r="POB2" s="1825"/>
      <c r="POC2" s="1825"/>
      <c r="POD2" s="1825"/>
      <c r="POE2" s="1825"/>
      <c r="POF2" s="1825"/>
      <c r="POG2" s="1825"/>
      <c r="POH2" s="1825"/>
      <c r="POI2" s="1825"/>
      <c r="POJ2" s="1825"/>
      <c r="POK2" s="1825"/>
      <c r="POL2" s="1825"/>
      <c r="POM2" s="1825"/>
      <c r="PON2" s="1825"/>
      <c r="POO2" s="1825"/>
      <c r="POP2" s="1825"/>
      <c r="POQ2" s="1825"/>
      <c r="POR2" s="1825"/>
      <c r="POS2" s="1825"/>
      <c r="POT2" s="1825"/>
      <c r="POU2" s="1825"/>
      <c r="POV2" s="1825"/>
      <c r="POW2" s="1825"/>
      <c r="POX2" s="1825"/>
      <c r="POY2" s="1825"/>
      <c r="POZ2" s="1825"/>
      <c r="PPA2" s="1825"/>
      <c r="PPB2" s="1825"/>
      <c r="PPC2" s="1825"/>
      <c r="PPD2" s="1825"/>
      <c r="PPE2" s="1825"/>
      <c r="PPF2" s="1825"/>
      <c r="PPG2" s="1825"/>
      <c r="PPH2" s="1825"/>
      <c r="PPI2" s="1825"/>
      <c r="PPJ2" s="1825"/>
      <c r="PPK2" s="1825"/>
      <c r="PPL2" s="1825"/>
      <c r="PPM2" s="1825"/>
      <c r="PPN2" s="1825"/>
      <c r="PPO2" s="1825"/>
      <c r="PPP2" s="1825"/>
      <c r="PPQ2" s="1825"/>
      <c r="PPR2" s="1825"/>
      <c r="PPS2" s="1825"/>
      <c r="PPT2" s="1825"/>
      <c r="PPU2" s="1825"/>
      <c r="PPV2" s="1825"/>
      <c r="PPW2" s="1825"/>
      <c r="PPX2" s="1825"/>
      <c r="PPY2" s="1825"/>
      <c r="PPZ2" s="1825"/>
      <c r="PQA2" s="1825"/>
      <c r="PQB2" s="1825"/>
      <c r="PQC2" s="1825"/>
      <c r="PQD2" s="1825"/>
      <c r="PQE2" s="1825"/>
      <c r="PQF2" s="1825"/>
      <c r="PQG2" s="1825"/>
      <c r="PQH2" s="1825"/>
      <c r="PQI2" s="1825"/>
      <c r="PQJ2" s="1825"/>
      <c r="PQK2" s="1825"/>
      <c r="PQL2" s="1825"/>
      <c r="PQM2" s="1825"/>
      <c r="PQN2" s="1825"/>
      <c r="PQO2" s="1825"/>
      <c r="PQP2" s="1825"/>
      <c r="PQQ2" s="1825"/>
      <c r="PQR2" s="1825"/>
      <c r="PQS2" s="1825"/>
      <c r="PQT2" s="1825"/>
      <c r="PQU2" s="1825"/>
      <c r="PQV2" s="1825"/>
      <c r="PQW2" s="1825"/>
      <c r="PQX2" s="1825"/>
      <c r="PQY2" s="1825"/>
      <c r="PQZ2" s="1825"/>
      <c r="PRA2" s="1825"/>
      <c r="PRB2" s="1825"/>
      <c r="PRC2" s="1825"/>
      <c r="PRD2" s="1825"/>
      <c r="PRE2" s="1825"/>
      <c r="PRF2" s="1825"/>
      <c r="PRG2" s="1825"/>
      <c r="PRH2" s="1825"/>
      <c r="PRI2" s="1825"/>
      <c r="PRJ2" s="1825"/>
      <c r="PRK2" s="1825"/>
      <c r="PRL2" s="1825"/>
      <c r="PRM2" s="1825"/>
      <c r="PRN2" s="1825"/>
      <c r="PRO2" s="1825"/>
      <c r="PRP2" s="1825"/>
      <c r="PRQ2" s="1825"/>
      <c r="PRR2" s="1825"/>
      <c r="PRS2" s="1825"/>
      <c r="PRT2" s="1825"/>
      <c r="PRU2" s="1825"/>
      <c r="PRV2" s="1825"/>
      <c r="PRW2" s="1825"/>
      <c r="PRX2" s="1825"/>
      <c r="PRY2" s="1825"/>
      <c r="PRZ2" s="1825"/>
      <c r="PSA2" s="1825"/>
      <c r="PSB2" s="1825"/>
      <c r="PSC2" s="1825"/>
      <c r="PSD2" s="1825"/>
      <c r="PSE2" s="1825"/>
      <c r="PSF2" s="1825"/>
      <c r="PSG2" s="1825"/>
      <c r="PSH2" s="1825"/>
      <c r="PSI2" s="1825"/>
      <c r="PSJ2" s="1825"/>
      <c r="PSK2" s="1825"/>
      <c r="PSL2" s="1825"/>
      <c r="PSM2" s="1825"/>
      <c r="PSN2" s="1825"/>
      <c r="PSO2" s="1825"/>
      <c r="PSP2" s="1825"/>
      <c r="PSQ2" s="1825"/>
      <c r="PSR2" s="1825"/>
      <c r="PSS2" s="1825"/>
      <c r="PST2" s="1825"/>
      <c r="PSU2" s="1825"/>
      <c r="PSV2" s="1825"/>
      <c r="PSW2" s="1825"/>
      <c r="PSX2" s="1825"/>
      <c r="PSY2" s="1825"/>
      <c r="PSZ2" s="1825"/>
      <c r="PTA2" s="1825"/>
      <c r="PTB2" s="1825"/>
      <c r="PTC2" s="1825"/>
      <c r="PTD2" s="1825"/>
      <c r="PTE2" s="1825"/>
      <c r="PTF2" s="1825"/>
      <c r="PTG2" s="1825"/>
      <c r="PTH2" s="1825"/>
      <c r="PTI2" s="1825"/>
      <c r="PTJ2" s="1825"/>
      <c r="PTK2" s="1825"/>
      <c r="PTL2" s="1825"/>
      <c r="PTM2" s="1825"/>
      <c r="PTN2" s="1825"/>
      <c r="PTO2" s="1825"/>
      <c r="PTP2" s="1825"/>
      <c r="PTQ2" s="1825"/>
      <c r="PTR2" s="1825"/>
      <c r="PTS2" s="1825"/>
      <c r="PTT2" s="1825"/>
      <c r="PTU2" s="1825"/>
      <c r="PTV2" s="1825"/>
      <c r="PTW2" s="1825"/>
      <c r="PTX2" s="1825"/>
      <c r="PTY2" s="1825"/>
      <c r="PTZ2" s="1825"/>
      <c r="PUA2" s="1825"/>
      <c r="PUB2" s="1825"/>
      <c r="PUC2" s="1825"/>
      <c r="PUD2" s="1825"/>
      <c r="PUE2" s="1825"/>
      <c r="PUF2" s="1825"/>
      <c r="PUG2" s="1825"/>
      <c r="PUH2" s="1825"/>
      <c r="PUI2" s="1825"/>
      <c r="PUJ2" s="1825"/>
      <c r="PUK2" s="1825"/>
      <c r="PUL2" s="1825"/>
      <c r="PUM2" s="1825"/>
      <c r="PUN2" s="1825"/>
      <c r="PUO2" s="1825"/>
      <c r="PUP2" s="1825"/>
      <c r="PUQ2" s="1825"/>
      <c r="PUR2" s="1825"/>
      <c r="PUS2" s="1825"/>
      <c r="PUT2" s="1825"/>
      <c r="PUU2" s="1825"/>
      <c r="PUV2" s="1825"/>
      <c r="PUW2" s="1825"/>
      <c r="PUX2" s="1825"/>
      <c r="PUY2" s="1825"/>
      <c r="PUZ2" s="1825"/>
      <c r="PVA2" s="1825"/>
      <c r="PVB2" s="1825"/>
      <c r="PVC2" s="1825"/>
      <c r="PVD2" s="1825"/>
      <c r="PVE2" s="1825"/>
      <c r="PVF2" s="1825"/>
      <c r="PVG2" s="1825"/>
      <c r="PVH2" s="1825"/>
      <c r="PVI2" s="1825"/>
      <c r="PVJ2" s="1825"/>
      <c r="PVK2" s="1825"/>
      <c r="PVL2" s="1825"/>
      <c r="PVM2" s="1825"/>
      <c r="PVN2" s="1825"/>
      <c r="PVO2" s="1825"/>
      <c r="PVP2" s="1825"/>
      <c r="PVQ2" s="1825"/>
      <c r="PVR2" s="1825"/>
      <c r="PVS2" s="1825"/>
      <c r="PVT2" s="1825"/>
      <c r="PVU2" s="1825"/>
      <c r="PVV2" s="1825"/>
      <c r="PVW2" s="1825"/>
      <c r="PVX2" s="1825"/>
      <c r="PVY2" s="1825"/>
      <c r="PVZ2" s="1825"/>
      <c r="PWA2" s="1825"/>
      <c r="PWB2" s="1825"/>
      <c r="PWC2" s="1825"/>
      <c r="PWD2" s="1825"/>
      <c r="PWE2" s="1825"/>
      <c r="PWF2" s="1825"/>
      <c r="PWG2" s="1825"/>
      <c r="PWH2" s="1825"/>
      <c r="PWI2" s="1825"/>
      <c r="PWJ2" s="1825"/>
      <c r="PWK2" s="1825"/>
      <c r="PWL2" s="1825"/>
      <c r="PWM2" s="1825"/>
      <c r="PWN2" s="1825"/>
      <c r="PWO2" s="1825"/>
      <c r="PWP2" s="1825"/>
      <c r="PWQ2" s="1825"/>
      <c r="PWR2" s="1825"/>
      <c r="PWS2" s="1825"/>
      <c r="PWT2" s="1825"/>
      <c r="PWU2" s="1825"/>
      <c r="PWV2" s="1825"/>
      <c r="PWW2" s="1825"/>
      <c r="PWX2" s="1825"/>
      <c r="PWY2" s="1825"/>
      <c r="PWZ2" s="1825"/>
      <c r="PXA2" s="1825"/>
      <c r="PXB2" s="1825"/>
      <c r="PXC2" s="1825"/>
      <c r="PXD2" s="1825"/>
      <c r="PXE2" s="1825"/>
      <c r="PXF2" s="1825"/>
      <c r="PXG2" s="1825"/>
      <c r="PXH2" s="1825"/>
      <c r="PXI2" s="1825"/>
      <c r="PXJ2" s="1825"/>
      <c r="PXK2" s="1825"/>
      <c r="PXL2" s="1825"/>
      <c r="PXM2" s="1825"/>
      <c r="PXN2" s="1825"/>
      <c r="PXO2" s="1825"/>
      <c r="PXP2" s="1825"/>
      <c r="PXQ2" s="1825"/>
      <c r="PXR2" s="1825"/>
      <c r="PXS2" s="1825"/>
      <c r="PXT2" s="1825"/>
      <c r="PXU2" s="1825"/>
      <c r="PXV2" s="1825"/>
      <c r="PXW2" s="1825"/>
      <c r="PXX2" s="1825"/>
      <c r="PXY2" s="1825"/>
      <c r="PXZ2" s="1825"/>
      <c r="PYA2" s="1825"/>
      <c r="PYB2" s="1825"/>
      <c r="PYC2" s="1825"/>
      <c r="PYD2" s="1825"/>
      <c r="PYE2" s="1825"/>
      <c r="PYF2" s="1825"/>
      <c r="PYG2" s="1825"/>
      <c r="PYH2" s="1825"/>
      <c r="PYI2" s="1825"/>
      <c r="PYJ2" s="1825"/>
      <c r="PYK2" s="1825"/>
      <c r="PYL2" s="1825"/>
      <c r="PYM2" s="1825"/>
      <c r="PYN2" s="1825"/>
      <c r="PYO2" s="1825"/>
      <c r="PYP2" s="1825"/>
      <c r="PYQ2" s="1825"/>
      <c r="PYR2" s="1825"/>
      <c r="PYS2" s="1825"/>
      <c r="PYT2" s="1825"/>
      <c r="PYU2" s="1825"/>
      <c r="PYV2" s="1825"/>
      <c r="PYW2" s="1825"/>
      <c r="PYX2" s="1825"/>
      <c r="PYY2" s="1825"/>
      <c r="PYZ2" s="1825"/>
      <c r="PZA2" s="1825"/>
      <c r="PZB2" s="1825"/>
      <c r="PZC2" s="1825"/>
      <c r="PZD2" s="1825"/>
      <c r="PZE2" s="1825"/>
      <c r="PZF2" s="1825"/>
      <c r="PZG2" s="1825"/>
      <c r="PZH2" s="1825"/>
      <c r="PZI2" s="1825"/>
      <c r="PZJ2" s="1825"/>
      <c r="PZK2" s="1825"/>
      <c r="PZL2" s="1825"/>
      <c r="PZM2" s="1825"/>
      <c r="PZN2" s="1825"/>
      <c r="PZO2" s="1825"/>
      <c r="PZP2" s="1825"/>
      <c r="PZQ2" s="1825"/>
      <c r="PZR2" s="1825"/>
      <c r="PZS2" s="1825"/>
      <c r="PZT2" s="1825"/>
      <c r="PZU2" s="1825"/>
      <c r="PZV2" s="1825"/>
      <c r="PZW2" s="1825"/>
      <c r="PZX2" s="1825"/>
      <c r="PZY2" s="1825"/>
      <c r="PZZ2" s="1825"/>
      <c r="QAA2" s="1825"/>
      <c r="QAB2" s="1825"/>
      <c r="QAC2" s="1825"/>
      <c r="QAD2" s="1825"/>
      <c r="QAE2" s="1825"/>
      <c r="QAF2" s="1825"/>
      <c r="QAG2" s="1825"/>
      <c r="QAH2" s="1825"/>
      <c r="QAI2" s="1825"/>
      <c r="QAJ2" s="1825"/>
      <c r="QAK2" s="1825"/>
      <c r="QAL2" s="1825"/>
      <c r="QAM2" s="1825"/>
      <c r="QAN2" s="1825"/>
      <c r="QAO2" s="1825"/>
      <c r="QAP2" s="1825"/>
      <c r="QAQ2" s="1825"/>
      <c r="QAR2" s="1825"/>
      <c r="QAS2" s="1825"/>
      <c r="QAT2" s="1825"/>
      <c r="QAU2" s="1825"/>
      <c r="QAV2" s="1825"/>
      <c r="QAW2" s="1825"/>
      <c r="QAX2" s="1825"/>
      <c r="QAY2" s="1825"/>
      <c r="QAZ2" s="1825"/>
      <c r="QBA2" s="1825"/>
      <c r="QBB2" s="1825"/>
      <c r="QBC2" s="1825"/>
      <c r="QBD2" s="1825"/>
      <c r="QBE2" s="1825"/>
      <c r="QBF2" s="1825"/>
      <c r="QBG2" s="1825"/>
      <c r="QBH2" s="1825"/>
      <c r="QBI2" s="1825"/>
      <c r="QBJ2" s="1825"/>
      <c r="QBK2" s="1825"/>
      <c r="QBL2" s="1825"/>
      <c r="QBM2" s="1825"/>
      <c r="QBN2" s="1825"/>
      <c r="QBO2" s="1825"/>
      <c r="QBP2" s="1825"/>
      <c r="QBQ2" s="1825"/>
      <c r="QBR2" s="1825"/>
      <c r="QBS2" s="1825"/>
      <c r="QBT2" s="1825"/>
      <c r="QBU2" s="1825"/>
      <c r="QBV2" s="1825"/>
      <c r="QBW2" s="1825"/>
      <c r="QBX2" s="1825"/>
      <c r="QBY2" s="1825"/>
      <c r="QBZ2" s="1825"/>
      <c r="QCA2" s="1825"/>
      <c r="QCB2" s="1825"/>
      <c r="QCC2" s="1825"/>
      <c r="QCD2" s="1825"/>
      <c r="QCE2" s="1825"/>
      <c r="QCF2" s="1825"/>
      <c r="QCG2" s="1825"/>
      <c r="QCH2" s="1825"/>
      <c r="QCI2" s="1825"/>
      <c r="QCJ2" s="1825"/>
      <c r="QCK2" s="1825"/>
      <c r="QCL2" s="1825"/>
      <c r="QCM2" s="1825"/>
      <c r="QCN2" s="1825"/>
      <c r="QCO2" s="1825"/>
      <c r="QCP2" s="1825"/>
      <c r="QCQ2" s="1825"/>
      <c r="QCR2" s="1825"/>
      <c r="QCS2" s="1825"/>
      <c r="QCT2" s="1825"/>
      <c r="QCU2" s="1825"/>
      <c r="QCV2" s="1825"/>
      <c r="QCW2" s="1825"/>
      <c r="QCX2" s="1825"/>
      <c r="QCY2" s="1825"/>
      <c r="QCZ2" s="1825"/>
      <c r="QDA2" s="1825"/>
      <c r="QDB2" s="1825"/>
      <c r="QDC2" s="1825"/>
      <c r="QDD2" s="1825"/>
      <c r="QDE2" s="1825"/>
      <c r="QDF2" s="1825"/>
      <c r="QDG2" s="1825"/>
      <c r="QDH2" s="1825"/>
      <c r="QDI2" s="1825"/>
      <c r="QDJ2" s="1825"/>
      <c r="QDK2" s="1825"/>
      <c r="QDL2" s="1825"/>
      <c r="QDM2" s="1825"/>
      <c r="QDN2" s="1825"/>
      <c r="QDO2" s="1825"/>
      <c r="QDP2" s="1825"/>
      <c r="QDQ2" s="1825"/>
      <c r="QDR2" s="1825"/>
      <c r="QDS2" s="1825"/>
      <c r="QDT2" s="1825"/>
      <c r="QDU2" s="1825"/>
      <c r="QDV2" s="1825"/>
      <c r="QDW2" s="1825"/>
      <c r="QDX2" s="1825"/>
      <c r="QDY2" s="1825"/>
      <c r="QDZ2" s="1825"/>
      <c r="QEA2" s="1825"/>
      <c r="QEB2" s="1825"/>
      <c r="QEC2" s="1825"/>
      <c r="QED2" s="1825"/>
      <c r="QEE2" s="1825"/>
      <c r="QEF2" s="1825"/>
      <c r="QEG2" s="1825"/>
      <c r="QEH2" s="1825"/>
      <c r="QEI2" s="1825"/>
      <c r="QEJ2" s="1825"/>
      <c r="QEK2" s="1825"/>
      <c r="QEL2" s="1825"/>
      <c r="QEM2" s="1825"/>
      <c r="QEN2" s="1825"/>
      <c r="QEO2" s="1825"/>
      <c r="QEP2" s="1825"/>
      <c r="QEQ2" s="1825"/>
      <c r="QER2" s="1825"/>
      <c r="QES2" s="1825"/>
      <c r="QET2" s="1825"/>
      <c r="QEU2" s="1825"/>
      <c r="QEV2" s="1825"/>
      <c r="QEW2" s="1825"/>
      <c r="QEX2" s="1825"/>
      <c r="QEY2" s="1825"/>
      <c r="QEZ2" s="1825"/>
      <c r="QFA2" s="1825"/>
      <c r="QFB2" s="1825"/>
      <c r="QFC2" s="1825"/>
      <c r="QFD2" s="1825"/>
      <c r="QFE2" s="1825"/>
      <c r="QFF2" s="1825"/>
      <c r="QFG2" s="1825"/>
      <c r="QFH2" s="1825"/>
      <c r="QFI2" s="1825"/>
      <c r="QFJ2" s="1825"/>
      <c r="QFK2" s="1825"/>
      <c r="QFL2" s="1825"/>
      <c r="QFM2" s="1825"/>
      <c r="QFN2" s="1825"/>
      <c r="QFO2" s="1825"/>
      <c r="QFP2" s="1825"/>
      <c r="QFQ2" s="1825"/>
      <c r="QFR2" s="1825"/>
      <c r="QFS2" s="1825"/>
      <c r="QFT2" s="1825"/>
      <c r="QFU2" s="1825"/>
      <c r="QFV2" s="1825"/>
      <c r="QFW2" s="1825"/>
      <c r="QFX2" s="1825"/>
      <c r="QFY2" s="1825"/>
      <c r="QFZ2" s="1825"/>
      <c r="QGA2" s="1825"/>
      <c r="QGB2" s="1825"/>
      <c r="QGC2" s="1825"/>
      <c r="QGD2" s="1825"/>
      <c r="QGE2" s="1825"/>
      <c r="QGF2" s="1825"/>
      <c r="QGG2" s="1825"/>
      <c r="QGH2" s="1825"/>
      <c r="QGI2" s="1825"/>
      <c r="QGJ2" s="1825"/>
      <c r="QGK2" s="1825"/>
      <c r="QGL2" s="1825"/>
      <c r="QGM2" s="1825"/>
      <c r="QGN2" s="1825"/>
      <c r="QGO2" s="1825"/>
      <c r="QGP2" s="1825"/>
      <c r="QGQ2" s="1825"/>
      <c r="QGR2" s="1825"/>
      <c r="QGS2" s="1825"/>
      <c r="QGT2" s="1825"/>
      <c r="QGU2" s="1825"/>
      <c r="QGV2" s="1825"/>
      <c r="QGW2" s="1825"/>
      <c r="QGX2" s="1825"/>
      <c r="QGY2" s="1825"/>
      <c r="QGZ2" s="1825"/>
      <c r="QHA2" s="1825"/>
      <c r="QHB2" s="1825"/>
      <c r="QHC2" s="1825"/>
      <c r="QHD2" s="1825"/>
      <c r="QHE2" s="1825"/>
      <c r="QHF2" s="1825"/>
      <c r="QHG2" s="1825"/>
      <c r="QHH2" s="1825"/>
      <c r="QHI2" s="1825"/>
      <c r="QHJ2" s="1825"/>
      <c r="QHK2" s="1825"/>
      <c r="QHL2" s="1825"/>
      <c r="QHM2" s="1825"/>
      <c r="QHN2" s="1825"/>
      <c r="QHO2" s="1825"/>
      <c r="QHP2" s="1825"/>
      <c r="QHQ2" s="1825"/>
      <c r="QHR2" s="1825"/>
      <c r="QHS2" s="1825"/>
      <c r="QHT2" s="1825"/>
      <c r="QHU2" s="1825"/>
      <c r="QHV2" s="1825"/>
      <c r="QHW2" s="1825"/>
      <c r="QHX2" s="1825"/>
      <c r="QHY2" s="1825"/>
      <c r="QHZ2" s="1825"/>
      <c r="QIA2" s="1825"/>
      <c r="QIB2" s="1825"/>
      <c r="QIC2" s="1825"/>
      <c r="QID2" s="1825"/>
      <c r="QIE2" s="1825"/>
      <c r="QIF2" s="1825"/>
      <c r="QIG2" s="1825"/>
      <c r="QIH2" s="1825"/>
      <c r="QII2" s="1825"/>
      <c r="QIJ2" s="1825"/>
      <c r="QIK2" s="1825"/>
      <c r="QIL2" s="1825"/>
      <c r="QIM2" s="1825"/>
      <c r="QIN2" s="1825"/>
      <c r="QIO2" s="1825"/>
      <c r="QIP2" s="1825"/>
      <c r="QIQ2" s="1825"/>
      <c r="QIR2" s="1825"/>
      <c r="QIS2" s="1825"/>
      <c r="QIT2" s="1825"/>
      <c r="QIU2" s="1825"/>
      <c r="QIV2" s="1825"/>
      <c r="QIW2" s="1825"/>
      <c r="QIX2" s="1825"/>
      <c r="QIY2" s="1825"/>
      <c r="QIZ2" s="1825"/>
      <c r="QJA2" s="1825"/>
      <c r="QJB2" s="1825"/>
      <c r="QJC2" s="1825"/>
      <c r="QJD2" s="1825"/>
      <c r="QJE2" s="1825"/>
      <c r="QJF2" s="1825"/>
      <c r="QJG2" s="1825"/>
      <c r="QJH2" s="1825"/>
      <c r="QJI2" s="1825"/>
      <c r="QJJ2" s="1825"/>
      <c r="QJK2" s="1825"/>
      <c r="QJL2" s="1825"/>
      <c r="QJM2" s="1825"/>
      <c r="QJN2" s="1825"/>
      <c r="QJO2" s="1825"/>
      <c r="QJP2" s="1825"/>
      <c r="QJQ2" s="1825"/>
      <c r="QJR2" s="1825"/>
      <c r="QJS2" s="1825"/>
      <c r="QJT2" s="1825"/>
      <c r="QJU2" s="1825"/>
      <c r="QJV2" s="1825"/>
      <c r="QJW2" s="1825"/>
      <c r="QJX2" s="1825"/>
      <c r="QJY2" s="1825"/>
      <c r="QJZ2" s="1825"/>
      <c r="QKA2" s="1825"/>
      <c r="QKB2" s="1825"/>
      <c r="QKC2" s="1825"/>
      <c r="QKD2" s="1825"/>
      <c r="QKE2" s="1825"/>
      <c r="QKF2" s="1825"/>
      <c r="QKG2" s="1825"/>
      <c r="QKH2" s="1825"/>
      <c r="QKI2" s="1825"/>
      <c r="QKJ2" s="1825"/>
      <c r="QKK2" s="1825"/>
      <c r="QKL2" s="1825"/>
      <c r="QKM2" s="1825"/>
      <c r="QKN2" s="1825"/>
      <c r="QKO2" s="1825"/>
      <c r="QKP2" s="1825"/>
      <c r="QKQ2" s="1825"/>
      <c r="QKR2" s="1825"/>
      <c r="QKS2" s="1825"/>
      <c r="QKT2" s="1825"/>
      <c r="QKU2" s="1825"/>
      <c r="QKV2" s="1825"/>
      <c r="QKW2" s="1825"/>
      <c r="QKX2" s="1825"/>
      <c r="QKY2" s="1825"/>
      <c r="QKZ2" s="1825"/>
      <c r="QLA2" s="1825"/>
      <c r="QLB2" s="1825"/>
      <c r="QLC2" s="1825"/>
      <c r="QLD2" s="1825"/>
      <c r="QLE2" s="1825"/>
      <c r="QLF2" s="1825"/>
      <c r="QLG2" s="1825"/>
      <c r="QLH2" s="1825"/>
      <c r="QLI2" s="1825"/>
      <c r="QLJ2" s="1825"/>
      <c r="QLK2" s="1825"/>
      <c r="QLL2" s="1825"/>
      <c r="QLM2" s="1825"/>
      <c r="QLN2" s="1825"/>
      <c r="QLO2" s="1825"/>
      <c r="QLP2" s="1825"/>
      <c r="QLQ2" s="1825"/>
      <c r="QLR2" s="1825"/>
      <c r="QLS2" s="1825"/>
      <c r="QLT2" s="1825"/>
      <c r="QLU2" s="1825"/>
      <c r="QLV2" s="1825"/>
      <c r="QLW2" s="1825"/>
      <c r="QLX2" s="1825"/>
      <c r="QLY2" s="1825"/>
      <c r="QLZ2" s="1825"/>
      <c r="QMA2" s="1825"/>
      <c r="QMB2" s="1825"/>
      <c r="QMC2" s="1825"/>
      <c r="QMD2" s="1825"/>
      <c r="QME2" s="1825"/>
      <c r="QMF2" s="1825"/>
      <c r="QMG2" s="1825"/>
      <c r="QMH2" s="1825"/>
      <c r="QMI2" s="1825"/>
      <c r="QMJ2" s="1825"/>
      <c r="QMK2" s="1825"/>
      <c r="QML2" s="1825"/>
      <c r="QMM2" s="1825"/>
      <c r="QMN2" s="1825"/>
      <c r="QMO2" s="1825"/>
      <c r="QMP2" s="1825"/>
      <c r="QMQ2" s="1825"/>
      <c r="QMR2" s="1825"/>
      <c r="QMS2" s="1825"/>
      <c r="QMT2" s="1825"/>
      <c r="QMU2" s="1825"/>
      <c r="QMV2" s="1825"/>
      <c r="QMW2" s="1825"/>
      <c r="QMX2" s="1825"/>
      <c r="QMY2" s="1825"/>
      <c r="QMZ2" s="1825"/>
      <c r="QNA2" s="1825"/>
      <c r="QNB2" s="1825"/>
      <c r="QNC2" s="1825"/>
      <c r="QND2" s="1825"/>
      <c r="QNE2" s="1825"/>
      <c r="QNF2" s="1825"/>
      <c r="QNG2" s="1825"/>
      <c r="QNH2" s="1825"/>
      <c r="QNI2" s="1825"/>
      <c r="QNJ2" s="1825"/>
      <c r="QNK2" s="1825"/>
      <c r="QNL2" s="1825"/>
      <c r="QNM2" s="1825"/>
      <c r="QNN2" s="1825"/>
      <c r="QNO2" s="1825"/>
      <c r="QNP2" s="1825"/>
      <c r="QNQ2" s="1825"/>
      <c r="QNR2" s="1825"/>
      <c r="QNS2" s="1825"/>
      <c r="QNT2" s="1825"/>
      <c r="QNU2" s="1825"/>
      <c r="QNV2" s="1825"/>
      <c r="QNW2" s="1825"/>
      <c r="QNX2" s="1825"/>
      <c r="QNY2" s="1825"/>
      <c r="QNZ2" s="1825"/>
      <c r="QOA2" s="1825"/>
      <c r="QOB2" s="1825"/>
      <c r="QOC2" s="1825"/>
      <c r="QOD2" s="1825"/>
      <c r="QOE2" s="1825"/>
      <c r="QOF2" s="1825"/>
      <c r="QOG2" s="1825"/>
      <c r="QOH2" s="1825"/>
      <c r="QOI2" s="1825"/>
      <c r="QOJ2" s="1825"/>
      <c r="QOK2" s="1825"/>
      <c r="QOL2" s="1825"/>
      <c r="QOM2" s="1825"/>
      <c r="QON2" s="1825"/>
      <c r="QOO2" s="1825"/>
      <c r="QOP2" s="1825"/>
      <c r="QOQ2" s="1825"/>
      <c r="QOR2" s="1825"/>
      <c r="QOS2" s="1825"/>
      <c r="QOT2" s="1825"/>
      <c r="QOU2" s="1825"/>
      <c r="QOV2" s="1825"/>
      <c r="QOW2" s="1825"/>
      <c r="QOX2" s="1825"/>
      <c r="QOY2" s="1825"/>
      <c r="QOZ2" s="1825"/>
      <c r="QPA2" s="1825"/>
      <c r="QPB2" s="1825"/>
      <c r="QPC2" s="1825"/>
      <c r="QPD2" s="1825"/>
      <c r="QPE2" s="1825"/>
      <c r="QPF2" s="1825"/>
      <c r="QPG2" s="1825"/>
      <c r="QPH2" s="1825"/>
      <c r="QPI2" s="1825"/>
      <c r="QPJ2" s="1825"/>
      <c r="QPK2" s="1825"/>
      <c r="QPL2" s="1825"/>
      <c r="QPM2" s="1825"/>
      <c r="QPN2" s="1825"/>
      <c r="QPO2" s="1825"/>
      <c r="QPP2" s="1825"/>
      <c r="QPQ2" s="1825"/>
      <c r="QPR2" s="1825"/>
      <c r="QPS2" s="1825"/>
      <c r="QPT2" s="1825"/>
      <c r="QPU2" s="1825"/>
      <c r="QPV2" s="1825"/>
      <c r="QPW2" s="1825"/>
      <c r="QPX2" s="1825"/>
      <c r="QPY2" s="1825"/>
      <c r="QPZ2" s="1825"/>
      <c r="QQA2" s="1825"/>
      <c r="QQB2" s="1825"/>
      <c r="QQC2" s="1825"/>
      <c r="QQD2" s="1825"/>
      <c r="QQE2" s="1825"/>
      <c r="QQF2" s="1825"/>
      <c r="QQG2" s="1825"/>
      <c r="QQH2" s="1825"/>
      <c r="QQI2" s="1825"/>
      <c r="QQJ2" s="1825"/>
      <c r="QQK2" s="1825"/>
      <c r="QQL2" s="1825"/>
      <c r="QQM2" s="1825"/>
      <c r="QQN2" s="1825"/>
      <c r="QQO2" s="1825"/>
      <c r="QQP2" s="1825"/>
      <c r="QQQ2" s="1825"/>
      <c r="QQR2" s="1825"/>
      <c r="QQS2" s="1825"/>
      <c r="QQT2" s="1825"/>
      <c r="QQU2" s="1825"/>
      <c r="QQV2" s="1825"/>
      <c r="QQW2" s="1825"/>
      <c r="QQX2" s="1825"/>
      <c r="QQY2" s="1825"/>
      <c r="QQZ2" s="1825"/>
      <c r="QRA2" s="1825"/>
      <c r="QRB2" s="1825"/>
      <c r="QRC2" s="1825"/>
      <c r="QRD2" s="1825"/>
      <c r="QRE2" s="1825"/>
      <c r="QRF2" s="1825"/>
      <c r="QRG2" s="1825"/>
      <c r="QRH2" s="1825"/>
      <c r="QRI2" s="1825"/>
      <c r="QRJ2" s="1825"/>
      <c r="QRK2" s="1825"/>
      <c r="QRL2" s="1825"/>
      <c r="QRM2" s="1825"/>
      <c r="QRN2" s="1825"/>
      <c r="QRO2" s="1825"/>
      <c r="QRP2" s="1825"/>
      <c r="QRQ2" s="1825"/>
      <c r="QRR2" s="1825"/>
      <c r="QRS2" s="1825"/>
      <c r="QRT2" s="1825"/>
      <c r="QRU2" s="1825"/>
      <c r="QRV2" s="1825"/>
      <c r="QRW2" s="1825"/>
      <c r="QRX2" s="1825"/>
      <c r="QRY2" s="1825"/>
      <c r="QRZ2" s="1825"/>
      <c r="QSA2" s="1825"/>
      <c r="QSB2" s="1825"/>
      <c r="QSC2" s="1825"/>
      <c r="QSD2" s="1825"/>
      <c r="QSE2" s="1825"/>
      <c r="QSF2" s="1825"/>
      <c r="QSG2" s="1825"/>
      <c r="QSH2" s="1825"/>
      <c r="QSI2" s="1825"/>
      <c r="QSJ2" s="1825"/>
      <c r="QSK2" s="1825"/>
      <c r="QSL2" s="1825"/>
      <c r="QSM2" s="1825"/>
      <c r="QSN2" s="1825"/>
      <c r="QSO2" s="1825"/>
      <c r="QSP2" s="1825"/>
      <c r="QSQ2" s="1825"/>
      <c r="QSR2" s="1825"/>
      <c r="QSS2" s="1825"/>
      <c r="QST2" s="1825"/>
      <c r="QSU2" s="1825"/>
      <c r="QSV2" s="1825"/>
      <c r="QSW2" s="1825"/>
      <c r="QSX2" s="1825"/>
      <c r="QSY2" s="1825"/>
      <c r="QSZ2" s="1825"/>
      <c r="QTA2" s="1825"/>
      <c r="QTB2" s="1825"/>
      <c r="QTC2" s="1825"/>
      <c r="QTD2" s="1825"/>
      <c r="QTE2" s="1825"/>
      <c r="QTF2" s="1825"/>
      <c r="QTG2" s="1825"/>
      <c r="QTH2" s="1825"/>
      <c r="QTI2" s="1825"/>
      <c r="QTJ2" s="1825"/>
      <c r="QTK2" s="1825"/>
      <c r="QTL2" s="1825"/>
      <c r="QTM2" s="1825"/>
      <c r="QTN2" s="1825"/>
      <c r="QTO2" s="1825"/>
      <c r="QTP2" s="1825"/>
      <c r="QTQ2" s="1825"/>
      <c r="QTR2" s="1825"/>
      <c r="QTS2" s="1825"/>
      <c r="QTT2" s="1825"/>
      <c r="QTU2" s="1825"/>
      <c r="QTV2" s="1825"/>
      <c r="QTW2" s="1825"/>
      <c r="QTX2" s="1825"/>
      <c r="QTY2" s="1825"/>
      <c r="QTZ2" s="1825"/>
      <c r="QUA2" s="1825"/>
      <c r="QUB2" s="1825"/>
      <c r="QUC2" s="1825"/>
      <c r="QUD2" s="1825"/>
      <c r="QUE2" s="1825"/>
      <c r="QUF2" s="1825"/>
      <c r="QUG2" s="1825"/>
      <c r="QUH2" s="1825"/>
      <c r="QUI2" s="1825"/>
      <c r="QUJ2" s="1825"/>
      <c r="QUK2" s="1825"/>
      <c r="QUL2" s="1825"/>
      <c r="QUM2" s="1825"/>
      <c r="QUN2" s="1825"/>
      <c r="QUO2" s="1825"/>
      <c r="QUP2" s="1825"/>
      <c r="QUQ2" s="1825"/>
      <c r="QUR2" s="1825"/>
      <c r="QUS2" s="1825"/>
      <c r="QUT2" s="1825"/>
      <c r="QUU2" s="1825"/>
      <c r="QUV2" s="1825"/>
      <c r="QUW2" s="1825"/>
      <c r="QUX2" s="1825"/>
      <c r="QUY2" s="1825"/>
      <c r="QUZ2" s="1825"/>
      <c r="QVA2" s="1825"/>
      <c r="QVB2" s="1825"/>
      <c r="QVC2" s="1825"/>
      <c r="QVD2" s="1825"/>
      <c r="QVE2" s="1825"/>
      <c r="QVF2" s="1825"/>
      <c r="QVG2" s="1825"/>
      <c r="QVH2" s="1825"/>
      <c r="QVI2" s="1825"/>
      <c r="QVJ2" s="1825"/>
      <c r="QVK2" s="1825"/>
      <c r="QVL2" s="1825"/>
      <c r="QVM2" s="1825"/>
      <c r="QVN2" s="1825"/>
      <c r="QVO2" s="1825"/>
      <c r="QVP2" s="1825"/>
      <c r="QVQ2" s="1825"/>
      <c r="QVR2" s="1825"/>
      <c r="QVS2" s="1825"/>
      <c r="QVT2" s="1825"/>
      <c r="QVU2" s="1825"/>
      <c r="QVV2" s="1825"/>
      <c r="QVW2" s="1825"/>
      <c r="QVX2" s="1825"/>
      <c r="QVY2" s="1825"/>
      <c r="QVZ2" s="1825"/>
      <c r="QWA2" s="1825"/>
      <c r="QWB2" s="1825"/>
      <c r="QWC2" s="1825"/>
      <c r="QWD2" s="1825"/>
      <c r="QWE2" s="1825"/>
      <c r="QWF2" s="1825"/>
      <c r="QWG2" s="1825"/>
      <c r="QWH2" s="1825"/>
      <c r="QWI2" s="1825"/>
      <c r="QWJ2" s="1825"/>
      <c r="QWK2" s="1825"/>
      <c r="QWL2" s="1825"/>
      <c r="QWM2" s="1825"/>
      <c r="QWN2" s="1825"/>
      <c r="QWO2" s="1825"/>
      <c r="QWP2" s="1825"/>
      <c r="QWQ2" s="1825"/>
      <c r="QWR2" s="1825"/>
      <c r="QWS2" s="1825"/>
      <c r="QWT2" s="1825"/>
      <c r="QWU2" s="1825"/>
      <c r="QWV2" s="1825"/>
      <c r="QWW2" s="1825"/>
      <c r="QWX2" s="1825"/>
      <c r="QWY2" s="1825"/>
      <c r="QWZ2" s="1825"/>
      <c r="QXA2" s="1825"/>
      <c r="QXB2" s="1825"/>
      <c r="QXC2" s="1825"/>
      <c r="QXD2" s="1825"/>
      <c r="QXE2" s="1825"/>
      <c r="QXF2" s="1825"/>
      <c r="QXG2" s="1825"/>
      <c r="QXH2" s="1825"/>
      <c r="QXI2" s="1825"/>
      <c r="QXJ2" s="1825"/>
      <c r="QXK2" s="1825"/>
      <c r="QXL2" s="1825"/>
      <c r="QXM2" s="1825"/>
      <c r="QXN2" s="1825"/>
      <c r="QXO2" s="1825"/>
      <c r="QXP2" s="1825"/>
      <c r="QXQ2" s="1825"/>
      <c r="QXR2" s="1825"/>
      <c r="QXS2" s="1825"/>
      <c r="QXT2" s="1825"/>
      <c r="QXU2" s="1825"/>
      <c r="QXV2" s="1825"/>
      <c r="QXW2" s="1825"/>
      <c r="QXX2" s="1825"/>
      <c r="QXY2" s="1825"/>
      <c r="QXZ2" s="1825"/>
      <c r="QYA2" s="1825"/>
      <c r="QYB2" s="1825"/>
      <c r="QYC2" s="1825"/>
      <c r="QYD2" s="1825"/>
      <c r="QYE2" s="1825"/>
      <c r="QYF2" s="1825"/>
      <c r="QYG2" s="1825"/>
      <c r="QYH2" s="1825"/>
      <c r="QYI2" s="1825"/>
      <c r="QYJ2" s="1825"/>
      <c r="QYK2" s="1825"/>
      <c r="QYL2" s="1825"/>
      <c r="QYM2" s="1825"/>
      <c r="QYN2" s="1825"/>
      <c r="QYO2" s="1825"/>
      <c r="QYP2" s="1825"/>
      <c r="QYQ2" s="1825"/>
      <c r="QYR2" s="1825"/>
      <c r="QYS2" s="1825"/>
      <c r="QYT2" s="1825"/>
      <c r="QYU2" s="1825"/>
      <c r="QYV2" s="1825"/>
      <c r="QYW2" s="1825"/>
      <c r="QYX2" s="1825"/>
      <c r="QYY2" s="1825"/>
      <c r="QYZ2" s="1825"/>
      <c r="QZA2" s="1825"/>
      <c r="QZB2" s="1825"/>
      <c r="QZC2" s="1825"/>
      <c r="QZD2" s="1825"/>
      <c r="QZE2" s="1825"/>
      <c r="QZF2" s="1825"/>
      <c r="QZG2" s="1825"/>
      <c r="QZH2" s="1825"/>
      <c r="QZI2" s="1825"/>
      <c r="QZJ2" s="1825"/>
      <c r="QZK2" s="1825"/>
      <c r="QZL2" s="1825"/>
      <c r="QZM2" s="1825"/>
      <c r="QZN2" s="1825"/>
      <c r="QZO2" s="1825"/>
      <c r="QZP2" s="1825"/>
      <c r="QZQ2" s="1825"/>
      <c r="QZR2" s="1825"/>
      <c r="QZS2" s="1825"/>
      <c r="QZT2" s="1825"/>
      <c r="QZU2" s="1825"/>
      <c r="QZV2" s="1825"/>
      <c r="QZW2" s="1825"/>
      <c r="QZX2" s="1825"/>
      <c r="QZY2" s="1825"/>
      <c r="QZZ2" s="1825"/>
      <c r="RAA2" s="1825"/>
      <c r="RAB2" s="1825"/>
      <c r="RAC2" s="1825"/>
      <c r="RAD2" s="1825"/>
      <c r="RAE2" s="1825"/>
      <c r="RAF2" s="1825"/>
      <c r="RAG2" s="1825"/>
      <c r="RAH2" s="1825"/>
      <c r="RAI2" s="1825"/>
      <c r="RAJ2" s="1825"/>
      <c r="RAK2" s="1825"/>
      <c r="RAL2" s="1825"/>
      <c r="RAM2" s="1825"/>
      <c r="RAN2" s="1825"/>
      <c r="RAO2" s="1825"/>
      <c r="RAP2" s="1825"/>
      <c r="RAQ2" s="1825"/>
      <c r="RAR2" s="1825"/>
      <c r="RAS2" s="1825"/>
      <c r="RAT2" s="1825"/>
      <c r="RAU2" s="1825"/>
      <c r="RAV2" s="1825"/>
      <c r="RAW2" s="1825"/>
      <c r="RAX2" s="1825"/>
      <c r="RAY2" s="1825"/>
      <c r="RAZ2" s="1825"/>
      <c r="RBA2" s="1825"/>
      <c r="RBB2" s="1825"/>
      <c r="RBC2" s="1825"/>
      <c r="RBD2" s="1825"/>
      <c r="RBE2" s="1825"/>
      <c r="RBF2" s="1825"/>
      <c r="RBG2" s="1825"/>
      <c r="RBH2" s="1825"/>
      <c r="RBI2" s="1825"/>
      <c r="RBJ2" s="1825"/>
      <c r="RBK2" s="1825"/>
      <c r="RBL2" s="1825"/>
      <c r="RBM2" s="1825"/>
      <c r="RBN2" s="1825"/>
      <c r="RBO2" s="1825"/>
      <c r="RBP2" s="1825"/>
      <c r="RBQ2" s="1825"/>
      <c r="RBR2" s="1825"/>
      <c r="RBS2" s="1825"/>
      <c r="RBT2" s="1825"/>
      <c r="RBU2" s="1825"/>
      <c r="RBV2" s="1825"/>
      <c r="RBW2" s="1825"/>
      <c r="RBX2" s="1825"/>
      <c r="RBY2" s="1825"/>
      <c r="RBZ2" s="1825"/>
      <c r="RCA2" s="1825"/>
      <c r="RCB2" s="1825"/>
      <c r="RCC2" s="1825"/>
      <c r="RCD2" s="1825"/>
      <c r="RCE2" s="1825"/>
      <c r="RCF2" s="1825"/>
      <c r="RCG2" s="1825"/>
      <c r="RCH2" s="1825"/>
      <c r="RCI2" s="1825"/>
      <c r="RCJ2" s="1825"/>
      <c r="RCK2" s="1825"/>
      <c r="RCL2" s="1825"/>
      <c r="RCM2" s="1825"/>
      <c r="RCN2" s="1825"/>
      <c r="RCO2" s="1825"/>
      <c r="RCP2" s="1825"/>
      <c r="RCQ2" s="1825"/>
      <c r="RCR2" s="1825"/>
      <c r="RCS2" s="1825"/>
      <c r="RCT2" s="1825"/>
      <c r="RCU2" s="1825"/>
      <c r="RCV2" s="1825"/>
      <c r="RCW2" s="1825"/>
      <c r="RCX2" s="1825"/>
      <c r="RCY2" s="1825"/>
      <c r="RCZ2" s="1825"/>
      <c r="RDA2" s="1825"/>
      <c r="RDB2" s="1825"/>
      <c r="RDC2" s="1825"/>
      <c r="RDD2" s="1825"/>
      <c r="RDE2" s="1825"/>
      <c r="RDF2" s="1825"/>
      <c r="RDG2" s="1825"/>
      <c r="RDH2" s="1825"/>
      <c r="RDI2" s="1825"/>
      <c r="RDJ2" s="1825"/>
      <c r="RDK2" s="1825"/>
      <c r="RDL2" s="1825"/>
      <c r="RDM2" s="1825"/>
      <c r="RDN2" s="1825"/>
      <c r="RDO2" s="1825"/>
      <c r="RDP2" s="1825"/>
      <c r="RDQ2" s="1825"/>
      <c r="RDR2" s="1825"/>
      <c r="RDS2" s="1825"/>
      <c r="RDT2" s="1825"/>
      <c r="RDU2" s="1825"/>
      <c r="RDV2" s="1825"/>
      <c r="RDW2" s="1825"/>
      <c r="RDX2" s="1825"/>
      <c r="RDY2" s="1825"/>
      <c r="RDZ2" s="1825"/>
      <c r="REA2" s="1825"/>
      <c r="REB2" s="1825"/>
      <c r="REC2" s="1825"/>
      <c r="RED2" s="1825"/>
      <c r="REE2" s="1825"/>
      <c r="REF2" s="1825"/>
      <c r="REG2" s="1825"/>
      <c r="REH2" s="1825"/>
      <c r="REI2" s="1825"/>
      <c r="REJ2" s="1825"/>
      <c r="REK2" s="1825"/>
      <c r="REL2" s="1825"/>
      <c r="REM2" s="1825"/>
      <c r="REN2" s="1825"/>
      <c r="REO2" s="1825"/>
      <c r="REP2" s="1825"/>
      <c r="REQ2" s="1825"/>
      <c r="RER2" s="1825"/>
      <c r="RES2" s="1825"/>
      <c r="RET2" s="1825"/>
      <c r="REU2" s="1825"/>
      <c r="REV2" s="1825"/>
      <c r="REW2" s="1825"/>
      <c r="REX2" s="1825"/>
      <c r="REY2" s="1825"/>
      <c r="REZ2" s="1825"/>
      <c r="RFA2" s="1825"/>
      <c r="RFB2" s="1825"/>
      <c r="RFC2" s="1825"/>
      <c r="RFD2" s="1825"/>
      <c r="RFE2" s="1825"/>
      <c r="RFF2" s="1825"/>
      <c r="RFG2" s="1825"/>
      <c r="RFH2" s="1825"/>
      <c r="RFI2" s="1825"/>
      <c r="RFJ2" s="1825"/>
      <c r="RFK2" s="1825"/>
      <c r="RFL2" s="1825"/>
      <c r="RFM2" s="1825"/>
      <c r="RFN2" s="1825"/>
      <c r="RFO2" s="1825"/>
      <c r="RFP2" s="1825"/>
      <c r="RFQ2" s="1825"/>
      <c r="RFR2" s="1825"/>
      <c r="RFS2" s="1825"/>
      <c r="RFT2" s="1825"/>
      <c r="RFU2" s="1825"/>
      <c r="RFV2" s="1825"/>
      <c r="RFW2" s="1825"/>
      <c r="RFX2" s="1825"/>
      <c r="RFY2" s="1825"/>
      <c r="RFZ2" s="1825"/>
      <c r="RGA2" s="1825"/>
      <c r="RGB2" s="1825"/>
      <c r="RGC2" s="1825"/>
      <c r="RGD2" s="1825"/>
      <c r="RGE2" s="1825"/>
      <c r="RGF2" s="1825"/>
      <c r="RGG2" s="1825"/>
      <c r="RGH2" s="1825"/>
      <c r="RGI2" s="1825"/>
      <c r="RGJ2" s="1825"/>
      <c r="RGK2" s="1825"/>
      <c r="RGL2" s="1825"/>
      <c r="RGM2" s="1825"/>
      <c r="RGN2" s="1825"/>
      <c r="RGO2" s="1825"/>
      <c r="RGP2" s="1825"/>
      <c r="RGQ2" s="1825"/>
      <c r="RGR2" s="1825"/>
      <c r="RGS2" s="1825"/>
      <c r="RGT2" s="1825"/>
      <c r="RGU2" s="1825"/>
      <c r="RGV2" s="1825"/>
      <c r="RGW2" s="1825"/>
      <c r="RGX2" s="1825"/>
      <c r="RGY2" s="1825"/>
      <c r="RGZ2" s="1825"/>
      <c r="RHA2" s="1825"/>
      <c r="RHB2" s="1825"/>
      <c r="RHC2" s="1825"/>
      <c r="RHD2" s="1825"/>
      <c r="RHE2" s="1825"/>
      <c r="RHF2" s="1825"/>
      <c r="RHG2" s="1825"/>
      <c r="RHH2" s="1825"/>
      <c r="RHI2" s="1825"/>
      <c r="RHJ2" s="1825"/>
      <c r="RHK2" s="1825"/>
      <c r="RHL2" s="1825"/>
      <c r="RHM2" s="1825"/>
      <c r="RHN2" s="1825"/>
      <c r="RHO2" s="1825"/>
      <c r="RHP2" s="1825"/>
      <c r="RHQ2" s="1825"/>
      <c r="RHR2" s="1825"/>
      <c r="RHS2" s="1825"/>
      <c r="RHT2" s="1825"/>
      <c r="RHU2" s="1825"/>
      <c r="RHV2" s="1825"/>
      <c r="RHW2" s="1825"/>
      <c r="RHX2" s="1825"/>
      <c r="RHY2" s="1825"/>
      <c r="RHZ2" s="1825"/>
      <c r="RIA2" s="1825"/>
      <c r="RIB2" s="1825"/>
      <c r="RIC2" s="1825"/>
      <c r="RID2" s="1825"/>
      <c r="RIE2" s="1825"/>
      <c r="RIF2" s="1825"/>
      <c r="RIG2" s="1825"/>
      <c r="RIH2" s="1825"/>
      <c r="RII2" s="1825"/>
      <c r="RIJ2" s="1825"/>
      <c r="RIK2" s="1825"/>
      <c r="RIL2" s="1825"/>
      <c r="RIM2" s="1825"/>
      <c r="RIN2" s="1825"/>
      <c r="RIO2" s="1825"/>
      <c r="RIP2" s="1825"/>
      <c r="RIQ2" s="1825"/>
      <c r="RIR2" s="1825"/>
      <c r="RIS2" s="1825"/>
      <c r="RIT2" s="1825"/>
      <c r="RIU2" s="1825"/>
      <c r="RIV2" s="1825"/>
      <c r="RIW2" s="1825"/>
      <c r="RIX2" s="1825"/>
      <c r="RIY2" s="1825"/>
      <c r="RIZ2" s="1825"/>
      <c r="RJA2" s="1825"/>
      <c r="RJB2" s="1825"/>
      <c r="RJC2" s="1825"/>
      <c r="RJD2" s="1825"/>
      <c r="RJE2" s="1825"/>
      <c r="RJF2" s="1825"/>
      <c r="RJG2" s="1825"/>
      <c r="RJH2" s="1825"/>
      <c r="RJI2" s="1825"/>
      <c r="RJJ2" s="1825"/>
      <c r="RJK2" s="1825"/>
      <c r="RJL2" s="1825"/>
      <c r="RJM2" s="1825"/>
      <c r="RJN2" s="1825"/>
      <c r="RJO2" s="1825"/>
      <c r="RJP2" s="1825"/>
      <c r="RJQ2" s="1825"/>
      <c r="RJR2" s="1825"/>
      <c r="RJS2" s="1825"/>
      <c r="RJT2" s="1825"/>
      <c r="RJU2" s="1825"/>
      <c r="RJV2" s="1825"/>
      <c r="RJW2" s="1825"/>
      <c r="RJX2" s="1825"/>
      <c r="RJY2" s="1825"/>
      <c r="RJZ2" s="1825"/>
      <c r="RKA2" s="1825"/>
      <c r="RKB2" s="1825"/>
      <c r="RKC2" s="1825"/>
      <c r="RKD2" s="1825"/>
      <c r="RKE2" s="1825"/>
      <c r="RKF2" s="1825"/>
      <c r="RKG2" s="1825"/>
      <c r="RKH2" s="1825"/>
      <c r="RKI2" s="1825"/>
      <c r="RKJ2" s="1825"/>
      <c r="RKK2" s="1825"/>
      <c r="RKL2" s="1825"/>
      <c r="RKM2" s="1825"/>
      <c r="RKN2" s="1825"/>
      <c r="RKO2" s="1825"/>
      <c r="RKP2" s="1825"/>
      <c r="RKQ2" s="1825"/>
      <c r="RKR2" s="1825"/>
      <c r="RKS2" s="1825"/>
      <c r="RKT2" s="1825"/>
      <c r="RKU2" s="1825"/>
      <c r="RKV2" s="1825"/>
      <c r="RKW2" s="1825"/>
      <c r="RKX2" s="1825"/>
      <c r="RKY2" s="1825"/>
      <c r="RKZ2" s="1825"/>
      <c r="RLA2" s="1825"/>
      <c r="RLB2" s="1825"/>
      <c r="RLC2" s="1825"/>
      <c r="RLD2" s="1825"/>
      <c r="RLE2" s="1825"/>
      <c r="RLF2" s="1825"/>
      <c r="RLG2" s="1825"/>
      <c r="RLH2" s="1825"/>
      <c r="RLI2" s="1825"/>
      <c r="RLJ2" s="1825"/>
      <c r="RLK2" s="1825"/>
      <c r="RLL2" s="1825"/>
      <c r="RLM2" s="1825"/>
      <c r="RLN2" s="1825"/>
      <c r="RLO2" s="1825"/>
      <c r="RLP2" s="1825"/>
      <c r="RLQ2" s="1825"/>
      <c r="RLR2" s="1825"/>
      <c r="RLS2" s="1825"/>
      <c r="RLT2" s="1825"/>
      <c r="RLU2" s="1825"/>
      <c r="RLV2" s="1825"/>
      <c r="RLW2" s="1825"/>
      <c r="RLX2" s="1825"/>
      <c r="RLY2" s="1825"/>
      <c r="RLZ2" s="1825"/>
      <c r="RMA2" s="1825"/>
      <c r="RMB2" s="1825"/>
      <c r="RMC2" s="1825"/>
      <c r="RMD2" s="1825"/>
      <c r="RME2" s="1825"/>
      <c r="RMF2" s="1825"/>
      <c r="RMG2" s="1825"/>
      <c r="RMH2" s="1825"/>
      <c r="RMI2" s="1825"/>
      <c r="RMJ2" s="1825"/>
      <c r="RMK2" s="1825"/>
      <c r="RML2" s="1825"/>
      <c r="RMM2" s="1825"/>
      <c r="RMN2" s="1825"/>
      <c r="RMO2" s="1825"/>
      <c r="RMP2" s="1825"/>
      <c r="RMQ2" s="1825"/>
      <c r="RMR2" s="1825"/>
      <c r="RMS2" s="1825"/>
      <c r="RMT2" s="1825"/>
      <c r="RMU2" s="1825"/>
      <c r="RMV2" s="1825"/>
      <c r="RMW2" s="1825"/>
      <c r="RMX2" s="1825"/>
      <c r="RMY2" s="1825"/>
      <c r="RMZ2" s="1825"/>
      <c r="RNA2" s="1825"/>
      <c r="RNB2" s="1825"/>
      <c r="RNC2" s="1825"/>
      <c r="RND2" s="1825"/>
      <c r="RNE2" s="1825"/>
      <c r="RNF2" s="1825"/>
      <c r="RNG2" s="1825"/>
      <c r="RNH2" s="1825"/>
      <c r="RNI2" s="1825"/>
      <c r="RNJ2" s="1825"/>
      <c r="RNK2" s="1825"/>
      <c r="RNL2" s="1825"/>
      <c r="RNM2" s="1825"/>
      <c r="RNN2" s="1825"/>
      <c r="RNO2" s="1825"/>
      <c r="RNP2" s="1825"/>
      <c r="RNQ2" s="1825"/>
      <c r="RNR2" s="1825"/>
      <c r="RNS2" s="1825"/>
      <c r="RNT2" s="1825"/>
      <c r="RNU2" s="1825"/>
      <c r="RNV2" s="1825"/>
      <c r="RNW2" s="1825"/>
      <c r="RNX2" s="1825"/>
      <c r="RNY2" s="1825"/>
      <c r="RNZ2" s="1825"/>
      <c r="ROA2" s="1825"/>
      <c r="ROB2" s="1825"/>
      <c r="ROC2" s="1825"/>
      <c r="ROD2" s="1825"/>
      <c r="ROE2" s="1825"/>
      <c r="ROF2" s="1825"/>
      <c r="ROG2" s="1825"/>
      <c r="ROH2" s="1825"/>
      <c r="ROI2" s="1825"/>
      <c r="ROJ2" s="1825"/>
      <c r="ROK2" s="1825"/>
      <c r="ROL2" s="1825"/>
      <c r="ROM2" s="1825"/>
      <c r="RON2" s="1825"/>
      <c r="ROO2" s="1825"/>
      <c r="ROP2" s="1825"/>
      <c r="ROQ2" s="1825"/>
      <c r="ROR2" s="1825"/>
      <c r="ROS2" s="1825"/>
      <c r="ROT2" s="1825"/>
      <c r="ROU2" s="1825"/>
      <c r="ROV2" s="1825"/>
      <c r="ROW2" s="1825"/>
      <c r="ROX2" s="1825"/>
      <c r="ROY2" s="1825"/>
      <c r="ROZ2" s="1825"/>
      <c r="RPA2" s="1825"/>
      <c r="RPB2" s="1825"/>
      <c r="RPC2" s="1825"/>
      <c r="RPD2" s="1825"/>
      <c r="RPE2" s="1825"/>
      <c r="RPF2" s="1825"/>
      <c r="RPG2" s="1825"/>
      <c r="RPH2" s="1825"/>
      <c r="RPI2" s="1825"/>
      <c r="RPJ2" s="1825"/>
      <c r="RPK2" s="1825"/>
      <c r="RPL2" s="1825"/>
      <c r="RPM2" s="1825"/>
      <c r="RPN2" s="1825"/>
      <c r="RPO2" s="1825"/>
      <c r="RPP2" s="1825"/>
      <c r="RPQ2" s="1825"/>
      <c r="RPR2" s="1825"/>
      <c r="RPS2" s="1825"/>
      <c r="RPT2" s="1825"/>
      <c r="RPU2" s="1825"/>
      <c r="RPV2" s="1825"/>
      <c r="RPW2" s="1825"/>
      <c r="RPX2" s="1825"/>
      <c r="RPY2" s="1825"/>
      <c r="RPZ2" s="1825"/>
      <c r="RQA2" s="1825"/>
      <c r="RQB2" s="1825"/>
      <c r="RQC2" s="1825"/>
      <c r="RQD2" s="1825"/>
      <c r="RQE2" s="1825"/>
      <c r="RQF2" s="1825"/>
      <c r="RQG2" s="1825"/>
      <c r="RQH2" s="1825"/>
      <c r="RQI2" s="1825"/>
      <c r="RQJ2" s="1825"/>
      <c r="RQK2" s="1825"/>
      <c r="RQL2" s="1825"/>
      <c r="RQM2" s="1825"/>
      <c r="RQN2" s="1825"/>
      <c r="RQO2" s="1825"/>
      <c r="RQP2" s="1825"/>
      <c r="RQQ2" s="1825"/>
      <c r="RQR2" s="1825"/>
      <c r="RQS2" s="1825"/>
      <c r="RQT2" s="1825"/>
      <c r="RQU2" s="1825"/>
      <c r="RQV2" s="1825"/>
      <c r="RQW2" s="1825"/>
      <c r="RQX2" s="1825"/>
      <c r="RQY2" s="1825"/>
      <c r="RQZ2" s="1825"/>
      <c r="RRA2" s="1825"/>
      <c r="RRB2" s="1825"/>
      <c r="RRC2" s="1825"/>
      <c r="RRD2" s="1825"/>
      <c r="RRE2" s="1825"/>
      <c r="RRF2" s="1825"/>
      <c r="RRG2" s="1825"/>
      <c r="RRH2" s="1825"/>
      <c r="RRI2" s="1825"/>
      <c r="RRJ2" s="1825"/>
      <c r="RRK2" s="1825"/>
      <c r="RRL2" s="1825"/>
      <c r="RRM2" s="1825"/>
      <c r="RRN2" s="1825"/>
      <c r="RRO2" s="1825"/>
      <c r="RRP2" s="1825"/>
      <c r="RRQ2" s="1825"/>
      <c r="RRR2" s="1825"/>
      <c r="RRS2" s="1825"/>
      <c r="RRT2" s="1825"/>
      <c r="RRU2" s="1825"/>
      <c r="RRV2" s="1825"/>
      <c r="RRW2" s="1825"/>
      <c r="RRX2" s="1825"/>
      <c r="RRY2" s="1825"/>
      <c r="RRZ2" s="1825"/>
      <c r="RSA2" s="1825"/>
      <c r="RSB2" s="1825"/>
      <c r="RSC2" s="1825"/>
      <c r="RSD2" s="1825"/>
      <c r="RSE2" s="1825"/>
      <c r="RSF2" s="1825"/>
      <c r="RSG2" s="1825"/>
      <c r="RSH2" s="1825"/>
      <c r="RSI2" s="1825"/>
      <c r="RSJ2" s="1825"/>
      <c r="RSK2" s="1825"/>
      <c r="RSL2" s="1825"/>
      <c r="RSM2" s="1825"/>
      <c r="RSN2" s="1825"/>
      <c r="RSO2" s="1825"/>
      <c r="RSP2" s="1825"/>
      <c r="RSQ2" s="1825"/>
      <c r="RSR2" s="1825"/>
      <c r="RSS2" s="1825"/>
      <c r="RST2" s="1825"/>
      <c r="RSU2" s="1825"/>
      <c r="RSV2" s="1825"/>
      <c r="RSW2" s="1825"/>
      <c r="RSX2" s="1825"/>
      <c r="RSY2" s="1825"/>
      <c r="RSZ2" s="1825"/>
      <c r="RTA2" s="1825"/>
      <c r="RTB2" s="1825"/>
      <c r="RTC2" s="1825"/>
      <c r="RTD2" s="1825"/>
      <c r="RTE2" s="1825"/>
      <c r="RTF2" s="1825"/>
      <c r="RTG2" s="1825"/>
      <c r="RTH2" s="1825"/>
      <c r="RTI2" s="1825"/>
      <c r="RTJ2" s="1825"/>
      <c r="RTK2" s="1825"/>
      <c r="RTL2" s="1825"/>
      <c r="RTM2" s="1825"/>
      <c r="RTN2" s="1825"/>
      <c r="RTO2" s="1825"/>
      <c r="RTP2" s="1825"/>
      <c r="RTQ2" s="1825"/>
      <c r="RTR2" s="1825"/>
      <c r="RTS2" s="1825"/>
      <c r="RTT2" s="1825"/>
      <c r="RTU2" s="1825"/>
      <c r="RTV2" s="1825"/>
      <c r="RTW2" s="1825"/>
      <c r="RTX2" s="1825"/>
      <c r="RTY2" s="1825"/>
      <c r="RTZ2" s="1825"/>
      <c r="RUA2" s="1825"/>
      <c r="RUB2" s="1825"/>
      <c r="RUC2" s="1825"/>
      <c r="RUD2" s="1825"/>
      <c r="RUE2" s="1825"/>
      <c r="RUF2" s="1825"/>
      <c r="RUG2" s="1825"/>
      <c r="RUH2" s="1825"/>
      <c r="RUI2" s="1825"/>
      <c r="RUJ2" s="1825"/>
      <c r="RUK2" s="1825"/>
      <c r="RUL2" s="1825"/>
      <c r="RUM2" s="1825"/>
      <c r="RUN2" s="1825"/>
      <c r="RUO2" s="1825"/>
      <c r="RUP2" s="1825"/>
      <c r="RUQ2" s="1825"/>
      <c r="RUR2" s="1825"/>
      <c r="RUS2" s="1825"/>
      <c r="RUT2" s="1825"/>
      <c r="RUU2" s="1825"/>
      <c r="RUV2" s="1825"/>
      <c r="RUW2" s="1825"/>
      <c r="RUX2" s="1825"/>
      <c r="RUY2" s="1825"/>
      <c r="RUZ2" s="1825"/>
      <c r="RVA2" s="1825"/>
      <c r="RVB2" s="1825"/>
      <c r="RVC2" s="1825"/>
      <c r="RVD2" s="1825"/>
      <c r="RVE2" s="1825"/>
      <c r="RVF2" s="1825"/>
      <c r="RVG2" s="1825"/>
      <c r="RVH2" s="1825"/>
      <c r="RVI2" s="1825"/>
      <c r="RVJ2" s="1825"/>
      <c r="RVK2" s="1825"/>
      <c r="RVL2" s="1825"/>
      <c r="RVM2" s="1825"/>
      <c r="RVN2" s="1825"/>
      <c r="RVO2" s="1825"/>
      <c r="RVP2" s="1825"/>
      <c r="RVQ2" s="1825"/>
      <c r="RVR2" s="1825"/>
      <c r="RVS2" s="1825"/>
      <c r="RVT2" s="1825"/>
      <c r="RVU2" s="1825"/>
      <c r="RVV2" s="1825"/>
      <c r="RVW2" s="1825"/>
      <c r="RVX2" s="1825"/>
      <c r="RVY2" s="1825"/>
      <c r="RVZ2" s="1825"/>
      <c r="RWA2" s="1825"/>
      <c r="RWB2" s="1825"/>
      <c r="RWC2" s="1825"/>
      <c r="RWD2" s="1825"/>
      <c r="RWE2" s="1825"/>
      <c r="RWF2" s="1825"/>
      <c r="RWG2" s="1825"/>
      <c r="RWH2" s="1825"/>
      <c r="RWI2" s="1825"/>
      <c r="RWJ2" s="1825"/>
      <c r="RWK2" s="1825"/>
      <c r="RWL2" s="1825"/>
      <c r="RWM2" s="1825"/>
      <c r="RWN2" s="1825"/>
      <c r="RWO2" s="1825"/>
      <c r="RWP2" s="1825"/>
      <c r="RWQ2" s="1825"/>
      <c r="RWR2" s="1825"/>
      <c r="RWS2" s="1825"/>
      <c r="RWT2" s="1825"/>
      <c r="RWU2" s="1825"/>
      <c r="RWV2" s="1825"/>
      <c r="RWW2" s="1825"/>
      <c r="RWX2" s="1825"/>
      <c r="RWY2" s="1825"/>
      <c r="RWZ2" s="1825"/>
      <c r="RXA2" s="1825"/>
      <c r="RXB2" s="1825"/>
      <c r="RXC2" s="1825"/>
      <c r="RXD2" s="1825"/>
      <c r="RXE2" s="1825"/>
      <c r="RXF2" s="1825"/>
      <c r="RXG2" s="1825"/>
      <c r="RXH2" s="1825"/>
      <c r="RXI2" s="1825"/>
      <c r="RXJ2" s="1825"/>
      <c r="RXK2" s="1825"/>
      <c r="RXL2" s="1825"/>
      <c r="RXM2" s="1825"/>
      <c r="RXN2" s="1825"/>
      <c r="RXO2" s="1825"/>
      <c r="RXP2" s="1825"/>
      <c r="RXQ2" s="1825"/>
      <c r="RXR2" s="1825"/>
      <c r="RXS2" s="1825"/>
      <c r="RXT2" s="1825"/>
      <c r="RXU2" s="1825"/>
      <c r="RXV2" s="1825"/>
      <c r="RXW2" s="1825"/>
      <c r="RXX2" s="1825"/>
      <c r="RXY2" s="1825"/>
      <c r="RXZ2" s="1825"/>
      <c r="RYA2" s="1825"/>
      <c r="RYB2" s="1825"/>
      <c r="RYC2" s="1825"/>
      <c r="RYD2" s="1825"/>
      <c r="RYE2" s="1825"/>
      <c r="RYF2" s="1825"/>
      <c r="RYG2" s="1825"/>
      <c r="RYH2" s="1825"/>
      <c r="RYI2" s="1825"/>
      <c r="RYJ2" s="1825"/>
      <c r="RYK2" s="1825"/>
      <c r="RYL2" s="1825"/>
      <c r="RYM2" s="1825"/>
      <c r="RYN2" s="1825"/>
      <c r="RYO2" s="1825"/>
      <c r="RYP2" s="1825"/>
      <c r="RYQ2" s="1825"/>
      <c r="RYR2" s="1825"/>
      <c r="RYS2" s="1825"/>
      <c r="RYT2" s="1825"/>
      <c r="RYU2" s="1825"/>
      <c r="RYV2" s="1825"/>
      <c r="RYW2" s="1825"/>
      <c r="RYX2" s="1825"/>
      <c r="RYY2" s="1825"/>
      <c r="RYZ2" s="1825"/>
      <c r="RZA2" s="1825"/>
      <c r="RZB2" s="1825"/>
      <c r="RZC2" s="1825"/>
      <c r="RZD2" s="1825"/>
      <c r="RZE2" s="1825"/>
      <c r="RZF2" s="1825"/>
      <c r="RZG2" s="1825"/>
      <c r="RZH2" s="1825"/>
      <c r="RZI2" s="1825"/>
      <c r="RZJ2" s="1825"/>
      <c r="RZK2" s="1825"/>
      <c r="RZL2" s="1825"/>
      <c r="RZM2" s="1825"/>
      <c r="RZN2" s="1825"/>
      <c r="RZO2" s="1825"/>
      <c r="RZP2" s="1825"/>
      <c r="RZQ2" s="1825"/>
      <c r="RZR2" s="1825"/>
      <c r="RZS2" s="1825"/>
      <c r="RZT2" s="1825"/>
      <c r="RZU2" s="1825"/>
      <c r="RZV2" s="1825"/>
      <c r="RZW2" s="1825"/>
      <c r="RZX2" s="1825"/>
      <c r="RZY2" s="1825"/>
      <c r="RZZ2" s="1825"/>
      <c r="SAA2" s="1825"/>
      <c r="SAB2" s="1825"/>
      <c r="SAC2" s="1825"/>
      <c r="SAD2" s="1825"/>
      <c r="SAE2" s="1825"/>
      <c r="SAF2" s="1825"/>
      <c r="SAG2" s="1825"/>
      <c r="SAH2" s="1825"/>
      <c r="SAI2" s="1825"/>
      <c r="SAJ2" s="1825"/>
      <c r="SAK2" s="1825"/>
      <c r="SAL2" s="1825"/>
      <c r="SAM2" s="1825"/>
      <c r="SAN2" s="1825"/>
      <c r="SAO2" s="1825"/>
      <c r="SAP2" s="1825"/>
      <c r="SAQ2" s="1825"/>
      <c r="SAR2" s="1825"/>
      <c r="SAS2" s="1825"/>
      <c r="SAT2" s="1825"/>
      <c r="SAU2" s="1825"/>
      <c r="SAV2" s="1825"/>
      <c r="SAW2" s="1825"/>
      <c r="SAX2" s="1825"/>
      <c r="SAY2" s="1825"/>
      <c r="SAZ2" s="1825"/>
      <c r="SBA2" s="1825"/>
      <c r="SBB2" s="1825"/>
      <c r="SBC2" s="1825"/>
      <c r="SBD2" s="1825"/>
      <c r="SBE2" s="1825"/>
      <c r="SBF2" s="1825"/>
      <c r="SBG2" s="1825"/>
      <c r="SBH2" s="1825"/>
      <c r="SBI2" s="1825"/>
      <c r="SBJ2" s="1825"/>
      <c r="SBK2" s="1825"/>
      <c r="SBL2" s="1825"/>
      <c r="SBM2" s="1825"/>
      <c r="SBN2" s="1825"/>
      <c r="SBO2" s="1825"/>
      <c r="SBP2" s="1825"/>
      <c r="SBQ2" s="1825"/>
      <c r="SBR2" s="1825"/>
      <c r="SBS2" s="1825"/>
      <c r="SBT2" s="1825"/>
      <c r="SBU2" s="1825"/>
      <c r="SBV2" s="1825"/>
      <c r="SBW2" s="1825"/>
      <c r="SBX2" s="1825"/>
      <c r="SBY2" s="1825"/>
      <c r="SBZ2" s="1825"/>
      <c r="SCA2" s="1825"/>
      <c r="SCB2" s="1825"/>
      <c r="SCC2" s="1825"/>
      <c r="SCD2" s="1825"/>
      <c r="SCE2" s="1825"/>
      <c r="SCF2" s="1825"/>
      <c r="SCG2" s="1825"/>
      <c r="SCH2" s="1825"/>
      <c r="SCI2" s="1825"/>
      <c r="SCJ2" s="1825"/>
      <c r="SCK2" s="1825"/>
      <c r="SCL2" s="1825"/>
      <c r="SCM2" s="1825"/>
      <c r="SCN2" s="1825"/>
      <c r="SCO2" s="1825"/>
      <c r="SCP2" s="1825"/>
      <c r="SCQ2" s="1825"/>
      <c r="SCR2" s="1825"/>
      <c r="SCS2" s="1825"/>
      <c r="SCT2" s="1825"/>
      <c r="SCU2" s="1825"/>
      <c r="SCV2" s="1825"/>
      <c r="SCW2" s="1825"/>
      <c r="SCX2" s="1825"/>
      <c r="SCY2" s="1825"/>
      <c r="SCZ2" s="1825"/>
      <c r="SDA2" s="1825"/>
      <c r="SDB2" s="1825"/>
      <c r="SDC2" s="1825"/>
      <c r="SDD2" s="1825"/>
      <c r="SDE2" s="1825"/>
      <c r="SDF2" s="1825"/>
      <c r="SDG2" s="1825"/>
      <c r="SDH2" s="1825"/>
      <c r="SDI2" s="1825"/>
      <c r="SDJ2" s="1825"/>
      <c r="SDK2" s="1825"/>
      <c r="SDL2" s="1825"/>
      <c r="SDM2" s="1825"/>
      <c r="SDN2" s="1825"/>
      <c r="SDO2" s="1825"/>
      <c r="SDP2" s="1825"/>
      <c r="SDQ2" s="1825"/>
      <c r="SDR2" s="1825"/>
      <c r="SDS2" s="1825"/>
      <c r="SDT2" s="1825"/>
      <c r="SDU2" s="1825"/>
      <c r="SDV2" s="1825"/>
      <c r="SDW2" s="1825"/>
      <c r="SDX2" s="1825"/>
      <c r="SDY2" s="1825"/>
      <c r="SDZ2" s="1825"/>
      <c r="SEA2" s="1825"/>
      <c r="SEB2" s="1825"/>
      <c r="SEC2" s="1825"/>
      <c r="SED2" s="1825"/>
      <c r="SEE2" s="1825"/>
      <c r="SEF2" s="1825"/>
      <c r="SEG2" s="1825"/>
      <c r="SEH2" s="1825"/>
      <c r="SEI2" s="1825"/>
      <c r="SEJ2" s="1825"/>
      <c r="SEK2" s="1825"/>
      <c r="SEL2" s="1825"/>
      <c r="SEM2" s="1825"/>
      <c r="SEN2" s="1825"/>
      <c r="SEO2" s="1825"/>
      <c r="SEP2" s="1825"/>
      <c r="SEQ2" s="1825"/>
      <c r="SER2" s="1825"/>
      <c r="SES2" s="1825"/>
      <c r="SET2" s="1825"/>
      <c r="SEU2" s="1825"/>
      <c r="SEV2" s="1825"/>
      <c r="SEW2" s="1825"/>
      <c r="SEX2" s="1825"/>
      <c r="SEY2" s="1825"/>
      <c r="SEZ2" s="1825"/>
      <c r="SFA2" s="1825"/>
      <c r="SFB2" s="1825"/>
      <c r="SFC2" s="1825"/>
      <c r="SFD2" s="1825"/>
      <c r="SFE2" s="1825"/>
      <c r="SFF2" s="1825"/>
      <c r="SFG2" s="1825"/>
      <c r="SFH2" s="1825"/>
      <c r="SFI2" s="1825"/>
      <c r="SFJ2" s="1825"/>
      <c r="SFK2" s="1825"/>
      <c r="SFL2" s="1825"/>
      <c r="SFM2" s="1825"/>
      <c r="SFN2" s="1825"/>
      <c r="SFO2" s="1825"/>
      <c r="SFP2" s="1825"/>
      <c r="SFQ2" s="1825"/>
      <c r="SFR2" s="1825"/>
      <c r="SFS2" s="1825"/>
      <c r="SFT2" s="1825"/>
      <c r="SFU2" s="1825"/>
      <c r="SFV2" s="1825"/>
      <c r="SFW2" s="1825"/>
      <c r="SFX2" s="1825"/>
      <c r="SFY2" s="1825"/>
      <c r="SFZ2" s="1825"/>
      <c r="SGA2" s="1825"/>
      <c r="SGB2" s="1825"/>
      <c r="SGC2" s="1825"/>
      <c r="SGD2" s="1825"/>
      <c r="SGE2" s="1825"/>
      <c r="SGF2" s="1825"/>
      <c r="SGG2" s="1825"/>
      <c r="SGH2" s="1825"/>
      <c r="SGI2" s="1825"/>
      <c r="SGJ2" s="1825"/>
      <c r="SGK2" s="1825"/>
      <c r="SGL2" s="1825"/>
      <c r="SGM2" s="1825"/>
      <c r="SGN2" s="1825"/>
      <c r="SGO2" s="1825"/>
      <c r="SGP2" s="1825"/>
      <c r="SGQ2" s="1825"/>
      <c r="SGR2" s="1825"/>
      <c r="SGS2" s="1825"/>
      <c r="SGT2" s="1825"/>
      <c r="SGU2" s="1825"/>
      <c r="SGV2" s="1825"/>
      <c r="SGW2" s="1825"/>
      <c r="SGX2" s="1825"/>
      <c r="SGY2" s="1825"/>
      <c r="SGZ2" s="1825"/>
      <c r="SHA2" s="1825"/>
      <c r="SHB2" s="1825"/>
      <c r="SHC2" s="1825"/>
      <c r="SHD2" s="1825"/>
      <c r="SHE2" s="1825"/>
      <c r="SHF2" s="1825"/>
      <c r="SHG2" s="1825"/>
      <c r="SHH2" s="1825"/>
      <c r="SHI2" s="1825"/>
      <c r="SHJ2" s="1825"/>
      <c r="SHK2" s="1825"/>
      <c r="SHL2" s="1825"/>
      <c r="SHM2" s="1825"/>
      <c r="SHN2" s="1825"/>
      <c r="SHO2" s="1825"/>
      <c r="SHP2" s="1825"/>
      <c r="SHQ2" s="1825"/>
      <c r="SHR2" s="1825"/>
      <c r="SHS2" s="1825"/>
      <c r="SHT2" s="1825"/>
      <c r="SHU2" s="1825"/>
      <c r="SHV2" s="1825"/>
      <c r="SHW2" s="1825"/>
      <c r="SHX2" s="1825"/>
      <c r="SHY2" s="1825"/>
      <c r="SHZ2" s="1825"/>
      <c r="SIA2" s="1825"/>
      <c r="SIB2" s="1825"/>
      <c r="SIC2" s="1825"/>
      <c r="SID2" s="1825"/>
      <c r="SIE2" s="1825"/>
      <c r="SIF2" s="1825"/>
      <c r="SIG2" s="1825"/>
      <c r="SIH2" s="1825"/>
      <c r="SII2" s="1825"/>
      <c r="SIJ2" s="1825"/>
      <c r="SIK2" s="1825"/>
      <c r="SIL2" s="1825"/>
      <c r="SIM2" s="1825"/>
      <c r="SIN2" s="1825"/>
      <c r="SIO2" s="1825"/>
      <c r="SIP2" s="1825"/>
      <c r="SIQ2" s="1825"/>
      <c r="SIR2" s="1825"/>
      <c r="SIS2" s="1825"/>
      <c r="SIT2" s="1825"/>
      <c r="SIU2" s="1825"/>
      <c r="SIV2" s="1825"/>
      <c r="SIW2" s="1825"/>
      <c r="SIX2" s="1825"/>
      <c r="SIY2" s="1825"/>
      <c r="SIZ2" s="1825"/>
      <c r="SJA2" s="1825"/>
      <c r="SJB2" s="1825"/>
      <c r="SJC2" s="1825"/>
      <c r="SJD2" s="1825"/>
      <c r="SJE2" s="1825"/>
      <c r="SJF2" s="1825"/>
      <c r="SJG2" s="1825"/>
      <c r="SJH2" s="1825"/>
      <c r="SJI2" s="1825"/>
      <c r="SJJ2" s="1825"/>
      <c r="SJK2" s="1825"/>
      <c r="SJL2" s="1825"/>
      <c r="SJM2" s="1825"/>
      <c r="SJN2" s="1825"/>
      <c r="SJO2" s="1825"/>
      <c r="SJP2" s="1825"/>
      <c r="SJQ2" s="1825"/>
      <c r="SJR2" s="1825"/>
      <c r="SJS2" s="1825"/>
      <c r="SJT2" s="1825"/>
      <c r="SJU2" s="1825"/>
      <c r="SJV2" s="1825"/>
      <c r="SJW2" s="1825"/>
      <c r="SJX2" s="1825"/>
      <c r="SJY2" s="1825"/>
      <c r="SJZ2" s="1825"/>
      <c r="SKA2" s="1825"/>
      <c r="SKB2" s="1825"/>
      <c r="SKC2" s="1825"/>
      <c r="SKD2" s="1825"/>
      <c r="SKE2" s="1825"/>
      <c r="SKF2" s="1825"/>
      <c r="SKG2" s="1825"/>
      <c r="SKH2" s="1825"/>
      <c r="SKI2" s="1825"/>
      <c r="SKJ2" s="1825"/>
      <c r="SKK2" s="1825"/>
      <c r="SKL2" s="1825"/>
      <c r="SKM2" s="1825"/>
      <c r="SKN2" s="1825"/>
      <c r="SKO2" s="1825"/>
      <c r="SKP2" s="1825"/>
      <c r="SKQ2" s="1825"/>
      <c r="SKR2" s="1825"/>
      <c r="SKS2" s="1825"/>
      <c r="SKT2" s="1825"/>
      <c r="SKU2" s="1825"/>
      <c r="SKV2" s="1825"/>
      <c r="SKW2" s="1825"/>
      <c r="SKX2" s="1825"/>
      <c r="SKY2" s="1825"/>
      <c r="SKZ2" s="1825"/>
      <c r="SLA2" s="1825"/>
      <c r="SLB2" s="1825"/>
      <c r="SLC2" s="1825"/>
      <c r="SLD2" s="1825"/>
      <c r="SLE2" s="1825"/>
      <c r="SLF2" s="1825"/>
      <c r="SLG2" s="1825"/>
      <c r="SLH2" s="1825"/>
      <c r="SLI2" s="1825"/>
      <c r="SLJ2" s="1825"/>
      <c r="SLK2" s="1825"/>
      <c r="SLL2" s="1825"/>
      <c r="SLM2" s="1825"/>
      <c r="SLN2" s="1825"/>
      <c r="SLO2" s="1825"/>
      <c r="SLP2" s="1825"/>
      <c r="SLQ2" s="1825"/>
      <c r="SLR2" s="1825"/>
      <c r="SLS2" s="1825"/>
      <c r="SLT2" s="1825"/>
      <c r="SLU2" s="1825"/>
      <c r="SLV2" s="1825"/>
      <c r="SLW2" s="1825"/>
      <c r="SLX2" s="1825"/>
      <c r="SLY2" s="1825"/>
      <c r="SLZ2" s="1825"/>
      <c r="SMA2" s="1825"/>
      <c r="SMB2" s="1825"/>
      <c r="SMC2" s="1825"/>
      <c r="SMD2" s="1825"/>
      <c r="SME2" s="1825"/>
      <c r="SMF2" s="1825"/>
      <c r="SMG2" s="1825"/>
      <c r="SMH2" s="1825"/>
      <c r="SMI2" s="1825"/>
      <c r="SMJ2" s="1825"/>
      <c r="SMK2" s="1825"/>
      <c r="SML2" s="1825"/>
      <c r="SMM2" s="1825"/>
      <c r="SMN2" s="1825"/>
      <c r="SMO2" s="1825"/>
      <c r="SMP2" s="1825"/>
      <c r="SMQ2" s="1825"/>
      <c r="SMR2" s="1825"/>
      <c r="SMS2" s="1825"/>
      <c r="SMT2" s="1825"/>
      <c r="SMU2" s="1825"/>
      <c r="SMV2" s="1825"/>
      <c r="SMW2" s="1825"/>
      <c r="SMX2" s="1825"/>
      <c r="SMY2" s="1825"/>
      <c r="SMZ2" s="1825"/>
      <c r="SNA2" s="1825"/>
      <c r="SNB2" s="1825"/>
      <c r="SNC2" s="1825"/>
      <c r="SND2" s="1825"/>
      <c r="SNE2" s="1825"/>
      <c r="SNF2" s="1825"/>
      <c r="SNG2" s="1825"/>
      <c r="SNH2" s="1825"/>
      <c r="SNI2" s="1825"/>
      <c r="SNJ2" s="1825"/>
      <c r="SNK2" s="1825"/>
      <c r="SNL2" s="1825"/>
      <c r="SNM2" s="1825"/>
      <c r="SNN2" s="1825"/>
      <c r="SNO2" s="1825"/>
      <c r="SNP2" s="1825"/>
      <c r="SNQ2" s="1825"/>
      <c r="SNR2" s="1825"/>
      <c r="SNS2" s="1825"/>
      <c r="SNT2" s="1825"/>
      <c r="SNU2" s="1825"/>
      <c r="SNV2" s="1825"/>
      <c r="SNW2" s="1825"/>
      <c r="SNX2" s="1825"/>
      <c r="SNY2" s="1825"/>
      <c r="SNZ2" s="1825"/>
      <c r="SOA2" s="1825"/>
      <c r="SOB2" s="1825"/>
      <c r="SOC2" s="1825"/>
      <c r="SOD2" s="1825"/>
      <c r="SOE2" s="1825"/>
      <c r="SOF2" s="1825"/>
      <c r="SOG2" s="1825"/>
      <c r="SOH2" s="1825"/>
      <c r="SOI2" s="1825"/>
      <c r="SOJ2" s="1825"/>
      <c r="SOK2" s="1825"/>
      <c r="SOL2" s="1825"/>
      <c r="SOM2" s="1825"/>
      <c r="SON2" s="1825"/>
      <c r="SOO2" s="1825"/>
      <c r="SOP2" s="1825"/>
      <c r="SOQ2" s="1825"/>
      <c r="SOR2" s="1825"/>
      <c r="SOS2" s="1825"/>
      <c r="SOT2" s="1825"/>
      <c r="SOU2" s="1825"/>
      <c r="SOV2" s="1825"/>
      <c r="SOW2" s="1825"/>
      <c r="SOX2" s="1825"/>
      <c r="SOY2" s="1825"/>
      <c r="SOZ2" s="1825"/>
      <c r="SPA2" s="1825"/>
      <c r="SPB2" s="1825"/>
      <c r="SPC2" s="1825"/>
      <c r="SPD2" s="1825"/>
      <c r="SPE2" s="1825"/>
      <c r="SPF2" s="1825"/>
      <c r="SPG2" s="1825"/>
      <c r="SPH2" s="1825"/>
      <c r="SPI2" s="1825"/>
      <c r="SPJ2" s="1825"/>
      <c r="SPK2" s="1825"/>
      <c r="SPL2" s="1825"/>
      <c r="SPM2" s="1825"/>
      <c r="SPN2" s="1825"/>
      <c r="SPO2" s="1825"/>
      <c r="SPP2" s="1825"/>
      <c r="SPQ2" s="1825"/>
      <c r="SPR2" s="1825"/>
      <c r="SPS2" s="1825"/>
      <c r="SPT2" s="1825"/>
      <c r="SPU2" s="1825"/>
      <c r="SPV2" s="1825"/>
      <c r="SPW2" s="1825"/>
      <c r="SPX2" s="1825"/>
      <c r="SPY2" s="1825"/>
      <c r="SPZ2" s="1825"/>
      <c r="SQA2" s="1825"/>
      <c r="SQB2" s="1825"/>
      <c r="SQC2" s="1825"/>
      <c r="SQD2" s="1825"/>
      <c r="SQE2" s="1825"/>
      <c r="SQF2" s="1825"/>
      <c r="SQG2" s="1825"/>
      <c r="SQH2" s="1825"/>
      <c r="SQI2" s="1825"/>
      <c r="SQJ2" s="1825"/>
      <c r="SQK2" s="1825"/>
      <c r="SQL2" s="1825"/>
      <c r="SQM2" s="1825"/>
      <c r="SQN2" s="1825"/>
      <c r="SQO2" s="1825"/>
      <c r="SQP2" s="1825"/>
      <c r="SQQ2" s="1825"/>
      <c r="SQR2" s="1825"/>
      <c r="SQS2" s="1825"/>
      <c r="SQT2" s="1825"/>
      <c r="SQU2" s="1825"/>
      <c r="SQV2" s="1825"/>
      <c r="SQW2" s="1825"/>
      <c r="SQX2" s="1825"/>
      <c r="SQY2" s="1825"/>
      <c r="SQZ2" s="1825"/>
      <c r="SRA2" s="1825"/>
      <c r="SRB2" s="1825"/>
      <c r="SRC2" s="1825"/>
      <c r="SRD2" s="1825"/>
      <c r="SRE2" s="1825"/>
      <c r="SRF2" s="1825"/>
      <c r="SRG2" s="1825"/>
      <c r="SRH2" s="1825"/>
      <c r="SRI2" s="1825"/>
      <c r="SRJ2" s="1825"/>
      <c r="SRK2" s="1825"/>
      <c r="SRL2" s="1825"/>
      <c r="SRM2" s="1825"/>
      <c r="SRN2" s="1825"/>
      <c r="SRO2" s="1825"/>
      <c r="SRP2" s="1825"/>
      <c r="SRQ2" s="1825"/>
      <c r="SRR2" s="1825"/>
      <c r="SRS2" s="1825"/>
      <c r="SRT2" s="1825"/>
      <c r="SRU2" s="1825"/>
      <c r="SRV2" s="1825"/>
      <c r="SRW2" s="1825"/>
      <c r="SRX2" s="1825"/>
      <c r="SRY2" s="1825"/>
      <c r="SRZ2" s="1825"/>
      <c r="SSA2" s="1825"/>
      <c r="SSB2" s="1825"/>
      <c r="SSC2" s="1825"/>
      <c r="SSD2" s="1825"/>
      <c r="SSE2" s="1825"/>
      <c r="SSF2" s="1825"/>
      <c r="SSG2" s="1825"/>
      <c r="SSH2" s="1825"/>
      <c r="SSI2" s="1825"/>
      <c r="SSJ2" s="1825"/>
      <c r="SSK2" s="1825"/>
      <c r="SSL2" s="1825"/>
      <c r="SSM2" s="1825"/>
      <c r="SSN2" s="1825"/>
      <c r="SSO2" s="1825"/>
      <c r="SSP2" s="1825"/>
      <c r="SSQ2" s="1825"/>
      <c r="SSR2" s="1825"/>
      <c r="SSS2" s="1825"/>
      <c r="SST2" s="1825"/>
      <c r="SSU2" s="1825"/>
      <c r="SSV2" s="1825"/>
      <c r="SSW2" s="1825"/>
      <c r="SSX2" s="1825"/>
      <c r="SSY2" s="1825"/>
      <c r="SSZ2" s="1825"/>
      <c r="STA2" s="1825"/>
      <c r="STB2" s="1825"/>
      <c r="STC2" s="1825"/>
      <c r="STD2" s="1825"/>
      <c r="STE2" s="1825"/>
      <c r="STF2" s="1825"/>
      <c r="STG2" s="1825"/>
      <c r="STH2" s="1825"/>
      <c r="STI2" s="1825"/>
      <c r="STJ2" s="1825"/>
      <c r="STK2" s="1825"/>
      <c r="STL2" s="1825"/>
      <c r="STM2" s="1825"/>
      <c r="STN2" s="1825"/>
      <c r="STO2" s="1825"/>
      <c r="STP2" s="1825"/>
      <c r="STQ2" s="1825"/>
      <c r="STR2" s="1825"/>
      <c r="STS2" s="1825"/>
      <c r="STT2" s="1825"/>
      <c r="STU2" s="1825"/>
      <c r="STV2" s="1825"/>
      <c r="STW2" s="1825"/>
      <c r="STX2" s="1825"/>
      <c r="STY2" s="1825"/>
      <c r="STZ2" s="1825"/>
      <c r="SUA2" s="1825"/>
      <c r="SUB2" s="1825"/>
      <c r="SUC2" s="1825"/>
      <c r="SUD2" s="1825"/>
      <c r="SUE2" s="1825"/>
      <c r="SUF2" s="1825"/>
      <c r="SUG2" s="1825"/>
      <c r="SUH2" s="1825"/>
      <c r="SUI2" s="1825"/>
      <c r="SUJ2" s="1825"/>
      <c r="SUK2" s="1825"/>
      <c r="SUL2" s="1825"/>
      <c r="SUM2" s="1825"/>
      <c r="SUN2" s="1825"/>
      <c r="SUO2" s="1825"/>
      <c r="SUP2" s="1825"/>
      <c r="SUQ2" s="1825"/>
      <c r="SUR2" s="1825"/>
      <c r="SUS2" s="1825"/>
      <c r="SUT2" s="1825"/>
      <c r="SUU2" s="1825"/>
      <c r="SUV2" s="1825"/>
      <c r="SUW2" s="1825"/>
      <c r="SUX2" s="1825"/>
      <c r="SUY2" s="1825"/>
      <c r="SUZ2" s="1825"/>
      <c r="SVA2" s="1825"/>
      <c r="SVB2" s="1825"/>
      <c r="SVC2" s="1825"/>
      <c r="SVD2" s="1825"/>
      <c r="SVE2" s="1825"/>
      <c r="SVF2" s="1825"/>
      <c r="SVG2" s="1825"/>
      <c r="SVH2" s="1825"/>
      <c r="SVI2" s="1825"/>
      <c r="SVJ2" s="1825"/>
      <c r="SVK2" s="1825"/>
      <c r="SVL2" s="1825"/>
      <c r="SVM2" s="1825"/>
      <c r="SVN2" s="1825"/>
      <c r="SVO2" s="1825"/>
      <c r="SVP2" s="1825"/>
      <c r="SVQ2" s="1825"/>
      <c r="SVR2" s="1825"/>
      <c r="SVS2" s="1825"/>
      <c r="SVT2" s="1825"/>
      <c r="SVU2" s="1825"/>
      <c r="SVV2" s="1825"/>
      <c r="SVW2" s="1825"/>
      <c r="SVX2" s="1825"/>
      <c r="SVY2" s="1825"/>
      <c r="SVZ2" s="1825"/>
      <c r="SWA2" s="1825"/>
      <c r="SWB2" s="1825"/>
      <c r="SWC2" s="1825"/>
      <c r="SWD2" s="1825"/>
      <c r="SWE2" s="1825"/>
      <c r="SWF2" s="1825"/>
      <c r="SWG2" s="1825"/>
      <c r="SWH2" s="1825"/>
      <c r="SWI2" s="1825"/>
      <c r="SWJ2" s="1825"/>
      <c r="SWK2" s="1825"/>
      <c r="SWL2" s="1825"/>
      <c r="SWM2" s="1825"/>
      <c r="SWN2" s="1825"/>
      <c r="SWO2" s="1825"/>
      <c r="SWP2" s="1825"/>
      <c r="SWQ2" s="1825"/>
      <c r="SWR2" s="1825"/>
      <c r="SWS2" s="1825"/>
      <c r="SWT2" s="1825"/>
      <c r="SWU2" s="1825"/>
      <c r="SWV2" s="1825"/>
      <c r="SWW2" s="1825"/>
      <c r="SWX2" s="1825"/>
      <c r="SWY2" s="1825"/>
      <c r="SWZ2" s="1825"/>
      <c r="SXA2" s="1825"/>
      <c r="SXB2" s="1825"/>
      <c r="SXC2" s="1825"/>
      <c r="SXD2" s="1825"/>
      <c r="SXE2" s="1825"/>
      <c r="SXF2" s="1825"/>
      <c r="SXG2" s="1825"/>
      <c r="SXH2" s="1825"/>
      <c r="SXI2" s="1825"/>
      <c r="SXJ2" s="1825"/>
      <c r="SXK2" s="1825"/>
      <c r="SXL2" s="1825"/>
      <c r="SXM2" s="1825"/>
      <c r="SXN2" s="1825"/>
      <c r="SXO2" s="1825"/>
      <c r="SXP2" s="1825"/>
      <c r="SXQ2" s="1825"/>
      <c r="SXR2" s="1825"/>
      <c r="SXS2" s="1825"/>
      <c r="SXT2" s="1825"/>
      <c r="SXU2" s="1825"/>
      <c r="SXV2" s="1825"/>
      <c r="SXW2" s="1825"/>
      <c r="SXX2" s="1825"/>
      <c r="SXY2" s="1825"/>
      <c r="SXZ2" s="1825"/>
      <c r="SYA2" s="1825"/>
      <c r="SYB2" s="1825"/>
      <c r="SYC2" s="1825"/>
      <c r="SYD2" s="1825"/>
      <c r="SYE2" s="1825"/>
      <c r="SYF2" s="1825"/>
      <c r="SYG2" s="1825"/>
      <c r="SYH2" s="1825"/>
      <c r="SYI2" s="1825"/>
      <c r="SYJ2" s="1825"/>
      <c r="SYK2" s="1825"/>
      <c r="SYL2" s="1825"/>
      <c r="SYM2" s="1825"/>
      <c r="SYN2" s="1825"/>
      <c r="SYO2" s="1825"/>
      <c r="SYP2" s="1825"/>
      <c r="SYQ2" s="1825"/>
      <c r="SYR2" s="1825"/>
      <c r="SYS2" s="1825"/>
      <c r="SYT2" s="1825"/>
      <c r="SYU2" s="1825"/>
      <c r="SYV2" s="1825"/>
      <c r="SYW2" s="1825"/>
      <c r="SYX2" s="1825"/>
      <c r="SYY2" s="1825"/>
      <c r="SYZ2" s="1825"/>
      <c r="SZA2" s="1825"/>
      <c r="SZB2" s="1825"/>
      <c r="SZC2" s="1825"/>
      <c r="SZD2" s="1825"/>
      <c r="SZE2" s="1825"/>
      <c r="SZF2" s="1825"/>
      <c r="SZG2" s="1825"/>
      <c r="SZH2" s="1825"/>
      <c r="SZI2" s="1825"/>
      <c r="SZJ2" s="1825"/>
      <c r="SZK2" s="1825"/>
      <c r="SZL2" s="1825"/>
      <c r="SZM2" s="1825"/>
      <c r="SZN2" s="1825"/>
      <c r="SZO2" s="1825"/>
      <c r="SZP2" s="1825"/>
      <c r="SZQ2" s="1825"/>
      <c r="SZR2" s="1825"/>
      <c r="SZS2" s="1825"/>
      <c r="SZT2" s="1825"/>
      <c r="SZU2" s="1825"/>
      <c r="SZV2" s="1825"/>
      <c r="SZW2" s="1825"/>
      <c r="SZX2" s="1825"/>
      <c r="SZY2" s="1825"/>
      <c r="SZZ2" s="1825"/>
      <c r="TAA2" s="1825"/>
      <c r="TAB2" s="1825"/>
      <c r="TAC2" s="1825"/>
      <c r="TAD2" s="1825"/>
      <c r="TAE2" s="1825"/>
      <c r="TAF2" s="1825"/>
      <c r="TAG2" s="1825"/>
      <c r="TAH2" s="1825"/>
      <c r="TAI2" s="1825"/>
      <c r="TAJ2" s="1825"/>
      <c r="TAK2" s="1825"/>
      <c r="TAL2" s="1825"/>
      <c r="TAM2" s="1825"/>
      <c r="TAN2" s="1825"/>
      <c r="TAO2" s="1825"/>
      <c r="TAP2" s="1825"/>
      <c r="TAQ2" s="1825"/>
      <c r="TAR2" s="1825"/>
      <c r="TAS2" s="1825"/>
      <c r="TAT2" s="1825"/>
      <c r="TAU2" s="1825"/>
      <c r="TAV2" s="1825"/>
      <c r="TAW2" s="1825"/>
      <c r="TAX2" s="1825"/>
      <c r="TAY2" s="1825"/>
      <c r="TAZ2" s="1825"/>
      <c r="TBA2" s="1825"/>
      <c r="TBB2" s="1825"/>
      <c r="TBC2" s="1825"/>
      <c r="TBD2" s="1825"/>
      <c r="TBE2" s="1825"/>
      <c r="TBF2" s="1825"/>
      <c r="TBG2" s="1825"/>
      <c r="TBH2" s="1825"/>
      <c r="TBI2" s="1825"/>
      <c r="TBJ2" s="1825"/>
      <c r="TBK2" s="1825"/>
      <c r="TBL2" s="1825"/>
      <c r="TBM2" s="1825"/>
      <c r="TBN2" s="1825"/>
      <c r="TBO2" s="1825"/>
      <c r="TBP2" s="1825"/>
      <c r="TBQ2" s="1825"/>
      <c r="TBR2" s="1825"/>
      <c r="TBS2" s="1825"/>
      <c r="TBT2" s="1825"/>
      <c r="TBU2" s="1825"/>
      <c r="TBV2" s="1825"/>
      <c r="TBW2" s="1825"/>
      <c r="TBX2" s="1825"/>
      <c r="TBY2" s="1825"/>
      <c r="TBZ2" s="1825"/>
      <c r="TCA2" s="1825"/>
      <c r="TCB2" s="1825"/>
      <c r="TCC2" s="1825"/>
      <c r="TCD2" s="1825"/>
      <c r="TCE2" s="1825"/>
      <c r="TCF2" s="1825"/>
      <c r="TCG2" s="1825"/>
      <c r="TCH2" s="1825"/>
      <c r="TCI2" s="1825"/>
      <c r="TCJ2" s="1825"/>
      <c r="TCK2" s="1825"/>
      <c r="TCL2" s="1825"/>
      <c r="TCM2" s="1825"/>
      <c r="TCN2" s="1825"/>
      <c r="TCO2" s="1825"/>
      <c r="TCP2" s="1825"/>
      <c r="TCQ2" s="1825"/>
      <c r="TCR2" s="1825"/>
      <c r="TCS2" s="1825"/>
      <c r="TCT2" s="1825"/>
      <c r="TCU2" s="1825"/>
      <c r="TCV2" s="1825"/>
      <c r="TCW2" s="1825"/>
      <c r="TCX2" s="1825"/>
      <c r="TCY2" s="1825"/>
      <c r="TCZ2" s="1825"/>
      <c r="TDA2" s="1825"/>
      <c r="TDB2" s="1825"/>
      <c r="TDC2" s="1825"/>
      <c r="TDD2" s="1825"/>
      <c r="TDE2" s="1825"/>
      <c r="TDF2" s="1825"/>
      <c r="TDG2" s="1825"/>
      <c r="TDH2" s="1825"/>
      <c r="TDI2" s="1825"/>
      <c r="TDJ2" s="1825"/>
      <c r="TDK2" s="1825"/>
      <c r="TDL2" s="1825"/>
      <c r="TDM2" s="1825"/>
      <c r="TDN2" s="1825"/>
      <c r="TDO2" s="1825"/>
      <c r="TDP2" s="1825"/>
      <c r="TDQ2" s="1825"/>
      <c r="TDR2" s="1825"/>
      <c r="TDS2" s="1825"/>
      <c r="TDT2" s="1825"/>
      <c r="TDU2" s="1825"/>
      <c r="TDV2" s="1825"/>
      <c r="TDW2" s="1825"/>
      <c r="TDX2" s="1825"/>
      <c r="TDY2" s="1825"/>
      <c r="TDZ2" s="1825"/>
      <c r="TEA2" s="1825"/>
      <c r="TEB2" s="1825"/>
      <c r="TEC2" s="1825"/>
      <c r="TED2" s="1825"/>
      <c r="TEE2" s="1825"/>
      <c r="TEF2" s="1825"/>
      <c r="TEG2" s="1825"/>
      <c r="TEH2" s="1825"/>
      <c r="TEI2" s="1825"/>
      <c r="TEJ2" s="1825"/>
      <c r="TEK2" s="1825"/>
      <c r="TEL2" s="1825"/>
      <c r="TEM2" s="1825"/>
      <c r="TEN2" s="1825"/>
      <c r="TEO2" s="1825"/>
      <c r="TEP2" s="1825"/>
      <c r="TEQ2" s="1825"/>
      <c r="TER2" s="1825"/>
      <c r="TES2" s="1825"/>
      <c r="TET2" s="1825"/>
      <c r="TEU2" s="1825"/>
      <c r="TEV2" s="1825"/>
      <c r="TEW2" s="1825"/>
      <c r="TEX2" s="1825"/>
      <c r="TEY2" s="1825"/>
      <c r="TEZ2" s="1825"/>
      <c r="TFA2" s="1825"/>
      <c r="TFB2" s="1825"/>
      <c r="TFC2" s="1825"/>
      <c r="TFD2" s="1825"/>
      <c r="TFE2" s="1825"/>
      <c r="TFF2" s="1825"/>
      <c r="TFG2" s="1825"/>
      <c r="TFH2" s="1825"/>
      <c r="TFI2" s="1825"/>
      <c r="TFJ2" s="1825"/>
      <c r="TFK2" s="1825"/>
      <c r="TFL2" s="1825"/>
      <c r="TFM2" s="1825"/>
      <c r="TFN2" s="1825"/>
      <c r="TFO2" s="1825"/>
      <c r="TFP2" s="1825"/>
      <c r="TFQ2" s="1825"/>
      <c r="TFR2" s="1825"/>
      <c r="TFS2" s="1825"/>
      <c r="TFT2" s="1825"/>
      <c r="TFU2" s="1825"/>
      <c r="TFV2" s="1825"/>
      <c r="TFW2" s="1825"/>
      <c r="TFX2" s="1825"/>
      <c r="TFY2" s="1825"/>
      <c r="TFZ2" s="1825"/>
      <c r="TGA2" s="1825"/>
      <c r="TGB2" s="1825"/>
      <c r="TGC2" s="1825"/>
      <c r="TGD2" s="1825"/>
      <c r="TGE2" s="1825"/>
      <c r="TGF2" s="1825"/>
      <c r="TGG2" s="1825"/>
      <c r="TGH2" s="1825"/>
      <c r="TGI2" s="1825"/>
      <c r="TGJ2" s="1825"/>
      <c r="TGK2" s="1825"/>
      <c r="TGL2" s="1825"/>
      <c r="TGM2" s="1825"/>
      <c r="TGN2" s="1825"/>
      <c r="TGO2" s="1825"/>
      <c r="TGP2" s="1825"/>
      <c r="TGQ2" s="1825"/>
      <c r="TGR2" s="1825"/>
      <c r="TGS2" s="1825"/>
      <c r="TGT2" s="1825"/>
      <c r="TGU2" s="1825"/>
      <c r="TGV2" s="1825"/>
      <c r="TGW2" s="1825"/>
      <c r="TGX2" s="1825"/>
      <c r="TGY2" s="1825"/>
      <c r="TGZ2" s="1825"/>
      <c r="THA2" s="1825"/>
      <c r="THB2" s="1825"/>
      <c r="THC2" s="1825"/>
      <c r="THD2" s="1825"/>
      <c r="THE2" s="1825"/>
      <c r="THF2" s="1825"/>
      <c r="THG2" s="1825"/>
      <c r="THH2" s="1825"/>
      <c r="THI2" s="1825"/>
      <c r="THJ2" s="1825"/>
      <c r="THK2" s="1825"/>
      <c r="THL2" s="1825"/>
      <c r="THM2" s="1825"/>
      <c r="THN2" s="1825"/>
      <c r="THO2" s="1825"/>
      <c r="THP2" s="1825"/>
      <c r="THQ2" s="1825"/>
      <c r="THR2" s="1825"/>
      <c r="THS2" s="1825"/>
      <c r="THT2" s="1825"/>
      <c r="THU2" s="1825"/>
      <c r="THV2" s="1825"/>
      <c r="THW2" s="1825"/>
      <c r="THX2" s="1825"/>
      <c r="THY2" s="1825"/>
      <c r="THZ2" s="1825"/>
      <c r="TIA2" s="1825"/>
      <c r="TIB2" s="1825"/>
      <c r="TIC2" s="1825"/>
      <c r="TID2" s="1825"/>
      <c r="TIE2" s="1825"/>
      <c r="TIF2" s="1825"/>
      <c r="TIG2" s="1825"/>
      <c r="TIH2" s="1825"/>
      <c r="TII2" s="1825"/>
      <c r="TIJ2" s="1825"/>
      <c r="TIK2" s="1825"/>
      <c r="TIL2" s="1825"/>
      <c r="TIM2" s="1825"/>
      <c r="TIN2" s="1825"/>
      <c r="TIO2" s="1825"/>
      <c r="TIP2" s="1825"/>
      <c r="TIQ2" s="1825"/>
      <c r="TIR2" s="1825"/>
      <c r="TIS2" s="1825"/>
      <c r="TIT2" s="1825"/>
      <c r="TIU2" s="1825"/>
      <c r="TIV2" s="1825"/>
      <c r="TIW2" s="1825"/>
      <c r="TIX2" s="1825"/>
      <c r="TIY2" s="1825"/>
      <c r="TIZ2" s="1825"/>
      <c r="TJA2" s="1825"/>
      <c r="TJB2" s="1825"/>
      <c r="TJC2" s="1825"/>
      <c r="TJD2" s="1825"/>
      <c r="TJE2" s="1825"/>
      <c r="TJF2" s="1825"/>
      <c r="TJG2" s="1825"/>
      <c r="TJH2" s="1825"/>
      <c r="TJI2" s="1825"/>
      <c r="TJJ2" s="1825"/>
      <c r="TJK2" s="1825"/>
      <c r="TJL2" s="1825"/>
      <c r="TJM2" s="1825"/>
      <c r="TJN2" s="1825"/>
      <c r="TJO2" s="1825"/>
      <c r="TJP2" s="1825"/>
      <c r="TJQ2" s="1825"/>
      <c r="TJR2" s="1825"/>
      <c r="TJS2" s="1825"/>
      <c r="TJT2" s="1825"/>
      <c r="TJU2" s="1825"/>
      <c r="TJV2" s="1825"/>
      <c r="TJW2" s="1825"/>
      <c r="TJX2" s="1825"/>
      <c r="TJY2" s="1825"/>
      <c r="TJZ2" s="1825"/>
      <c r="TKA2" s="1825"/>
      <c r="TKB2" s="1825"/>
      <c r="TKC2" s="1825"/>
      <c r="TKD2" s="1825"/>
      <c r="TKE2" s="1825"/>
      <c r="TKF2" s="1825"/>
      <c r="TKG2" s="1825"/>
      <c r="TKH2" s="1825"/>
      <c r="TKI2" s="1825"/>
      <c r="TKJ2" s="1825"/>
      <c r="TKK2" s="1825"/>
      <c r="TKL2" s="1825"/>
      <c r="TKM2" s="1825"/>
      <c r="TKN2" s="1825"/>
      <c r="TKO2" s="1825"/>
      <c r="TKP2" s="1825"/>
      <c r="TKQ2" s="1825"/>
      <c r="TKR2" s="1825"/>
      <c r="TKS2" s="1825"/>
      <c r="TKT2" s="1825"/>
      <c r="TKU2" s="1825"/>
      <c r="TKV2" s="1825"/>
      <c r="TKW2" s="1825"/>
      <c r="TKX2" s="1825"/>
      <c r="TKY2" s="1825"/>
      <c r="TKZ2" s="1825"/>
      <c r="TLA2" s="1825"/>
      <c r="TLB2" s="1825"/>
      <c r="TLC2" s="1825"/>
      <c r="TLD2" s="1825"/>
      <c r="TLE2" s="1825"/>
      <c r="TLF2" s="1825"/>
      <c r="TLG2" s="1825"/>
      <c r="TLH2" s="1825"/>
      <c r="TLI2" s="1825"/>
      <c r="TLJ2" s="1825"/>
      <c r="TLK2" s="1825"/>
      <c r="TLL2" s="1825"/>
      <c r="TLM2" s="1825"/>
      <c r="TLN2" s="1825"/>
      <c r="TLO2" s="1825"/>
      <c r="TLP2" s="1825"/>
      <c r="TLQ2" s="1825"/>
      <c r="TLR2" s="1825"/>
      <c r="TLS2" s="1825"/>
      <c r="TLT2" s="1825"/>
      <c r="TLU2" s="1825"/>
      <c r="TLV2" s="1825"/>
      <c r="TLW2" s="1825"/>
      <c r="TLX2" s="1825"/>
      <c r="TLY2" s="1825"/>
      <c r="TLZ2" s="1825"/>
      <c r="TMA2" s="1825"/>
      <c r="TMB2" s="1825"/>
      <c r="TMC2" s="1825"/>
      <c r="TMD2" s="1825"/>
      <c r="TME2" s="1825"/>
      <c r="TMF2" s="1825"/>
      <c r="TMG2" s="1825"/>
      <c r="TMH2" s="1825"/>
      <c r="TMI2" s="1825"/>
      <c r="TMJ2" s="1825"/>
      <c r="TMK2" s="1825"/>
      <c r="TML2" s="1825"/>
      <c r="TMM2" s="1825"/>
      <c r="TMN2" s="1825"/>
      <c r="TMO2" s="1825"/>
      <c r="TMP2" s="1825"/>
      <c r="TMQ2" s="1825"/>
      <c r="TMR2" s="1825"/>
      <c r="TMS2" s="1825"/>
      <c r="TMT2" s="1825"/>
      <c r="TMU2" s="1825"/>
      <c r="TMV2" s="1825"/>
      <c r="TMW2" s="1825"/>
      <c r="TMX2" s="1825"/>
      <c r="TMY2" s="1825"/>
      <c r="TMZ2" s="1825"/>
      <c r="TNA2" s="1825"/>
      <c r="TNB2" s="1825"/>
      <c r="TNC2" s="1825"/>
      <c r="TND2" s="1825"/>
      <c r="TNE2" s="1825"/>
      <c r="TNF2" s="1825"/>
      <c r="TNG2" s="1825"/>
      <c r="TNH2" s="1825"/>
      <c r="TNI2" s="1825"/>
      <c r="TNJ2" s="1825"/>
      <c r="TNK2" s="1825"/>
      <c r="TNL2" s="1825"/>
      <c r="TNM2" s="1825"/>
      <c r="TNN2" s="1825"/>
      <c r="TNO2" s="1825"/>
      <c r="TNP2" s="1825"/>
      <c r="TNQ2" s="1825"/>
      <c r="TNR2" s="1825"/>
      <c r="TNS2" s="1825"/>
      <c r="TNT2" s="1825"/>
      <c r="TNU2" s="1825"/>
      <c r="TNV2" s="1825"/>
      <c r="TNW2" s="1825"/>
      <c r="TNX2" s="1825"/>
      <c r="TNY2" s="1825"/>
      <c r="TNZ2" s="1825"/>
      <c r="TOA2" s="1825"/>
      <c r="TOB2" s="1825"/>
      <c r="TOC2" s="1825"/>
      <c r="TOD2" s="1825"/>
      <c r="TOE2" s="1825"/>
      <c r="TOF2" s="1825"/>
      <c r="TOG2" s="1825"/>
      <c r="TOH2" s="1825"/>
      <c r="TOI2" s="1825"/>
      <c r="TOJ2" s="1825"/>
      <c r="TOK2" s="1825"/>
      <c r="TOL2" s="1825"/>
      <c r="TOM2" s="1825"/>
      <c r="TON2" s="1825"/>
      <c r="TOO2" s="1825"/>
      <c r="TOP2" s="1825"/>
      <c r="TOQ2" s="1825"/>
      <c r="TOR2" s="1825"/>
      <c r="TOS2" s="1825"/>
      <c r="TOT2" s="1825"/>
      <c r="TOU2" s="1825"/>
      <c r="TOV2" s="1825"/>
      <c r="TOW2" s="1825"/>
      <c r="TOX2" s="1825"/>
      <c r="TOY2" s="1825"/>
      <c r="TOZ2" s="1825"/>
      <c r="TPA2" s="1825"/>
      <c r="TPB2" s="1825"/>
      <c r="TPC2" s="1825"/>
      <c r="TPD2" s="1825"/>
      <c r="TPE2" s="1825"/>
      <c r="TPF2" s="1825"/>
      <c r="TPG2" s="1825"/>
      <c r="TPH2" s="1825"/>
      <c r="TPI2" s="1825"/>
      <c r="TPJ2" s="1825"/>
      <c r="TPK2" s="1825"/>
      <c r="TPL2" s="1825"/>
      <c r="TPM2" s="1825"/>
      <c r="TPN2" s="1825"/>
      <c r="TPO2" s="1825"/>
      <c r="TPP2" s="1825"/>
      <c r="TPQ2" s="1825"/>
      <c r="TPR2" s="1825"/>
      <c r="TPS2" s="1825"/>
      <c r="TPT2" s="1825"/>
      <c r="TPU2" s="1825"/>
      <c r="TPV2" s="1825"/>
      <c r="TPW2" s="1825"/>
      <c r="TPX2" s="1825"/>
      <c r="TPY2" s="1825"/>
      <c r="TPZ2" s="1825"/>
      <c r="TQA2" s="1825"/>
      <c r="TQB2" s="1825"/>
      <c r="TQC2" s="1825"/>
      <c r="TQD2" s="1825"/>
      <c r="TQE2" s="1825"/>
      <c r="TQF2" s="1825"/>
      <c r="TQG2" s="1825"/>
      <c r="TQH2" s="1825"/>
      <c r="TQI2" s="1825"/>
      <c r="TQJ2" s="1825"/>
      <c r="TQK2" s="1825"/>
      <c r="TQL2" s="1825"/>
      <c r="TQM2" s="1825"/>
      <c r="TQN2" s="1825"/>
      <c r="TQO2" s="1825"/>
      <c r="TQP2" s="1825"/>
      <c r="TQQ2" s="1825"/>
      <c r="TQR2" s="1825"/>
      <c r="TQS2" s="1825"/>
      <c r="TQT2" s="1825"/>
      <c r="TQU2" s="1825"/>
      <c r="TQV2" s="1825"/>
      <c r="TQW2" s="1825"/>
      <c r="TQX2" s="1825"/>
      <c r="TQY2" s="1825"/>
      <c r="TQZ2" s="1825"/>
      <c r="TRA2" s="1825"/>
      <c r="TRB2" s="1825"/>
      <c r="TRC2" s="1825"/>
      <c r="TRD2" s="1825"/>
      <c r="TRE2" s="1825"/>
      <c r="TRF2" s="1825"/>
      <c r="TRG2" s="1825"/>
      <c r="TRH2" s="1825"/>
      <c r="TRI2" s="1825"/>
      <c r="TRJ2" s="1825"/>
      <c r="TRK2" s="1825"/>
      <c r="TRL2" s="1825"/>
      <c r="TRM2" s="1825"/>
      <c r="TRN2" s="1825"/>
      <c r="TRO2" s="1825"/>
      <c r="TRP2" s="1825"/>
      <c r="TRQ2" s="1825"/>
      <c r="TRR2" s="1825"/>
      <c r="TRS2" s="1825"/>
      <c r="TRT2" s="1825"/>
      <c r="TRU2" s="1825"/>
      <c r="TRV2" s="1825"/>
      <c r="TRW2" s="1825"/>
      <c r="TRX2" s="1825"/>
      <c r="TRY2" s="1825"/>
      <c r="TRZ2" s="1825"/>
      <c r="TSA2" s="1825"/>
      <c r="TSB2" s="1825"/>
      <c r="TSC2" s="1825"/>
      <c r="TSD2" s="1825"/>
      <c r="TSE2" s="1825"/>
      <c r="TSF2" s="1825"/>
      <c r="TSG2" s="1825"/>
      <c r="TSH2" s="1825"/>
      <c r="TSI2" s="1825"/>
      <c r="TSJ2" s="1825"/>
      <c r="TSK2" s="1825"/>
      <c r="TSL2" s="1825"/>
      <c r="TSM2" s="1825"/>
      <c r="TSN2" s="1825"/>
      <c r="TSO2" s="1825"/>
      <c r="TSP2" s="1825"/>
      <c r="TSQ2" s="1825"/>
      <c r="TSR2" s="1825"/>
      <c r="TSS2" s="1825"/>
      <c r="TST2" s="1825"/>
      <c r="TSU2" s="1825"/>
      <c r="TSV2" s="1825"/>
      <c r="TSW2" s="1825"/>
      <c r="TSX2" s="1825"/>
      <c r="TSY2" s="1825"/>
      <c r="TSZ2" s="1825"/>
      <c r="TTA2" s="1825"/>
      <c r="TTB2" s="1825"/>
      <c r="TTC2" s="1825"/>
      <c r="TTD2" s="1825"/>
      <c r="TTE2" s="1825"/>
      <c r="TTF2" s="1825"/>
      <c r="TTG2" s="1825"/>
      <c r="TTH2" s="1825"/>
      <c r="TTI2" s="1825"/>
      <c r="TTJ2" s="1825"/>
      <c r="TTK2" s="1825"/>
      <c r="TTL2" s="1825"/>
      <c r="TTM2" s="1825"/>
      <c r="TTN2" s="1825"/>
      <c r="TTO2" s="1825"/>
      <c r="TTP2" s="1825"/>
      <c r="TTQ2" s="1825"/>
      <c r="TTR2" s="1825"/>
      <c r="TTS2" s="1825"/>
      <c r="TTT2" s="1825"/>
      <c r="TTU2" s="1825"/>
      <c r="TTV2" s="1825"/>
      <c r="TTW2" s="1825"/>
      <c r="TTX2" s="1825"/>
      <c r="TTY2" s="1825"/>
      <c r="TTZ2" s="1825"/>
      <c r="TUA2" s="1825"/>
      <c r="TUB2" s="1825"/>
      <c r="TUC2" s="1825"/>
      <c r="TUD2" s="1825"/>
      <c r="TUE2" s="1825"/>
      <c r="TUF2" s="1825"/>
      <c r="TUG2" s="1825"/>
      <c r="TUH2" s="1825"/>
      <c r="TUI2" s="1825"/>
      <c r="TUJ2" s="1825"/>
      <c r="TUK2" s="1825"/>
      <c r="TUL2" s="1825"/>
      <c r="TUM2" s="1825"/>
      <c r="TUN2" s="1825"/>
      <c r="TUO2" s="1825"/>
      <c r="TUP2" s="1825"/>
      <c r="TUQ2" s="1825"/>
      <c r="TUR2" s="1825"/>
      <c r="TUS2" s="1825"/>
      <c r="TUT2" s="1825"/>
      <c r="TUU2" s="1825"/>
      <c r="TUV2" s="1825"/>
      <c r="TUW2" s="1825"/>
      <c r="TUX2" s="1825"/>
      <c r="TUY2" s="1825"/>
      <c r="TUZ2" s="1825"/>
      <c r="TVA2" s="1825"/>
      <c r="TVB2" s="1825"/>
      <c r="TVC2" s="1825"/>
      <c r="TVD2" s="1825"/>
      <c r="TVE2" s="1825"/>
      <c r="TVF2" s="1825"/>
      <c r="TVG2" s="1825"/>
      <c r="TVH2" s="1825"/>
      <c r="TVI2" s="1825"/>
      <c r="TVJ2" s="1825"/>
      <c r="TVK2" s="1825"/>
      <c r="TVL2" s="1825"/>
      <c r="TVM2" s="1825"/>
      <c r="TVN2" s="1825"/>
      <c r="TVO2" s="1825"/>
      <c r="TVP2" s="1825"/>
      <c r="TVQ2" s="1825"/>
      <c r="TVR2" s="1825"/>
      <c r="TVS2" s="1825"/>
      <c r="TVT2" s="1825"/>
      <c r="TVU2" s="1825"/>
      <c r="TVV2" s="1825"/>
      <c r="TVW2" s="1825"/>
      <c r="TVX2" s="1825"/>
      <c r="TVY2" s="1825"/>
      <c r="TVZ2" s="1825"/>
      <c r="TWA2" s="1825"/>
      <c r="TWB2" s="1825"/>
      <c r="TWC2" s="1825"/>
      <c r="TWD2" s="1825"/>
      <c r="TWE2" s="1825"/>
      <c r="TWF2" s="1825"/>
      <c r="TWG2" s="1825"/>
      <c r="TWH2" s="1825"/>
      <c r="TWI2" s="1825"/>
      <c r="TWJ2" s="1825"/>
      <c r="TWK2" s="1825"/>
      <c r="TWL2" s="1825"/>
      <c r="TWM2" s="1825"/>
      <c r="TWN2" s="1825"/>
      <c r="TWO2" s="1825"/>
      <c r="TWP2" s="1825"/>
      <c r="TWQ2" s="1825"/>
      <c r="TWR2" s="1825"/>
      <c r="TWS2" s="1825"/>
      <c r="TWT2" s="1825"/>
      <c r="TWU2" s="1825"/>
      <c r="TWV2" s="1825"/>
      <c r="TWW2" s="1825"/>
      <c r="TWX2" s="1825"/>
      <c r="TWY2" s="1825"/>
      <c r="TWZ2" s="1825"/>
      <c r="TXA2" s="1825"/>
      <c r="TXB2" s="1825"/>
      <c r="TXC2" s="1825"/>
      <c r="TXD2" s="1825"/>
      <c r="TXE2" s="1825"/>
      <c r="TXF2" s="1825"/>
      <c r="TXG2" s="1825"/>
      <c r="TXH2" s="1825"/>
      <c r="TXI2" s="1825"/>
      <c r="TXJ2" s="1825"/>
      <c r="TXK2" s="1825"/>
      <c r="TXL2" s="1825"/>
      <c r="TXM2" s="1825"/>
      <c r="TXN2" s="1825"/>
      <c r="TXO2" s="1825"/>
      <c r="TXP2" s="1825"/>
      <c r="TXQ2" s="1825"/>
      <c r="TXR2" s="1825"/>
      <c r="TXS2" s="1825"/>
      <c r="TXT2" s="1825"/>
      <c r="TXU2" s="1825"/>
      <c r="TXV2" s="1825"/>
      <c r="TXW2" s="1825"/>
      <c r="TXX2" s="1825"/>
      <c r="TXY2" s="1825"/>
      <c r="TXZ2" s="1825"/>
      <c r="TYA2" s="1825"/>
      <c r="TYB2" s="1825"/>
      <c r="TYC2" s="1825"/>
      <c r="TYD2" s="1825"/>
      <c r="TYE2" s="1825"/>
      <c r="TYF2" s="1825"/>
      <c r="TYG2" s="1825"/>
      <c r="TYH2" s="1825"/>
      <c r="TYI2" s="1825"/>
      <c r="TYJ2" s="1825"/>
      <c r="TYK2" s="1825"/>
      <c r="TYL2" s="1825"/>
      <c r="TYM2" s="1825"/>
      <c r="TYN2" s="1825"/>
      <c r="TYO2" s="1825"/>
      <c r="TYP2" s="1825"/>
      <c r="TYQ2" s="1825"/>
      <c r="TYR2" s="1825"/>
      <c r="TYS2" s="1825"/>
      <c r="TYT2" s="1825"/>
      <c r="TYU2" s="1825"/>
      <c r="TYV2" s="1825"/>
      <c r="TYW2" s="1825"/>
      <c r="TYX2" s="1825"/>
      <c r="TYY2" s="1825"/>
      <c r="TYZ2" s="1825"/>
      <c r="TZA2" s="1825"/>
      <c r="TZB2" s="1825"/>
      <c r="TZC2" s="1825"/>
      <c r="TZD2" s="1825"/>
      <c r="TZE2" s="1825"/>
      <c r="TZF2" s="1825"/>
      <c r="TZG2" s="1825"/>
      <c r="TZH2" s="1825"/>
      <c r="TZI2" s="1825"/>
      <c r="TZJ2" s="1825"/>
      <c r="TZK2" s="1825"/>
      <c r="TZL2" s="1825"/>
      <c r="TZM2" s="1825"/>
      <c r="TZN2" s="1825"/>
      <c r="TZO2" s="1825"/>
      <c r="TZP2" s="1825"/>
      <c r="TZQ2" s="1825"/>
      <c r="TZR2" s="1825"/>
      <c r="TZS2" s="1825"/>
      <c r="TZT2" s="1825"/>
      <c r="TZU2" s="1825"/>
      <c r="TZV2" s="1825"/>
      <c r="TZW2" s="1825"/>
      <c r="TZX2" s="1825"/>
      <c r="TZY2" s="1825"/>
      <c r="TZZ2" s="1825"/>
      <c r="UAA2" s="1825"/>
      <c r="UAB2" s="1825"/>
      <c r="UAC2" s="1825"/>
      <c r="UAD2" s="1825"/>
      <c r="UAE2" s="1825"/>
      <c r="UAF2" s="1825"/>
      <c r="UAG2" s="1825"/>
      <c r="UAH2" s="1825"/>
      <c r="UAI2" s="1825"/>
      <c r="UAJ2" s="1825"/>
      <c r="UAK2" s="1825"/>
      <c r="UAL2" s="1825"/>
      <c r="UAM2" s="1825"/>
      <c r="UAN2" s="1825"/>
      <c r="UAO2" s="1825"/>
      <c r="UAP2" s="1825"/>
      <c r="UAQ2" s="1825"/>
      <c r="UAR2" s="1825"/>
      <c r="UAS2" s="1825"/>
      <c r="UAT2" s="1825"/>
      <c r="UAU2" s="1825"/>
      <c r="UAV2" s="1825"/>
      <c r="UAW2" s="1825"/>
      <c r="UAX2" s="1825"/>
      <c r="UAY2" s="1825"/>
      <c r="UAZ2" s="1825"/>
      <c r="UBA2" s="1825"/>
      <c r="UBB2" s="1825"/>
      <c r="UBC2" s="1825"/>
      <c r="UBD2" s="1825"/>
      <c r="UBE2" s="1825"/>
      <c r="UBF2" s="1825"/>
      <c r="UBG2" s="1825"/>
      <c r="UBH2" s="1825"/>
      <c r="UBI2" s="1825"/>
      <c r="UBJ2" s="1825"/>
      <c r="UBK2" s="1825"/>
      <c r="UBL2" s="1825"/>
      <c r="UBM2" s="1825"/>
      <c r="UBN2" s="1825"/>
      <c r="UBO2" s="1825"/>
      <c r="UBP2" s="1825"/>
      <c r="UBQ2" s="1825"/>
      <c r="UBR2" s="1825"/>
      <c r="UBS2" s="1825"/>
      <c r="UBT2" s="1825"/>
      <c r="UBU2" s="1825"/>
      <c r="UBV2" s="1825"/>
      <c r="UBW2" s="1825"/>
      <c r="UBX2" s="1825"/>
      <c r="UBY2" s="1825"/>
      <c r="UBZ2" s="1825"/>
      <c r="UCA2" s="1825"/>
      <c r="UCB2" s="1825"/>
      <c r="UCC2" s="1825"/>
      <c r="UCD2" s="1825"/>
      <c r="UCE2" s="1825"/>
      <c r="UCF2" s="1825"/>
      <c r="UCG2" s="1825"/>
      <c r="UCH2" s="1825"/>
      <c r="UCI2" s="1825"/>
      <c r="UCJ2" s="1825"/>
      <c r="UCK2" s="1825"/>
      <c r="UCL2" s="1825"/>
      <c r="UCM2" s="1825"/>
      <c r="UCN2" s="1825"/>
      <c r="UCO2" s="1825"/>
      <c r="UCP2" s="1825"/>
      <c r="UCQ2" s="1825"/>
      <c r="UCR2" s="1825"/>
      <c r="UCS2" s="1825"/>
      <c r="UCT2" s="1825"/>
      <c r="UCU2" s="1825"/>
      <c r="UCV2" s="1825"/>
      <c r="UCW2" s="1825"/>
      <c r="UCX2" s="1825"/>
      <c r="UCY2" s="1825"/>
      <c r="UCZ2" s="1825"/>
      <c r="UDA2" s="1825"/>
      <c r="UDB2" s="1825"/>
      <c r="UDC2" s="1825"/>
      <c r="UDD2" s="1825"/>
      <c r="UDE2" s="1825"/>
      <c r="UDF2" s="1825"/>
      <c r="UDG2" s="1825"/>
      <c r="UDH2" s="1825"/>
      <c r="UDI2" s="1825"/>
      <c r="UDJ2" s="1825"/>
      <c r="UDK2" s="1825"/>
      <c r="UDL2" s="1825"/>
      <c r="UDM2" s="1825"/>
      <c r="UDN2" s="1825"/>
      <c r="UDO2" s="1825"/>
      <c r="UDP2" s="1825"/>
      <c r="UDQ2" s="1825"/>
      <c r="UDR2" s="1825"/>
      <c r="UDS2" s="1825"/>
      <c r="UDT2" s="1825"/>
      <c r="UDU2" s="1825"/>
      <c r="UDV2" s="1825"/>
      <c r="UDW2" s="1825"/>
      <c r="UDX2" s="1825"/>
      <c r="UDY2" s="1825"/>
      <c r="UDZ2" s="1825"/>
      <c r="UEA2" s="1825"/>
      <c r="UEB2" s="1825"/>
      <c r="UEC2" s="1825"/>
      <c r="UED2" s="1825"/>
      <c r="UEE2" s="1825"/>
      <c r="UEF2" s="1825"/>
      <c r="UEG2" s="1825"/>
      <c r="UEH2" s="1825"/>
      <c r="UEI2" s="1825"/>
      <c r="UEJ2" s="1825"/>
      <c r="UEK2" s="1825"/>
      <c r="UEL2" s="1825"/>
      <c r="UEM2" s="1825"/>
      <c r="UEN2" s="1825"/>
      <c r="UEO2" s="1825"/>
      <c r="UEP2" s="1825"/>
      <c r="UEQ2" s="1825"/>
      <c r="UER2" s="1825"/>
      <c r="UES2" s="1825"/>
      <c r="UET2" s="1825"/>
      <c r="UEU2" s="1825"/>
      <c r="UEV2" s="1825"/>
      <c r="UEW2" s="1825"/>
      <c r="UEX2" s="1825"/>
      <c r="UEY2" s="1825"/>
      <c r="UEZ2" s="1825"/>
      <c r="UFA2" s="1825"/>
      <c r="UFB2" s="1825"/>
      <c r="UFC2" s="1825"/>
      <c r="UFD2" s="1825"/>
      <c r="UFE2" s="1825"/>
      <c r="UFF2" s="1825"/>
      <c r="UFG2" s="1825"/>
      <c r="UFH2" s="1825"/>
      <c r="UFI2" s="1825"/>
      <c r="UFJ2" s="1825"/>
      <c r="UFK2" s="1825"/>
      <c r="UFL2" s="1825"/>
      <c r="UFM2" s="1825"/>
      <c r="UFN2" s="1825"/>
      <c r="UFO2" s="1825"/>
      <c r="UFP2" s="1825"/>
      <c r="UFQ2" s="1825"/>
      <c r="UFR2" s="1825"/>
      <c r="UFS2" s="1825"/>
      <c r="UFT2" s="1825"/>
      <c r="UFU2" s="1825"/>
      <c r="UFV2" s="1825"/>
      <c r="UFW2" s="1825"/>
      <c r="UFX2" s="1825"/>
      <c r="UFY2" s="1825"/>
      <c r="UFZ2" s="1825"/>
      <c r="UGA2" s="1825"/>
      <c r="UGB2" s="1825"/>
      <c r="UGC2" s="1825"/>
      <c r="UGD2" s="1825"/>
      <c r="UGE2" s="1825"/>
      <c r="UGF2" s="1825"/>
      <c r="UGG2" s="1825"/>
      <c r="UGH2" s="1825"/>
      <c r="UGI2" s="1825"/>
      <c r="UGJ2" s="1825"/>
      <c r="UGK2" s="1825"/>
      <c r="UGL2" s="1825"/>
      <c r="UGM2" s="1825"/>
      <c r="UGN2" s="1825"/>
      <c r="UGO2" s="1825"/>
      <c r="UGP2" s="1825"/>
      <c r="UGQ2" s="1825"/>
      <c r="UGR2" s="1825"/>
      <c r="UGS2" s="1825"/>
      <c r="UGT2" s="1825"/>
      <c r="UGU2" s="1825"/>
      <c r="UGV2" s="1825"/>
      <c r="UGW2" s="1825"/>
      <c r="UGX2" s="1825"/>
      <c r="UGY2" s="1825"/>
      <c r="UGZ2" s="1825"/>
      <c r="UHA2" s="1825"/>
      <c r="UHB2" s="1825"/>
      <c r="UHC2" s="1825"/>
      <c r="UHD2" s="1825"/>
      <c r="UHE2" s="1825"/>
      <c r="UHF2" s="1825"/>
      <c r="UHG2" s="1825"/>
      <c r="UHH2" s="1825"/>
      <c r="UHI2" s="1825"/>
      <c r="UHJ2" s="1825"/>
      <c r="UHK2" s="1825"/>
      <c r="UHL2" s="1825"/>
      <c r="UHM2" s="1825"/>
      <c r="UHN2" s="1825"/>
      <c r="UHO2" s="1825"/>
      <c r="UHP2" s="1825"/>
      <c r="UHQ2" s="1825"/>
      <c r="UHR2" s="1825"/>
      <c r="UHS2" s="1825"/>
      <c r="UHT2" s="1825"/>
      <c r="UHU2" s="1825"/>
      <c r="UHV2" s="1825"/>
      <c r="UHW2" s="1825"/>
      <c r="UHX2" s="1825"/>
      <c r="UHY2" s="1825"/>
      <c r="UHZ2" s="1825"/>
      <c r="UIA2" s="1825"/>
      <c r="UIB2" s="1825"/>
      <c r="UIC2" s="1825"/>
      <c r="UID2" s="1825"/>
      <c r="UIE2" s="1825"/>
      <c r="UIF2" s="1825"/>
      <c r="UIG2" s="1825"/>
      <c r="UIH2" s="1825"/>
      <c r="UII2" s="1825"/>
      <c r="UIJ2" s="1825"/>
      <c r="UIK2" s="1825"/>
      <c r="UIL2" s="1825"/>
      <c r="UIM2" s="1825"/>
      <c r="UIN2" s="1825"/>
      <c r="UIO2" s="1825"/>
      <c r="UIP2" s="1825"/>
      <c r="UIQ2" s="1825"/>
      <c r="UIR2" s="1825"/>
      <c r="UIS2" s="1825"/>
      <c r="UIT2" s="1825"/>
      <c r="UIU2" s="1825"/>
      <c r="UIV2" s="1825"/>
      <c r="UIW2" s="1825"/>
      <c r="UIX2" s="1825"/>
      <c r="UIY2" s="1825"/>
      <c r="UIZ2" s="1825"/>
      <c r="UJA2" s="1825"/>
      <c r="UJB2" s="1825"/>
      <c r="UJC2" s="1825"/>
      <c r="UJD2" s="1825"/>
      <c r="UJE2" s="1825"/>
      <c r="UJF2" s="1825"/>
      <c r="UJG2" s="1825"/>
      <c r="UJH2" s="1825"/>
      <c r="UJI2" s="1825"/>
      <c r="UJJ2" s="1825"/>
      <c r="UJK2" s="1825"/>
      <c r="UJL2" s="1825"/>
      <c r="UJM2" s="1825"/>
      <c r="UJN2" s="1825"/>
      <c r="UJO2" s="1825"/>
      <c r="UJP2" s="1825"/>
      <c r="UJQ2" s="1825"/>
      <c r="UJR2" s="1825"/>
      <c r="UJS2" s="1825"/>
      <c r="UJT2" s="1825"/>
      <c r="UJU2" s="1825"/>
      <c r="UJV2" s="1825"/>
      <c r="UJW2" s="1825"/>
      <c r="UJX2" s="1825"/>
      <c r="UJY2" s="1825"/>
      <c r="UJZ2" s="1825"/>
      <c r="UKA2" s="1825"/>
      <c r="UKB2" s="1825"/>
      <c r="UKC2" s="1825"/>
      <c r="UKD2" s="1825"/>
      <c r="UKE2" s="1825"/>
      <c r="UKF2" s="1825"/>
      <c r="UKG2" s="1825"/>
      <c r="UKH2" s="1825"/>
      <c r="UKI2" s="1825"/>
      <c r="UKJ2" s="1825"/>
      <c r="UKK2" s="1825"/>
      <c r="UKL2" s="1825"/>
      <c r="UKM2" s="1825"/>
      <c r="UKN2" s="1825"/>
      <c r="UKO2" s="1825"/>
      <c r="UKP2" s="1825"/>
      <c r="UKQ2" s="1825"/>
      <c r="UKR2" s="1825"/>
      <c r="UKS2" s="1825"/>
      <c r="UKT2" s="1825"/>
      <c r="UKU2" s="1825"/>
      <c r="UKV2" s="1825"/>
      <c r="UKW2" s="1825"/>
      <c r="UKX2" s="1825"/>
      <c r="UKY2" s="1825"/>
      <c r="UKZ2" s="1825"/>
      <c r="ULA2" s="1825"/>
      <c r="ULB2" s="1825"/>
      <c r="ULC2" s="1825"/>
      <c r="ULD2" s="1825"/>
      <c r="ULE2" s="1825"/>
      <c r="ULF2" s="1825"/>
      <c r="ULG2" s="1825"/>
      <c r="ULH2" s="1825"/>
      <c r="ULI2" s="1825"/>
      <c r="ULJ2" s="1825"/>
      <c r="ULK2" s="1825"/>
      <c r="ULL2" s="1825"/>
      <c r="ULM2" s="1825"/>
      <c r="ULN2" s="1825"/>
      <c r="ULO2" s="1825"/>
      <c r="ULP2" s="1825"/>
      <c r="ULQ2" s="1825"/>
      <c r="ULR2" s="1825"/>
      <c r="ULS2" s="1825"/>
      <c r="ULT2" s="1825"/>
      <c r="ULU2" s="1825"/>
      <c r="ULV2" s="1825"/>
      <c r="ULW2" s="1825"/>
      <c r="ULX2" s="1825"/>
      <c r="ULY2" s="1825"/>
      <c r="ULZ2" s="1825"/>
      <c r="UMA2" s="1825"/>
      <c r="UMB2" s="1825"/>
      <c r="UMC2" s="1825"/>
      <c r="UMD2" s="1825"/>
      <c r="UME2" s="1825"/>
      <c r="UMF2" s="1825"/>
      <c r="UMG2" s="1825"/>
      <c r="UMH2" s="1825"/>
      <c r="UMI2" s="1825"/>
      <c r="UMJ2" s="1825"/>
      <c r="UMK2" s="1825"/>
      <c r="UML2" s="1825"/>
      <c r="UMM2" s="1825"/>
      <c r="UMN2" s="1825"/>
      <c r="UMO2" s="1825"/>
      <c r="UMP2" s="1825"/>
      <c r="UMQ2" s="1825"/>
      <c r="UMR2" s="1825"/>
      <c r="UMS2" s="1825"/>
      <c r="UMT2" s="1825"/>
      <c r="UMU2" s="1825"/>
      <c r="UMV2" s="1825"/>
      <c r="UMW2" s="1825"/>
      <c r="UMX2" s="1825"/>
      <c r="UMY2" s="1825"/>
      <c r="UMZ2" s="1825"/>
      <c r="UNA2" s="1825"/>
      <c r="UNB2" s="1825"/>
      <c r="UNC2" s="1825"/>
      <c r="UND2" s="1825"/>
      <c r="UNE2" s="1825"/>
      <c r="UNF2" s="1825"/>
      <c r="UNG2" s="1825"/>
      <c r="UNH2" s="1825"/>
      <c r="UNI2" s="1825"/>
      <c r="UNJ2" s="1825"/>
      <c r="UNK2" s="1825"/>
      <c r="UNL2" s="1825"/>
      <c r="UNM2" s="1825"/>
      <c r="UNN2" s="1825"/>
      <c r="UNO2" s="1825"/>
      <c r="UNP2" s="1825"/>
      <c r="UNQ2" s="1825"/>
      <c r="UNR2" s="1825"/>
      <c r="UNS2" s="1825"/>
      <c r="UNT2" s="1825"/>
      <c r="UNU2" s="1825"/>
      <c r="UNV2" s="1825"/>
      <c r="UNW2" s="1825"/>
      <c r="UNX2" s="1825"/>
      <c r="UNY2" s="1825"/>
      <c r="UNZ2" s="1825"/>
      <c r="UOA2" s="1825"/>
      <c r="UOB2" s="1825"/>
      <c r="UOC2" s="1825"/>
      <c r="UOD2" s="1825"/>
      <c r="UOE2" s="1825"/>
      <c r="UOF2" s="1825"/>
      <c r="UOG2" s="1825"/>
      <c r="UOH2" s="1825"/>
      <c r="UOI2" s="1825"/>
      <c r="UOJ2" s="1825"/>
      <c r="UOK2" s="1825"/>
      <c r="UOL2" s="1825"/>
      <c r="UOM2" s="1825"/>
      <c r="UON2" s="1825"/>
      <c r="UOO2" s="1825"/>
      <c r="UOP2" s="1825"/>
      <c r="UOQ2" s="1825"/>
      <c r="UOR2" s="1825"/>
      <c r="UOS2" s="1825"/>
      <c r="UOT2" s="1825"/>
      <c r="UOU2" s="1825"/>
      <c r="UOV2" s="1825"/>
      <c r="UOW2" s="1825"/>
      <c r="UOX2" s="1825"/>
      <c r="UOY2" s="1825"/>
      <c r="UOZ2" s="1825"/>
      <c r="UPA2" s="1825"/>
      <c r="UPB2" s="1825"/>
      <c r="UPC2" s="1825"/>
      <c r="UPD2" s="1825"/>
      <c r="UPE2" s="1825"/>
      <c r="UPF2" s="1825"/>
      <c r="UPG2" s="1825"/>
      <c r="UPH2" s="1825"/>
      <c r="UPI2" s="1825"/>
      <c r="UPJ2" s="1825"/>
      <c r="UPK2" s="1825"/>
      <c r="UPL2" s="1825"/>
      <c r="UPM2" s="1825"/>
      <c r="UPN2" s="1825"/>
      <c r="UPO2" s="1825"/>
      <c r="UPP2" s="1825"/>
      <c r="UPQ2" s="1825"/>
      <c r="UPR2" s="1825"/>
      <c r="UPS2" s="1825"/>
      <c r="UPT2" s="1825"/>
      <c r="UPU2" s="1825"/>
      <c r="UPV2" s="1825"/>
      <c r="UPW2" s="1825"/>
      <c r="UPX2" s="1825"/>
      <c r="UPY2" s="1825"/>
      <c r="UPZ2" s="1825"/>
      <c r="UQA2" s="1825"/>
      <c r="UQB2" s="1825"/>
      <c r="UQC2" s="1825"/>
      <c r="UQD2" s="1825"/>
      <c r="UQE2" s="1825"/>
      <c r="UQF2" s="1825"/>
      <c r="UQG2" s="1825"/>
      <c r="UQH2" s="1825"/>
      <c r="UQI2" s="1825"/>
      <c r="UQJ2" s="1825"/>
      <c r="UQK2" s="1825"/>
      <c r="UQL2" s="1825"/>
      <c r="UQM2" s="1825"/>
      <c r="UQN2" s="1825"/>
      <c r="UQO2" s="1825"/>
      <c r="UQP2" s="1825"/>
      <c r="UQQ2" s="1825"/>
      <c r="UQR2" s="1825"/>
      <c r="UQS2" s="1825"/>
      <c r="UQT2" s="1825"/>
      <c r="UQU2" s="1825"/>
      <c r="UQV2" s="1825"/>
      <c r="UQW2" s="1825"/>
      <c r="UQX2" s="1825"/>
      <c r="UQY2" s="1825"/>
      <c r="UQZ2" s="1825"/>
      <c r="URA2" s="1825"/>
      <c r="URB2" s="1825"/>
      <c r="URC2" s="1825"/>
      <c r="URD2" s="1825"/>
      <c r="URE2" s="1825"/>
      <c r="URF2" s="1825"/>
      <c r="URG2" s="1825"/>
      <c r="URH2" s="1825"/>
      <c r="URI2" s="1825"/>
      <c r="URJ2" s="1825"/>
      <c r="URK2" s="1825"/>
      <c r="URL2" s="1825"/>
      <c r="URM2" s="1825"/>
      <c r="URN2" s="1825"/>
      <c r="URO2" s="1825"/>
      <c r="URP2" s="1825"/>
      <c r="URQ2" s="1825"/>
      <c r="URR2" s="1825"/>
      <c r="URS2" s="1825"/>
      <c r="URT2" s="1825"/>
      <c r="URU2" s="1825"/>
      <c r="URV2" s="1825"/>
      <c r="URW2" s="1825"/>
      <c r="URX2" s="1825"/>
      <c r="URY2" s="1825"/>
      <c r="URZ2" s="1825"/>
      <c r="USA2" s="1825"/>
      <c r="USB2" s="1825"/>
      <c r="USC2" s="1825"/>
      <c r="USD2" s="1825"/>
      <c r="USE2" s="1825"/>
      <c r="USF2" s="1825"/>
      <c r="USG2" s="1825"/>
      <c r="USH2" s="1825"/>
      <c r="USI2" s="1825"/>
      <c r="USJ2" s="1825"/>
      <c r="USK2" s="1825"/>
      <c r="USL2" s="1825"/>
      <c r="USM2" s="1825"/>
      <c r="USN2" s="1825"/>
      <c r="USO2" s="1825"/>
      <c r="USP2" s="1825"/>
      <c r="USQ2" s="1825"/>
      <c r="USR2" s="1825"/>
      <c r="USS2" s="1825"/>
      <c r="UST2" s="1825"/>
      <c r="USU2" s="1825"/>
      <c r="USV2" s="1825"/>
      <c r="USW2" s="1825"/>
      <c r="USX2" s="1825"/>
      <c r="USY2" s="1825"/>
      <c r="USZ2" s="1825"/>
      <c r="UTA2" s="1825"/>
      <c r="UTB2" s="1825"/>
      <c r="UTC2" s="1825"/>
      <c r="UTD2" s="1825"/>
      <c r="UTE2" s="1825"/>
      <c r="UTF2" s="1825"/>
      <c r="UTG2" s="1825"/>
      <c r="UTH2" s="1825"/>
      <c r="UTI2" s="1825"/>
      <c r="UTJ2" s="1825"/>
      <c r="UTK2" s="1825"/>
      <c r="UTL2" s="1825"/>
      <c r="UTM2" s="1825"/>
      <c r="UTN2" s="1825"/>
      <c r="UTO2" s="1825"/>
      <c r="UTP2" s="1825"/>
      <c r="UTQ2" s="1825"/>
      <c r="UTR2" s="1825"/>
      <c r="UTS2" s="1825"/>
      <c r="UTT2" s="1825"/>
      <c r="UTU2" s="1825"/>
      <c r="UTV2" s="1825"/>
      <c r="UTW2" s="1825"/>
      <c r="UTX2" s="1825"/>
      <c r="UTY2" s="1825"/>
      <c r="UTZ2" s="1825"/>
      <c r="UUA2" s="1825"/>
      <c r="UUB2" s="1825"/>
      <c r="UUC2" s="1825"/>
      <c r="UUD2" s="1825"/>
      <c r="UUE2" s="1825"/>
      <c r="UUF2" s="1825"/>
      <c r="UUG2" s="1825"/>
      <c r="UUH2" s="1825"/>
      <c r="UUI2" s="1825"/>
      <c r="UUJ2" s="1825"/>
      <c r="UUK2" s="1825"/>
      <c r="UUL2" s="1825"/>
      <c r="UUM2" s="1825"/>
      <c r="UUN2" s="1825"/>
      <c r="UUO2" s="1825"/>
      <c r="UUP2" s="1825"/>
      <c r="UUQ2" s="1825"/>
      <c r="UUR2" s="1825"/>
      <c r="UUS2" s="1825"/>
      <c r="UUT2" s="1825"/>
      <c r="UUU2" s="1825"/>
      <c r="UUV2" s="1825"/>
      <c r="UUW2" s="1825"/>
      <c r="UUX2" s="1825"/>
      <c r="UUY2" s="1825"/>
      <c r="UUZ2" s="1825"/>
      <c r="UVA2" s="1825"/>
      <c r="UVB2" s="1825"/>
      <c r="UVC2" s="1825"/>
      <c r="UVD2" s="1825"/>
      <c r="UVE2" s="1825"/>
      <c r="UVF2" s="1825"/>
      <c r="UVG2" s="1825"/>
      <c r="UVH2" s="1825"/>
      <c r="UVI2" s="1825"/>
      <c r="UVJ2" s="1825"/>
      <c r="UVK2" s="1825"/>
      <c r="UVL2" s="1825"/>
      <c r="UVM2" s="1825"/>
      <c r="UVN2" s="1825"/>
      <c r="UVO2" s="1825"/>
      <c r="UVP2" s="1825"/>
      <c r="UVQ2" s="1825"/>
      <c r="UVR2" s="1825"/>
      <c r="UVS2" s="1825"/>
      <c r="UVT2" s="1825"/>
      <c r="UVU2" s="1825"/>
      <c r="UVV2" s="1825"/>
      <c r="UVW2" s="1825"/>
      <c r="UVX2" s="1825"/>
      <c r="UVY2" s="1825"/>
      <c r="UVZ2" s="1825"/>
      <c r="UWA2" s="1825"/>
      <c r="UWB2" s="1825"/>
      <c r="UWC2" s="1825"/>
      <c r="UWD2" s="1825"/>
      <c r="UWE2" s="1825"/>
      <c r="UWF2" s="1825"/>
      <c r="UWG2" s="1825"/>
      <c r="UWH2" s="1825"/>
      <c r="UWI2" s="1825"/>
      <c r="UWJ2" s="1825"/>
      <c r="UWK2" s="1825"/>
      <c r="UWL2" s="1825"/>
      <c r="UWM2" s="1825"/>
      <c r="UWN2" s="1825"/>
      <c r="UWO2" s="1825"/>
      <c r="UWP2" s="1825"/>
      <c r="UWQ2" s="1825"/>
      <c r="UWR2" s="1825"/>
      <c r="UWS2" s="1825"/>
      <c r="UWT2" s="1825"/>
      <c r="UWU2" s="1825"/>
      <c r="UWV2" s="1825"/>
      <c r="UWW2" s="1825"/>
      <c r="UWX2" s="1825"/>
      <c r="UWY2" s="1825"/>
      <c r="UWZ2" s="1825"/>
      <c r="UXA2" s="1825"/>
      <c r="UXB2" s="1825"/>
      <c r="UXC2" s="1825"/>
      <c r="UXD2" s="1825"/>
      <c r="UXE2" s="1825"/>
      <c r="UXF2" s="1825"/>
      <c r="UXG2" s="1825"/>
      <c r="UXH2" s="1825"/>
      <c r="UXI2" s="1825"/>
      <c r="UXJ2" s="1825"/>
      <c r="UXK2" s="1825"/>
      <c r="UXL2" s="1825"/>
      <c r="UXM2" s="1825"/>
      <c r="UXN2" s="1825"/>
      <c r="UXO2" s="1825"/>
      <c r="UXP2" s="1825"/>
      <c r="UXQ2" s="1825"/>
      <c r="UXR2" s="1825"/>
      <c r="UXS2" s="1825"/>
      <c r="UXT2" s="1825"/>
      <c r="UXU2" s="1825"/>
      <c r="UXV2" s="1825"/>
      <c r="UXW2" s="1825"/>
      <c r="UXX2" s="1825"/>
      <c r="UXY2" s="1825"/>
      <c r="UXZ2" s="1825"/>
      <c r="UYA2" s="1825"/>
      <c r="UYB2" s="1825"/>
      <c r="UYC2" s="1825"/>
      <c r="UYD2" s="1825"/>
      <c r="UYE2" s="1825"/>
      <c r="UYF2" s="1825"/>
      <c r="UYG2" s="1825"/>
      <c r="UYH2" s="1825"/>
      <c r="UYI2" s="1825"/>
      <c r="UYJ2" s="1825"/>
      <c r="UYK2" s="1825"/>
      <c r="UYL2" s="1825"/>
      <c r="UYM2" s="1825"/>
      <c r="UYN2" s="1825"/>
      <c r="UYO2" s="1825"/>
      <c r="UYP2" s="1825"/>
      <c r="UYQ2" s="1825"/>
      <c r="UYR2" s="1825"/>
      <c r="UYS2" s="1825"/>
      <c r="UYT2" s="1825"/>
      <c r="UYU2" s="1825"/>
      <c r="UYV2" s="1825"/>
      <c r="UYW2" s="1825"/>
      <c r="UYX2" s="1825"/>
      <c r="UYY2" s="1825"/>
      <c r="UYZ2" s="1825"/>
      <c r="UZA2" s="1825"/>
      <c r="UZB2" s="1825"/>
      <c r="UZC2" s="1825"/>
      <c r="UZD2" s="1825"/>
      <c r="UZE2" s="1825"/>
      <c r="UZF2" s="1825"/>
      <c r="UZG2" s="1825"/>
      <c r="UZH2" s="1825"/>
      <c r="UZI2" s="1825"/>
      <c r="UZJ2" s="1825"/>
      <c r="UZK2" s="1825"/>
      <c r="UZL2" s="1825"/>
      <c r="UZM2" s="1825"/>
      <c r="UZN2" s="1825"/>
      <c r="UZO2" s="1825"/>
      <c r="UZP2" s="1825"/>
      <c r="UZQ2" s="1825"/>
      <c r="UZR2" s="1825"/>
      <c r="UZS2" s="1825"/>
      <c r="UZT2" s="1825"/>
      <c r="UZU2" s="1825"/>
      <c r="UZV2" s="1825"/>
      <c r="UZW2" s="1825"/>
      <c r="UZX2" s="1825"/>
      <c r="UZY2" s="1825"/>
      <c r="UZZ2" s="1825"/>
      <c r="VAA2" s="1825"/>
      <c r="VAB2" s="1825"/>
      <c r="VAC2" s="1825"/>
      <c r="VAD2" s="1825"/>
      <c r="VAE2" s="1825"/>
      <c r="VAF2" s="1825"/>
      <c r="VAG2" s="1825"/>
      <c r="VAH2" s="1825"/>
      <c r="VAI2" s="1825"/>
      <c r="VAJ2" s="1825"/>
      <c r="VAK2" s="1825"/>
      <c r="VAL2" s="1825"/>
      <c r="VAM2" s="1825"/>
      <c r="VAN2" s="1825"/>
      <c r="VAO2" s="1825"/>
      <c r="VAP2" s="1825"/>
      <c r="VAQ2" s="1825"/>
      <c r="VAR2" s="1825"/>
      <c r="VAS2" s="1825"/>
      <c r="VAT2" s="1825"/>
      <c r="VAU2" s="1825"/>
      <c r="VAV2" s="1825"/>
      <c r="VAW2" s="1825"/>
      <c r="VAX2" s="1825"/>
      <c r="VAY2" s="1825"/>
      <c r="VAZ2" s="1825"/>
      <c r="VBA2" s="1825"/>
      <c r="VBB2" s="1825"/>
      <c r="VBC2" s="1825"/>
      <c r="VBD2" s="1825"/>
      <c r="VBE2" s="1825"/>
      <c r="VBF2" s="1825"/>
      <c r="VBG2" s="1825"/>
      <c r="VBH2" s="1825"/>
      <c r="VBI2" s="1825"/>
      <c r="VBJ2" s="1825"/>
      <c r="VBK2" s="1825"/>
      <c r="VBL2" s="1825"/>
      <c r="VBM2" s="1825"/>
      <c r="VBN2" s="1825"/>
      <c r="VBO2" s="1825"/>
      <c r="VBP2" s="1825"/>
      <c r="VBQ2" s="1825"/>
      <c r="VBR2" s="1825"/>
      <c r="VBS2" s="1825"/>
      <c r="VBT2" s="1825"/>
      <c r="VBU2" s="1825"/>
      <c r="VBV2" s="1825"/>
      <c r="VBW2" s="1825"/>
      <c r="VBX2" s="1825"/>
      <c r="VBY2" s="1825"/>
      <c r="VBZ2" s="1825"/>
      <c r="VCA2" s="1825"/>
      <c r="VCB2" s="1825"/>
      <c r="VCC2" s="1825"/>
      <c r="VCD2" s="1825"/>
      <c r="VCE2" s="1825"/>
      <c r="VCF2" s="1825"/>
      <c r="VCG2" s="1825"/>
      <c r="VCH2" s="1825"/>
      <c r="VCI2" s="1825"/>
      <c r="VCJ2" s="1825"/>
      <c r="VCK2" s="1825"/>
      <c r="VCL2" s="1825"/>
      <c r="VCM2" s="1825"/>
      <c r="VCN2" s="1825"/>
      <c r="VCO2" s="1825"/>
      <c r="VCP2" s="1825"/>
      <c r="VCQ2" s="1825"/>
      <c r="VCR2" s="1825"/>
      <c r="VCS2" s="1825"/>
      <c r="VCT2" s="1825"/>
      <c r="VCU2" s="1825"/>
      <c r="VCV2" s="1825"/>
      <c r="VCW2" s="1825"/>
      <c r="VCX2" s="1825"/>
      <c r="VCY2" s="1825"/>
      <c r="VCZ2" s="1825"/>
      <c r="VDA2" s="1825"/>
      <c r="VDB2" s="1825"/>
      <c r="VDC2" s="1825"/>
      <c r="VDD2" s="1825"/>
      <c r="VDE2" s="1825"/>
      <c r="VDF2" s="1825"/>
      <c r="VDG2" s="1825"/>
      <c r="VDH2" s="1825"/>
      <c r="VDI2" s="1825"/>
      <c r="VDJ2" s="1825"/>
      <c r="VDK2" s="1825"/>
      <c r="VDL2" s="1825"/>
      <c r="VDM2" s="1825"/>
      <c r="VDN2" s="1825"/>
      <c r="VDO2" s="1825"/>
      <c r="VDP2" s="1825"/>
      <c r="VDQ2" s="1825"/>
      <c r="VDR2" s="1825"/>
      <c r="VDS2" s="1825"/>
      <c r="VDT2" s="1825"/>
      <c r="VDU2" s="1825"/>
      <c r="VDV2" s="1825"/>
      <c r="VDW2" s="1825"/>
      <c r="VDX2" s="1825"/>
      <c r="VDY2" s="1825"/>
      <c r="VDZ2" s="1825"/>
      <c r="VEA2" s="1825"/>
      <c r="VEB2" s="1825"/>
      <c r="VEC2" s="1825"/>
      <c r="VED2" s="1825"/>
      <c r="VEE2" s="1825"/>
      <c r="VEF2" s="1825"/>
      <c r="VEG2" s="1825"/>
      <c r="VEH2" s="1825"/>
      <c r="VEI2" s="1825"/>
      <c r="VEJ2" s="1825"/>
      <c r="VEK2" s="1825"/>
      <c r="VEL2" s="1825"/>
      <c r="VEM2" s="1825"/>
      <c r="VEN2" s="1825"/>
      <c r="VEO2" s="1825"/>
      <c r="VEP2" s="1825"/>
      <c r="VEQ2" s="1825"/>
      <c r="VER2" s="1825"/>
      <c r="VES2" s="1825"/>
      <c r="VET2" s="1825"/>
      <c r="VEU2" s="1825"/>
      <c r="VEV2" s="1825"/>
      <c r="VEW2" s="1825"/>
      <c r="VEX2" s="1825"/>
      <c r="VEY2" s="1825"/>
      <c r="VEZ2" s="1825"/>
      <c r="VFA2" s="1825"/>
      <c r="VFB2" s="1825"/>
      <c r="VFC2" s="1825"/>
      <c r="VFD2" s="1825"/>
      <c r="VFE2" s="1825"/>
      <c r="VFF2" s="1825"/>
      <c r="VFG2" s="1825"/>
      <c r="VFH2" s="1825"/>
      <c r="VFI2" s="1825"/>
      <c r="VFJ2" s="1825"/>
      <c r="VFK2" s="1825"/>
      <c r="VFL2" s="1825"/>
      <c r="VFM2" s="1825"/>
      <c r="VFN2" s="1825"/>
      <c r="VFO2" s="1825"/>
      <c r="VFP2" s="1825"/>
      <c r="VFQ2" s="1825"/>
      <c r="VFR2" s="1825"/>
      <c r="VFS2" s="1825"/>
      <c r="VFT2" s="1825"/>
      <c r="VFU2" s="1825"/>
      <c r="VFV2" s="1825"/>
      <c r="VFW2" s="1825"/>
      <c r="VFX2" s="1825"/>
      <c r="VFY2" s="1825"/>
      <c r="VFZ2" s="1825"/>
      <c r="VGA2" s="1825"/>
      <c r="VGB2" s="1825"/>
      <c r="VGC2" s="1825"/>
      <c r="VGD2" s="1825"/>
      <c r="VGE2" s="1825"/>
      <c r="VGF2" s="1825"/>
      <c r="VGG2" s="1825"/>
      <c r="VGH2" s="1825"/>
      <c r="VGI2" s="1825"/>
      <c r="VGJ2" s="1825"/>
      <c r="VGK2" s="1825"/>
      <c r="VGL2" s="1825"/>
      <c r="VGM2" s="1825"/>
      <c r="VGN2" s="1825"/>
      <c r="VGO2" s="1825"/>
      <c r="VGP2" s="1825"/>
      <c r="VGQ2" s="1825"/>
      <c r="VGR2" s="1825"/>
      <c r="VGS2" s="1825"/>
      <c r="VGT2" s="1825"/>
      <c r="VGU2" s="1825"/>
      <c r="VGV2" s="1825"/>
      <c r="VGW2" s="1825"/>
      <c r="VGX2" s="1825"/>
      <c r="VGY2" s="1825"/>
      <c r="VGZ2" s="1825"/>
      <c r="VHA2" s="1825"/>
      <c r="VHB2" s="1825"/>
      <c r="VHC2" s="1825"/>
      <c r="VHD2" s="1825"/>
      <c r="VHE2" s="1825"/>
      <c r="VHF2" s="1825"/>
      <c r="VHG2" s="1825"/>
      <c r="VHH2" s="1825"/>
      <c r="VHI2" s="1825"/>
      <c r="VHJ2" s="1825"/>
      <c r="VHK2" s="1825"/>
      <c r="VHL2" s="1825"/>
      <c r="VHM2" s="1825"/>
      <c r="VHN2" s="1825"/>
      <c r="VHO2" s="1825"/>
      <c r="VHP2" s="1825"/>
      <c r="VHQ2" s="1825"/>
      <c r="VHR2" s="1825"/>
      <c r="VHS2" s="1825"/>
      <c r="VHT2" s="1825"/>
      <c r="VHU2" s="1825"/>
      <c r="VHV2" s="1825"/>
      <c r="VHW2" s="1825"/>
      <c r="VHX2" s="1825"/>
      <c r="VHY2" s="1825"/>
      <c r="VHZ2" s="1825"/>
      <c r="VIA2" s="1825"/>
      <c r="VIB2" s="1825"/>
      <c r="VIC2" s="1825"/>
      <c r="VID2" s="1825"/>
      <c r="VIE2" s="1825"/>
      <c r="VIF2" s="1825"/>
      <c r="VIG2" s="1825"/>
      <c r="VIH2" s="1825"/>
      <c r="VII2" s="1825"/>
      <c r="VIJ2" s="1825"/>
      <c r="VIK2" s="1825"/>
      <c r="VIL2" s="1825"/>
      <c r="VIM2" s="1825"/>
      <c r="VIN2" s="1825"/>
      <c r="VIO2" s="1825"/>
      <c r="VIP2" s="1825"/>
      <c r="VIQ2" s="1825"/>
      <c r="VIR2" s="1825"/>
      <c r="VIS2" s="1825"/>
      <c r="VIT2" s="1825"/>
      <c r="VIU2" s="1825"/>
      <c r="VIV2" s="1825"/>
      <c r="VIW2" s="1825"/>
      <c r="VIX2" s="1825"/>
      <c r="VIY2" s="1825"/>
      <c r="VIZ2" s="1825"/>
      <c r="VJA2" s="1825"/>
      <c r="VJB2" s="1825"/>
      <c r="VJC2" s="1825"/>
      <c r="VJD2" s="1825"/>
      <c r="VJE2" s="1825"/>
      <c r="VJF2" s="1825"/>
      <c r="VJG2" s="1825"/>
      <c r="VJH2" s="1825"/>
      <c r="VJI2" s="1825"/>
      <c r="VJJ2" s="1825"/>
      <c r="VJK2" s="1825"/>
      <c r="VJL2" s="1825"/>
      <c r="VJM2" s="1825"/>
      <c r="VJN2" s="1825"/>
      <c r="VJO2" s="1825"/>
      <c r="VJP2" s="1825"/>
      <c r="VJQ2" s="1825"/>
      <c r="VJR2" s="1825"/>
      <c r="VJS2" s="1825"/>
      <c r="VJT2" s="1825"/>
      <c r="VJU2" s="1825"/>
      <c r="VJV2" s="1825"/>
      <c r="VJW2" s="1825"/>
      <c r="VJX2" s="1825"/>
      <c r="VJY2" s="1825"/>
      <c r="VJZ2" s="1825"/>
      <c r="VKA2" s="1825"/>
      <c r="VKB2" s="1825"/>
      <c r="VKC2" s="1825"/>
      <c r="VKD2" s="1825"/>
      <c r="VKE2" s="1825"/>
      <c r="VKF2" s="1825"/>
      <c r="VKG2" s="1825"/>
      <c r="VKH2" s="1825"/>
      <c r="VKI2" s="1825"/>
      <c r="VKJ2" s="1825"/>
      <c r="VKK2" s="1825"/>
      <c r="VKL2" s="1825"/>
      <c r="VKM2" s="1825"/>
      <c r="VKN2" s="1825"/>
      <c r="VKO2" s="1825"/>
      <c r="VKP2" s="1825"/>
      <c r="VKQ2" s="1825"/>
      <c r="VKR2" s="1825"/>
      <c r="VKS2" s="1825"/>
      <c r="VKT2" s="1825"/>
      <c r="VKU2" s="1825"/>
      <c r="VKV2" s="1825"/>
      <c r="VKW2" s="1825"/>
      <c r="VKX2" s="1825"/>
      <c r="VKY2" s="1825"/>
      <c r="VKZ2" s="1825"/>
      <c r="VLA2" s="1825"/>
      <c r="VLB2" s="1825"/>
      <c r="VLC2" s="1825"/>
      <c r="VLD2" s="1825"/>
      <c r="VLE2" s="1825"/>
      <c r="VLF2" s="1825"/>
      <c r="VLG2" s="1825"/>
      <c r="VLH2" s="1825"/>
      <c r="VLI2" s="1825"/>
      <c r="VLJ2" s="1825"/>
      <c r="VLK2" s="1825"/>
      <c r="VLL2" s="1825"/>
      <c r="VLM2" s="1825"/>
      <c r="VLN2" s="1825"/>
      <c r="VLO2" s="1825"/>
      <c r="VLP2" s="1825"/>
      <c r="VLQ2" s="1825"/>
      <c r="VLR2" s="1825"/>
      <c r="VLS2" s="1825"/>
      <c r="VLT2" s="1825"/>
      <c r="VLU2" s="1825"/>
      <c r="VLV2" s="1825"/>
      <c r="VLW2" s="1825"/>
      <c r="VLX2" s="1825"/>
      <c r="VLY2" s="1825"/>
      <c r="VLZ2" s="1825"/>
      <c r="VMA2" s="1825"/>
      <c r="VMB2" s="1825"/>
      <c r="VMC2" s="1825"/>
      <c r="VMD2" s="1825"/>
      <c r="VME2" s="1825"/>
      <c r="VMF2" s="1825"/>
      <c r="VMG2" s="1825"/>
      <c r="VMH2" s="1825"/>
      <c r="VMI2" s="1825"/>
      <c r="VMJ2" s="1825"/>
      <c r="VMK2" s="1825"/>
      <c r="VML2" s="1825"/>
      <c r="VMM2" s="1825"/>
      <c r="VMN2" s="1825"/>
      <c r="VMO2" s="1825"/>
      <c r="VMP2" s="1825"/>
      <c r="VMQ2" s="1825"/>
      <c r="VMR2" s="1825"/>
      <c r="VMS2" s="1825"/>
      <c r="VMT2" s="1825"/>
      <c r="VMU2" s="1825"/>
      <c r="VMV2" s="1825"/>
      <c r="VMW2" s="1825"/>
      <c r="VMX2" s="1825"/>
      <c r="VMY2" s="1825"/>
      <c r="VMZ2" s="1825"/>
      <c r="VNA2" s="1825"/>
      <c r="VNB2" s="1825"/>
      <c r="VNC2" s="1825"/>
      <c r="VND2" s="1825"/>
      <c r="VNE2" s="1825"/>
      <c r="VNF2" s="1825"/>
      <c r="VNG2" s="1825"/>
      <c r="VNH2" s="1825"/>
      <c r="VNI2" s="1825"/>
      <c r="VNJ2" s="1825"/>
      <c r="VNK2" s="1825"/>
      <c r="VNL2" s="1825"/>
      <c r="VNM2" s="1825"/>
      <c r="VNN2" s="1825"/>
      <c r="VNO2" s="1825"/>
      <c r="VNP2" s="1825"/>
      <c r="VNQ2" s="1825"/>
      <c r="VNR2" s="1825"/>
      <c r="VNS2" s="1825"/>
      <c r="VNT2" s="1825"/>
      <c r="VNU2" s="1825"/>
      <c r="VNV2" s="1825"/>
      <c r="VNW2" s="1825"/>
      <c r="VNX2" s="1825"/>
      <c r="VNY2" s="1825"/>
      <c r="VNZ2" s="1825"/>
      <c r="VOA2" s="1825"/>
      <c r="VOB2" s="1825"/>
      <c r="VOC2" s="1825"/>
      <c r="VOD2" s="1825"/>
      <c r="VOE2" s="1825"/>
      <c r="VOF2" s="1825"/>
      <c r="VOG2" s="1825"/>
      <c r="VOH2" s="1825"/>
      <c r="VOI2" s="1825"/>
      <c r="VOJ2" s="1825"/>
      <c r="VOK2" s="1825"/>
      <c r="VOL2" s="1825"/>
      <c r="VOM2" s="1825"/>
      <c r="VON2" s="1825"/>
      <c r="VOO2" s="1825"/>
      <c r="VOP2" s="1825"/>
      <c r="VOQ2" s="1825"/>
      <c r="VOR2" s="1825"/>
      <c r="VOS2" s="1825"/>
      <c r="VOT2" s="1825"/>
      <c r="VOU2" s="1825"/>
      <c r="VOV2" s="1825"/>
      <c r="VOW2" s="1825"/>
      <c r="VOX2" s="1825"/>
      <c r="VOY2" s="1825"/>
      <c r="VOZ2" s="1825"/>
      <c r="VPA2" s="1825"/>
      <c r="VPB2" s="1825"/>
      <c r="VPC2" s="1825"/>
      <c r="VPD2" s="1825"/>
      <c r="VPE2" s="1825"/>
      <c r="VPF2" s="1825"/>
      <c r="VPG2" s="1825"/>
      <c r="VPH2" s="1825"/>
      <c r="VPI2" s="1825"/>
      <c r="VPJ2" s="1825"/>
      <c r="VPK2" s="1825"/>
      <c r="VPL2" s="1825"/>
      <c r="VPM2" s="1825"/>
      <c r="VPN2" s="1825"/>
      <c r="VPO2" s="1825"/>
      <c r="VPP2" s="1825"/>
      <c r="VPQ2" s="1825"/>
      <c r="VPR2" s="1825"/>
      <c r="VPS2" s="1825"/>
      <c r="VPT2" s="1825"/>
      <c r="VPU2" s="1825"/>
      <c r="VPV2" s="1825"/>
      <c r="VPW2" s="1825"/>
      <c r="VPX2" s="1825"/>
      <c r="VPY2" s="1825"/>
      <c r="VPZ2" s="1825"/>
      <c r="VQA2" s="1825"/>
      <c r="VQB2" s="1825"/>
      <c r="VQC2" s="1825"/>
      <c r="VQD2" s="1825"/>
      <c r="VQE2" s="1825"/>
      <c r="VQF2" s="1825"/>
      <c r="VQG2" s="1825"/>
      <c r="VQH2" s="1825"/>
      <c r="VQI2" s="1825"/>
      <c r="VQJ2" s="1825"/>
      <c r="VQK2" s="1825"/>
      <c r="VQL2" s="1825"/>
      <c r="VQM2" s="1825"/>
      <c r="VQN2" s="1825"/>
      <c r="VQO2" s="1825"/>
      <c r="VQP2" s="1825"/>
      <c r="VQQ2" s="1825"/>
      <c r="VQR2" s="1825"/>
      <c r="VQS2" s="1825"/>
      <c r="VQT2" s="1825"/>
      <c r="VQU2" s="1825"/>
      <c r="VQV2" s="1825"/>
      <c r="VQW2" s="1825"/>
      <c r="VQX2" s="1825"/>
      <c r="VQY2" s="1825"/>
      <c r="VQZ2" s="1825"/>
      <c r="VRA2" s="1825"/>
      <c r="VRB2" s="1825"/>
      <c r="VRC2" s="1825"/>
      <c r="VRD2" s="1825"/>
      <c r="VRE2" s="1825"/>
      <c r="VRF2" s="1825"/>
      <c r="VRG2" s="1825"/>
      <c r="VRH2" s="1825"/>
      <c r="VRI2" s="1825"/>
      <c r="VRJ2" s="1825"/>
      <c r="VRK2" s="1825"/>
      <c r="VRL2" s="1825"/>
      <c r="VRM2" s="1825"/>
      <c r="VRN2" s="1825"/>
      <c r="VRO2" s="1825"/>
      <c r="VRP2" s="1825"/>
      <c r="VRQ2" s="1825"/>
      <c r="VRR2" s="1825"/>
      <c r="VRS2" s="1825"/>
      <c r="VRT2" s="1825"/>
      <c r="VRU2" s="1825"/>
      <c r="VRV2" s="1825"/>
      <c r="VRW2" s="1825"/>
      <c r="VRX2" s="1825"/>
      <c r="VRY2" s="1825"/>
      <c r="VRZ2" s="1825"/>
      <c r="VSA2" s="1825"/>
      <c r="VSB2" s="1825"/>
      <c r="VSC2" s="1825"/>
      <c r="VSD2" s="1825"/>
      <c r="VSE2" s="1825"/>
      <c r="VSF2" s="1825"/>
      <c r="VSG2" s="1825"/>
      <c r="VSH2" s="1825"/>
      <c r="VSI2" s="1825"/>
      <c r="VSJ2" s="1825"/>
      <c r="VSK2" s="1825"/>
      <c r="VSL2" s="1825"/>
      <c r="VSM2" s="1825"/>
      <c r="VSN2" s="1825"/>
      <c r="VSO2" s="1825"/>
      <c r="VSP2" s="1825"/>
      <c r="VSQ2" s="1825"/>
      <c r="VSR2" s="1825"/>
      <c r="VSS2" s="1825"/>
      <c r="VST2" s="1825"/>
      <c r="VSU2" s="1825"/>
      <c r="VSV2" s="1825"/>
      <c r="VSW2" s="1825"/>
      <c r="VSX2" s="1825"/>
      <c r="VSY2" s="1825"/>
      <c r="VSZ2" s="1825"/>
      <c r="VTA2" s="1825"/>
      <c r="VTB2" s="1825"/>
      <c r="VTC2" s="1825"/>
      <c r="VTD2" s="1825"/>
      <c r="VTE2" s="1825"/>
      <c r="VTF2" s="1825"/>
      <c r="VTG2" s="1825"/>
      <c r="VTH2" s="1825"/>
      <c r="VTI2" s="1825"/>
      <c r="VTJ2" s="1825"/>
      <c r="VTK2" s="1825"/>
      <c r="VTL2" s="1825"/>
      <c r="VTM2" s="1825"/>
      <c r="VTN2" s="1825"/>
      <c r="VTO2" s="1825"/>
      <c r="VTP2" s="1825"/>
      <c r="VTQ2" s="1825"/>
      <c r="VTR2" s="1825"/>
      <c r="VTS2" s="1825"/>
      <c r="VTT2" s="1825"/>
      <c r="VTU2" s="1825"/>
      <c r="VTV2" s="1825"/>
      <c r="VTW2" s="1825"/>
      <c r="VTX2" s="1825"/>
      <c r="VTY2" s="1825"/>
      <c r="VTZ2" s="1825"/>
      <c r="VUA2" s="1825"/>
      <c r="VUB2" s="1825"/>
      <c r="VUC2" s="1825"/>
      <c r="VUD2" s="1825"/>
      <c r="VUE2" s="1825"/>
      <c r="VUF2" s="1825"/>
      <c r="VUG2" s="1825"/>
      <c r="VUH2" s="1825"/>
      <c r="VUI2" s="1825"/>
      <c r="VUJ2" s="1825"/>
      <c r="VUK2" s="1825"/>
      <c r="VUL2" s="1825"/>
      <c r="VUM2" s="1825"/>
      <c r="VUN2" s="1825"/>
      <c r="VUO2" s="1825"/>
      <c r="VUP2" s="1825"/>
      <c r="VUQ2" s="1825"/>
      <c r="VUR2" s="1825"/>
      <c r="VUS2" s="1825"/>
      <c r="VUT2" s="1825"/>
      <c r="VUU2" s="1825"/>
      <c r="VUV2" s="1825"/>
      <c r="VUW2" s="1825"/>
      <c r="VUX2" s="1825"/>
      <c r="VUY2" s="1825"/>
      <c r="VUZ2" s="1825"/>
      <c r="VVA2" s="1825"/>
      <c r="VVB2" s="1825"/>
      <c r="VVC2" s="1825"/>
      <c r="VVD2" s="1825"/>
      <c r="VVE2" s="1825"/>
      <c r="VVF2" s="1825"/>
      <c r="VVG2" s="1825"/>
      <c r="VVH2" s="1825"/>
      <c r="VVI2" s="1825"/>
      <c r="VVJ2" s="1825"/>
      <c r="VVK2" s="1825"/>
      <c r="VVL2" s="1825"/>
      <c r="VVM2" s="1825"/>
      <c r="VVN2" s="1825"/>
      <c r="VVO2" s="1825"/>
      <c r="VVP2" s="1825"/>
      <c r="VVQ2" s="1825"/>
      <c r="VVR2" s="1825"/>
      <c r="VVS2" s="1825"/>
      <c r="VVT2" s="1825"/>
      <c r="VVU2" s="1825"/>
      <c r="VVV2" s="1825"/>
      <c r="VVW2" s="1825"/>
      <c r="VVX2" s="1825"/>
      <c r="VVY2" s="1825"/>
      <c r="VVZ2" s="1825"/>
      <c r="VWA2" s="1825"/>
      <c r="VWB2" s="1825"/>
      <c r="VWC2" s="1825"/>
      <c r="VWD2" s="1825"/>
      <c r="VWE2" s="1825"/>
      <c r="VWF2" s="1825"/>
      <c r="VWG2" s="1825"/>
      <c r="VWH2" s="1825"/>
      <c r="VWI2" s="1825"/>
      <c r="VWJ2" s="1825"/>
      <c r="VWK2" s="1825"/>
      <c r="VWL2" s="1825"/>
      <c r="VWM2" s="1825"/>
      <c r="VWN2" s="1825"/>
      <c r="VWO2" s="1825"/>
      <c r="VWP2" s="1825"/>
      <c r="VWQ2" s="1825"/>
      <c r="VWR2" s="1825"/>
      <c r="VWS2" s="1825"/>
      <c r="VWT2" s="1825"/>
      <c r="VWU2" s="1825"/>
      <c r="VWV2" s="1825"/>
      <c r="VWW2" s="1825"/>
      <c r="VWX2" s="1825"/>
      <c r="VWY2" s="1825"/>
      <c r="VWZ2" s="1825"/>
      <c r="VXA2" s="1825"/>
      <c r="VXB2" s="1825"/>
      <c r="VXC2" s="1825"/>
      <c r="VXD2" s="1825"/>
      <c r="VXE2" s="1825"/>
      <c r="VXF2" s="1825"/>
      <c r="VXG2" s="1825"/>
      <c r="VXH2" s="1825"/>
      <c r="VXI2" s="1825"/>
      <c r="VXJ2" s="1825"/>
      <c r="VXK2" s="1825"/>
      <c r="VXL2" s="1825"/>
      <c r="VXM2" s="1825"/>
      <c r="VXN2" s="1825"/>
      <c r="VXO2" s="1825"/>
      <c r="VXP2" s="1825"/>
      <c r="VXQ2" s="1825"/>
      <c r="VXR2" s="1825"/>
      <c r="VXS2" s="1825"/>
      <c r="VXT2" s="1825"/>
      <c r="VXU2" s="1825"/>
      <c r="VXV2" s="1825"/>
      <c r="VXW2" s="1825"/>
      <c r="VXX2" s="1825"/>
      <c r="VXY2" s="1825"/>
      <c r="VXZ2" s="1825"/>
      <c r="VYA2" s="1825"/>
      <c r="VYB2" s="1825"/>
      <c r="VYC2" s="1825"/>
      <c r="VYD2" s="1825"/>
      <c r="VYE2" s="1825"/>
      <c r="VYF2" s="1825"/>
      <c r="VYG2" s="1825"/>
      <c r="VYH2" s="1825"/>
      <c r="VYI2" s="1825"/>
      <c r="VYJ2" s="1825"/>
      <c r="VYK2" s="1825"/>
      <c r="VYL2" s="1825"/>
      <c r="VYM2" s="1825"/>
      <c r="VYN2" s="1825"/>
      <c r="VYO2" s="1825"/>
      <c r="VYP2" s="1825"/>
      <c r="VYQ2" s="1825"/>
      <c r="VYR2" s="1825"/>
      <c r="VYS2" s="1825"/>
      <c r="VYT2" s="1825"/>
      <c r="VYU2" s="1825"/>
      <c r="VYV2" s="1825"/>
      <c r="VYW2" s="1825"/>
      <c r="VYX2" s="1825"/>
      <c r="VYY2" s="1825"/>
      <c r="VYZ2" s="1825"/>
      <c r="VZA2" s="1825"/>
      <c r="VZB2" s="1825"/>
      <c r="VZC2" s="1825"/>
      <c r="VZD2" s="1825"/>
      <c r="VZE2" s="1825"/>
      <c r="VZF2" s="1825"/>
      <c r="VZG2" s="1825"/>
      <c r="VZH2" s="1825"/>
      <c r="VZI2" s="1825"/>
      <c r="VZJ2" s="1825"/>
      <c r="VZK2" s="1825"/>
      <c r="VZL2" s="1825"/>
      <c r="VZM2" s="1825"/>
      <c r="VZN2" s="1825"/>
      <c r="VZO2" s="1825"/>
      <c r="VZP2" s="1825"/>
      <c r="VZQ2" s="1825"/>
      <c r="VZR2" s="1825"/>
      <c r="VZS2" s="1825"/>
      <c r="VZT2" s="1825"/>
      <c r="VZU2" s="1825"/>
      <c r="VZV2" s="1825"/>
      <c r="VZW2" s="1825"/>
      <c r="VZX2" s="1825"/>
      <c r="VZY2" s="1825"/>
      <c r="VZZ2" s="1825"/>
      <c r="WAA2" s="1825"/>
      <c r="WAB2" s="1825"/>
      <c r="WAC2" s="1825"/>
      <c r="WAD2" s="1825"/>
      <c r="WAE2" s="1825"/>
      <c r="WAF2" s="1825"/>
      <c r="WAG2" s="1825"/>
      <c r="WAH2" s="1825"/>
      <c r="WAI2" s="1825"/>
      <c r="WAJ2" s="1825"/>
      <c r="WAK2" s="1825"/>
      <c r="WAL2" s="1825"/>
      <c r="WAM2" s="1825"/>
      <c r="WAN2" s="1825"/>
      <c r="WAO2" s="1825"/>
      <c r="WAP2" s="1825"/>
      <c r="WAQ2" s="1825"/>
      <c r="WAR2" s="1825"/>
      <c r="WAS2" s="1825"/>
      <c r="WAT2" s="1825"/>
      <c r="WAU2" s="1825"/>
      <c r="WAV2" s="1825"/>
      <c r="WAW2" s="1825"/>
      <c r="WAX2" s="1825"/>
      <c r="WAY2" s="1825"/>
      <c r="WAZ2" s="1825"/>
      <c r="WBA2" s="1825"/>
      <c r="WBB2" s="1825"/>
      <c r="WBC2" s="1825"/>
      <c r="WBD2" s="1825"/>
      <c r="WBE2" s="1825"/>
      <c r="WBF2" s="1825"/>
      <c r="WBG2" s="1825"/>
      <c r="WBH2" s="1825"/>
      <c r="WBI2" s="1825"/>
      <c r="WBJ2" s="1825"/>
      <c r="WBK2" s="1825"/>
      <c r="WBL2" s="1825"/>
      <c r="WBM2" s="1825"/>
      <c r="WBN2" s="1825"/>
      <c r="WBO2" s="1825"/>
      <c r="WBP2" s="1825"/>
      <c r="WBQ2" s="1825"/>
      <c r="WBR2" s="1825"/>
      <c r="WBS2" s="1825"/>
      <c r="WBT2" s="1825"/>
      <c r="WBU2" s="1825"/>
      <c r="WBV2" s="1825"/>
      <c r="WBW2" s="1825"/>
      <c r="WBX2" s="1825"/>
      <c r="WBY2" s="1825"/>
      <c r="WBZ2" s="1825"/>
      <c r="WCA2" s="1825"/>
      <c r="WCB2" s="1825"/>
      <c r="WCC2" s="1825"/>
      <c r="WCD2" s="1825"/>
      <c r="WCE2" s="1825"/>
      <c r="WCF2" s="1825"/>
      <c r="WCG2" s="1825"/>
      <c r="WCH2" s="1825"/>
      <c r="WCI2" s="1825"/>
      <c r="WCJ2" s="1825"/>
      <c r="WCK2" s="1825"/>
      <c r="WCL2" s="1825"/>
      <c r="WCM2" s="1825"/>
      <c r="WCN2" s="1825"/>
      <c r="WCO2" s="1825"/>
      <c r="WCP2" s="1825"/>
      <c r="WCQ2" s="1825"/>
      <c r="WCR2" s="1825"/>
      <c r="WCS2" s="1825"/>
      <c r="WCT2" s="1825"/>
      <c r="WCU2" s="1825"/>
      <c r="WCV2" s="1825"/>
      <c r="WCW2" s="1825"/>
      <c r="WCX2" s="1825"/>
      <c r="WCY2" s="1825"/>
      <c r="WCZ2" s="1825"/>
      <c r="WDA2" s="1825"/>
      <c r="WDB2" s="1825"/>
      <c r="WDC2" s="1825"/>
      <c r="WDD2" s="1825"/>
      <c r="WDE2" s="1825"/>
      <c r="WDF2" s="1825"/>
      <c r="WDG2" s="1825"/>
      <c r="WDH2" s="1825"/>
      <c r="WDI2" s="1825"/>
      <c r="WDJ2" s="1825"/>
      <c r="WDK2" s="1825"/>
      <c r="WDL2" s="1825"/>
      <c r="WDM2" s="1825"/>
      <c r="WDN2" s="1825"/>
      <c r="WDO2" s="1825"/>
      <c r="WDP2" s="1825"/>
      <c r="WDQ2" s="1825"/>
      <c r="WDR2" s="1825"/>
      <c r="WDS2" s="1825"/>
      <c r="WDT2" s="1825"/>
      <c r="WDU2" s="1825"/>
      <c r="WDV2" s="1825"/>
      <c r="WDW2" s="1825"/>
      <c r="WDX2" s="1825"/>
      <c r="WDY2" s="1825"/>
      <c r="WDZ2" s="1825"/>
      <c r="WEA2" s="1825"/>
      <c r="WEB2" s="1825"/>
      <c r="WEC2" s="1825"/>
      <c r="WED2" s="1825"/>
      <c r="WEE2" s="1825"/>
      <c r="WEF2" s="1825"/>
      <c r="WEG2" s="1825"/>
      <c r="WEH2" s="1825"/>
      <c r="WEI2" s="1825"/>
      <c r="WEJ2" s="1825"/>
      <c r="WEK2" s="1825"/>
      <c r="WEL2" s="1825"/>
      <c r="WEM2" s="1825"/>
      <c r="WEN2" s="1825"/>
      <c r="WEO2" s="1825"/>
      <c r="WEP2" s="1825"/>
      <c r="WEQ2" s="1825"/>
      <c r="WER2" s="1825"/>
      <c r="WES2" s="1825"/>
      <c r="WET2" s="1825"/>
      <c r="WEU2" s="1825"/>
      <c r="WEV2" s="1825"/>
      <c r="WEW2" s="1825"/>
      <c r="WEX2" s="1825"/>
      <c r="WEY2" s="1825"/>
      <c r="WEZ2" s="1825"/>
      <c r="WFA2" s="1825"/>
      <c r="WFB2" s="1825"/>
      <c r="WFC2" s="1825"/>
      <c r="WFD2" s="1825"/>
      <c r="WFE2" s="1825"/>
      <c r="WFF2" s="1825"/>
      <c r="WFG2" s="1825"/>
      <c r="WFH2" s="1825"/>
      <c r="WFI2" s="1825"/>
      <c r="WFJ2" s="1825"/>
      <c r="WFK2" s="1825"/>
      <c r="WFL2" s="1825"/>
      <c r="WFM2" s="1825"/>
      <c r="WFN2" s="1825"/>
      <c r="WFO2" s="1825"/>
      <c r="WFP2" s="1825"/>
      <c r="WFQ2" s="1825"/>
      <c r="WFR2" s="1825"/>
      <c r="WFS2" s="1825"/>
      <c r="WFT2" s="1825"/>
      <c r="WFU2" s="1825"/>
      <c r="WFV2" s="1825"/>
      <c r="WFW2" s="1825"/>
      <c r="WFX2" s="1825"/>
      <c r="WFY2" s="1825"/>
      <c r="WFZ2" s="1825"/>
      <c r="WGA2" s="1825"/>
      <c r="WGB2" s="1825"/>
      <c r="WGC2" s="1825"/>
      <c r="WGD2" s="1825"/>
      <c r="WGE2" s="1825"/>
      <c r="WGF2" s="1825"/>
      <c r="WGG2" s="1825"/>
      <c r="WGH2" s="1825"/>
      <c r="WGI2" s="1825"/>
      <c r="WGJ2" s="1825"/>
      <c r="WGK2" s="1825"/>
      <c r="WGL2" s="1825"/>
      <c r="WGM2" s="1825"/>
      <c r="WGN2" s="1825"/>
      <c r="WGO2" s="1825"/>
      <c r="WGP2" s="1825"/>
      <c r="WGQ2" s="1825"/>
      <c r="WGR2" s="1825"/>
      <c r="WGS2" s="1825"/>
      <c r="WGT2" s="1825"/>
      <c r="WGU2" s="1825"/>
      <c r="WGV2" s="1825"/>
      <c r="WGW2" s="1825"/>
      <c r="WGX2" s="1825"/>
      <c r="WGY2" s="1825"/>
      <c r="WGZ2" s="1825"/>
      <c r="WHA2" s="1825"/>
      <c r="WHB2" s="1825"/>
      <c r="WHC2" s="1825"/>
      <c r="WHD2" s="1825"/>
      <c r="WHE2" s="1825"/>
      <c r="WHF2" s="1825"/>
      <c r="WHG2" s="1825"/>
      <c r="WHH2" s="1825"/>
      <c r="WHI2" s="1825"/>
      <c r="WHJ2" s="1825"/>
      <c r="WHK2" s="1825"/>
      <c r="WHL2" s="1825"/>
      <c r="WHM2" s="1825"/>
      <c r="WHN2" s="1825"/>
      <c r="WHO2" s="1825"/>
      <c r="WHP2" s="1825"/>
      <c r="WHQ2" s="1825"/>
      <c r="WHR2" s="1825"/>
      <c r="WHS2" s="1825"/>
      <c r="WHT2" s="1825"/>
      <c r="WHU2" s="1825"/>
      <c r="WHV2" s="1825"/>
      <c r="WHW2" s="1825"/>
      <c r="WHX2" s="1825"/>
      <c r="WHY2" s="1825"/>
      <c r="WHZ2" s="1825"/>
      <c r="WIA2" s="1825"/>
      <c r="WIB2" s="1825"/>
      <c r="WIC2" s="1825"/>
      <c r="WID2" s="1825"/>
      <c r="WIE2" s="1825"/>
      <c r="WIF2" s="1825"/>
      <c r="WIG2" s="1825"/>
      <c r="WIH2" s="1825"/>
      <c r="WII2" s="1825"/>
      <c r="WIJ2" s="1825"/>
      <c r="WIK2" s="1825"/>
      <c r="WIL2" s="1825"/>
      <c r="WIM2" s="1825"/>
      <c r="WIN2" s="1825"/>
      <c r="WIO2" s="1825"/>
      <c r="WIP2" s="1825"/>
      <c r="WIQ2" s="1825"/>
      <c r="WIR2" s="1825"/>
      <c r="WIS2" s="1825"/>
      <c r="WIT2" s="1825"/>
      <c r="WIU2" s="1825"/>
      <c r="WIV2" s="1825"/>
      <c r="WIW2" s="1825"/>
      <c r="WIX2" s="1825"/>
      <c r="WIY2" s="1825"/>
      <c r="WIZ2" s="1825"/>
      <c r="WJA2" s="1825"/>
      <c r="WJB2" s="1825"/>
      <c r="WJC2" s="1825"/>
      <c r="WJD2" s="1825"/>
      <c r="WJE2" s="1825"/>
      <c r="WJF2" s="1825"/>
      <c r="WJG2" s="1825"/>
      <c r="WJH2" s="1825"/>
      <c r="WJI2" s="1825"/>
      <c r="WJJ2" s="1825"/>
      <c r="WJK2" s="1825"/>
      <c r="WJL2" s="1825"/>
      <c r="WJM2" s="1825"/>
      <c r="WJN2" s="1825"/>
      <c r="WJO2" s="1825"/>
      <c r="WJP2" s="1825"/>
      <c r="WJQ2" s="1825"/>
      <c r="WJR2" s="1825"/>
      <c r="WJS2" s="1825"/>
      <c r="WJT2" s="1825"/>
      <c r="WJU2" s="1825"/>
      <c r="WJV2" s="1825"/>
      <c r="WJW2" s="1825"/>
      <c r="WJX2" s="1825"/>
      <c r="WJY2" s="1825"/>
      <c r="WJZ2" s="1825"/>
      <c r="WKA2" s="1825"/>
      <c r="WKB2" s="1825"/>
      <c r="WKC2" s="1825"/>
      <c r="WKD2" s="1825"/>
      <c r="WKE2" s="1825"/>
      <c r="WKF2" s="1825"/>
      <c r="WKG2" s="1825"/>
      <c r="WKH2" s="1825"/>
      <c r="WKI2" s="1825"/>
      <c r="WKJ2" s="1825"/>
      <c r="WKK2" s="1825"/>
      <c r="WKL2" s="1825"/>
      <c r="WKM2" s="1825"/>
      <c r="WKN2" s="1825"/>
      <c r="WKO2" s="1825"/>
      <c r="WKP2" s="1825"/>
      <c r="WKQ2" s="1825"/>
      <c r="WKR2" s="1825"/>
      <c r="WKS2" s="1825"/>
      <c r="WKT2" s="1825"/>
      <c r="WKU2" s="1825"/>
      <c r="WKV2" s="1825"/>
      <c r="WKW2" s="1825"/>
      <c r="WKX2" s="1825"/>
      <c r="WKY2" s="1825"/>
      <c r="WKZ2" s="1825"/>
      <c r="WLA2" s="1825"/>
      <c r="WLB2" s="1825"/>
      <c r="WLC2" s="1825"/>
      <c r="WLD2" s="1825"/>
      <c r="WLE2" s="1825"/>
      <c r="WLF2" s="1825"/>
      <c r="WLG2" s="1825"/>
      <c r="WLH2" s="1825"/>
      <c r="WLI2" s="1825"/>
      <c r="WLJ2" s="1825"/>
      <c r="WLK2" s="1825"/>
      <c r="WLL2" s="1825"/>
      <c r="WLM2" s="1825"/>
      <c r="WLN2" s="1825"/>
      <c r="WLO2" s="1825"/>
      <c r="WLP2" s="1825"/>
      <c r="WLQ2" s="1825"/>
      <c r="WLR2" s="1825"/>
      <c r="WLS2" s="1825"/>
      <c r="WLT2" s="1825"/>
      <c r="WLU2" s="1825"/>
      <c r="WLV2" s="1825"/>
      <c r="WLW2" s="1825"/>
      <c r="WLX2" s="1825"/>
      <c r="WLY2" s="1825"/>
      <c r="WLZ2" s="1825"/>
      <c r="WMA2" s="1825"/>
      <c r="WMB2" s="1825"/>
      <c r="WMC2" s="1825"/>
      <c r="WMD2" s="1825"/>
      <c r="WME2" s="1825"/>
      <c r="WMF2" s="1825"/>
      <c r="WMG2" s="1825"/>
      <c r="WMH2" s="1825"/>
      <c r="WMI2" s="1825"/>
      <c r="WMJ2" s="1825"/>
      <c r="WMK2" s="1825"/>
      <c r="WML2" s="1825"/>
      <c r="WMM2" s="1825"/>
      <c r="WMN2" s="1825"/>
      <c r="WMO2" s="1825"/>
      <c r="WMP2" s="1825"/>
      <c r="WMQ2" s="1825"/>
      <c r="WMR2" s="1825"/>
      <c r="WMS2" s="1825"/>
      <c r="WMT2" s="1825"/>
      <c r="WMU2" s="1825"/>
      <c r="WMV2" s="1825"/>
      <c r="WMW2" s="1825"/>
      <c r="WMX2" s="1825"/>
      <c r="WMY2" s="1825"/>
      <c r="WMZ2" s="1825"/>
      <c r="WNA2" s="1825"/>
      <c r="WNB2" s="1825"/>
      <c r="WNC2" s="1825"/>
      <c r="WND2" s="1825"/>
      <c r="WNE2" s="1825"/>
      <c r="WNF2" s="1825"/>
      <c r="WNG2" s="1825"/>
      <c r="WNH2" s="1825"/>
      <c r="WNI2" s="1825"/>
      <c r="WNJ2" s="1825"/>
      <c r="WNK2" s="1825"/>
      <c r="WNL2" s="1825"/>
      <c r="WNM2" s="1825"/>
      <c r="WNN2" s="1825"/>
      <c r="WNO2" s="1825"/>
      <c r="WNP2" s="1825"/>
      <c r="WNQ2" s="1825"/>
      <c r="WNR2" s="1825"/>
      <c r="WNS2" s="1825"/>
      <c r="WNT2" s="1825"/>
      <c r="WNU2" s="1825"/>
      <c r="WNV2" s="1825"/>
      <c r="WNW2" s="1825"/>
      <c r="WNX2" s="1825"/>
      <c r="WNY2" s="1825"/>
      <c r="WNZ2" s="1825"/>
      <c r="WOA2" s="1825"/>
      <c r="WOB2" s="1825"/>
      <c r="WOC2" s="1825"/>
      <c r="WOD2" s="1825"/>
      <c r="WOE2" s="1825"/>
      <c r="WOF2" s="1825"/>
      <c r="WOG2" s="1825"/>
      <c r="WOH2" s="1825"/>
      <c r="WOI2" s="1825"/>
      <c r="WOJ2" s="1825"/>
      <c r="WOK2" s="1825"/>
      <c r="WOL2" s="1825"/>
      <c r="WOM2" s="1825"/>
      <c r="WON2" s="1825"/>
      <c r="WOO2" s="1825"/>
      <c r="WOP2" s="1825"/>
      <c r="WOQ2" s="1825"/>
      <c r="WOR2" s="1825"/>
      <c r="WOS2" s="1825"/>
      <c r="WOT2" s="1825"/>
      <c r="WOU2" s="1825"/>
      <c r="WOV2" s="1825"/>
      <c r="WOW2" s="1825"/>
      <c r="WOX2" s="1825"/>
      <c r="WOY2" s="1825"/>
      <c r="WOZ2" s="1825"/>
      <c r="WPA2" s="1825"/>
      <c r="WPB2" s="1825"/>
      <c r="WPC2" s="1825"/>
      <c r="WPD2" s="1825"/>
      <c r="WPE2" s="1825"/>
      <c r="WPF2" s="1825"/>
      <c r="WPG2" s="1825"/>
      <c r="WPH2" s="1825"/>
      <c r="WPI2" s="1825"/>
      <c r="WPJ2" s="1825"/>
      <c r="WPK2" s="1825"/>
      <c r="WPL2" s="1825"/>
      <c r="WPM2" s="1825"/>
      <c r="WPN2" s="1825"/>
      <c r="WPO2" s="1825"/>
      <c r="WPP2" s="1825"/>
      <c r="WPQ2" s="1825"/>
      <c r="WPR2" s="1825"/>
      <c r="WPS2" s="1825"/>
      <c r="WPT2" s="1825"/>
      <c r="WPU2" s="1825"/>
      <c r="WPV2" s="1825"/>
      <c r="WPW2" s="1825"/>
      <c r="WPX2" s="1825"/>
      <c r="WPY2" s="1825"/>
      <c r="WPZ2" s="1825"/>
      <c r="WQA2" s="1825"/>
      <c r="WQB2" s="1825"/>
      <c r="WQC2" s="1825"/>
      <c r="WQD2" s="1825"/>
      <c r="WQE2" s="1825"/>
      <c r="WQF2" s="1825"/>
      <c r="WQG2" s="1825"/>
      <c r="WQH2" s="1825"/>
      <c r="WQI2" s="1825"/>
      <c r="WQJ2" s="1825"/>
      <c r="WQK2" s="1825"/>
      <c r="WQL2" s="1825"/>
      <c r="WQM2" s="1825"/>
      <c r="WQN2" s="1825"/>
      <c r="WQO2" s="1825"/>
      <c r="WQP2" s="1825"/>
      <c r="WQQ2" s="1825"/>
      <c r="WQR2" s="1825"/>
      <c r="WQS2" s="1825"/>
      <c r="WQT2" s="1825"/>
      <c r="WQU2" s="1825"/>
      <c r="WQV2" s="1825"/>
      <c r="WQW2" s="1825"/>
      <c r="WQX2" s="1825"/>
      <c r="WQY2" s="1825"/>
      <c r="WQZ2" s="1825"/>
      <c r="WRA2" s="1825"/>
      <c r="WRB2" s="1825"/>
      <c r="WRC2" s="1825"/>
      <c r="WRD2" s="1825"/>
      <c r="WRE2" s="1825"/>
      <c r="WRF2" s="1825"/>
      <c r="WRG2" s="1825"/>
      <c r="WRH2" s="1825"/>
      <c r="WRI2" s="1825"/>
      <c r="WRJ2" s="1825"/>
      <c r="WRK2" s="1825"/>
      <c r="WRL2" s="1825"/>
      <c r="WRM2" s="1825"/>
      <c r="WRN2" s="1825"/>
      <c r="WRO2" s="1825"/>
      <c r="WRP2" s="1825"/>
      <c r="WRQ2" s="1825"/>
      <c r="WRR2" s="1825"/>
      <c r="WRS2" s="1825"/>
      <c r="WRT2" s="1825"/>
      <c r="WRU2" s="1825"/>
      <c r="WRV2" s="1825"/>
      <c r="WRW2" s="1825"/>
      <c r="WRX2" s="1825"/>
      <c r="WRY2" s="1825"/>
      <c r="WRZ2" s="1825"/>
      <c r="WSA2" s="1825"/>
      <c r="WSB2" s="1825"/>
      <c r="WSC2" s="1825"/>
      <c r="WSD2" s="1825"/>
      <c r="WSE2" s="1825"/>
      <c r="WSF2" s="1825"/>
      <c r="WSG2" s="1825"/>
      <c r="WSH2" s="1825"/>
      <c r="WSI2" s="1825"/>
      <c r="WSJ2" s="1825"/>
      <c r="WSK2" s="1825"/>
      <c r="WSL2" s="1825"/>
      <c r="WSM2" s="1825"/>
      <c r="WSN2" s="1825"/>
      <c r="WSO2" s="1825"/>
      <c r="WSP2" s="1825"/>
      <c r="WSQ2" s="1825"/>
      <c r="WSR2" s="1825"/>
      <c r="WSS2" s="1825"/>
      <c r="WST2" s="1825"/>
      <c r="WSU2" s="1825"/>
      <c r="WSV2" s="1825"/>
      <c r="WSW2" s="1825"/>
      <c r="WSX2" s="1825"/>
      <c r="WSY2" s="1825"/>
      <c r="WSZ2" s="1825"/>
      <c r="WTA2" s="1825"/>
      <c r="WTB2" s="1825"/>
      <c r="WTC2" s="1825"/>
      <c r="WTD2" s="1825"/>
      <c r="WTE2" s="1825"/>
      <c r="WTF2" s="1825"/>
      <c r="WTG2" s="1825"/>
      <c r="WTH2" s="1825"/>
      <c r="WTI2" s="1825"/>
      <c r="WTJ2" s="1825"/>
      <c r="WTK2" s="1825"/>
      <c r="WTL2" s="1825"/>
      <c r="WTM2" s="1825"/>
      <c r="WTN2" s="1825"/>
      <c r="WTO2" s="1825"/>
      <c r="WTP2" s="1825"/>
      <c r="WTQ2" s="1825"/>
      <c r="WTR2" s="1825"/>
      <c r="WTS2" s="1825"/>
      <c r="WTT2" s="1825"/>
      <c r="WTU2" s="1825"/>
      <c r="WTV2" s="1825"/>
      <c r="WTW2" s="1825"/>
      <c r="WTX2" s="1825"/>
      <c r="WTY2" s="1825"/>
      <c r="WTZ2" s="1825"/>
      <c r="WUA2" s="1825"/>
      <c r="WUB2" s="1825"/>
      <c r="WUC2" s="1825"/>
      <c r="WUD2" s="1825"/>
      <c r="WUE2" s="1825"/>
      <c r="WUF2" s="1825"/>
      <c r="WUG2" s="1825"/>
      <c r="WUH2" s="1825"/>
      <c r="WUI2" s="1825"/>
      <c r="WUJ2" s="1825"/>
      <c r="WUK2" s="1825"/>
      <c r="WUL2" s="1825"/>
      <c r="WUM2" s="1825"/>
      <c r="WUN2" s="1825"/>
      <c r="WUO2" s="1825"/>
      <c r="WUP2" s="1825"/>
      <c r="WUQ2" s="1825"/>
      <c r="WUR2" s="1825"/>
      <c r="WUS2" s="1825"/>
      <c r="WUT2" s="1825"/>
      <c r="WUU2" s="1825"/>
      <c r="WUV2" s="1825"/>
      <c r="WUW2" s="1825"/>
      <c r="WUX2" s="1825"/>
      <c r="WUY2" s="1825"/>
      <c r="WUZ2" s="1825"/>
      <c r="WVA2" s="1825"/>
      <c r="WVB2" s="1825"/>
      <c r="WVC2" s="1825"/>
      <c r="WVD2" s="1825"/>
      <c r="WVE2" s="1825"/>
      <c r="WVF2" s="1825"/>
      <c r="WVG2" s="1825"/>
      <c r="WVH2" s="1825"/>
      <c r="WVI2" s="1825"/>
      <c r="WVJ2" s="1825"/>
      <c r="WVK2" s="1825"/>
      <c r="WVL2" s="1825"/>
      <c r="WVM2" s="1825"/>
      <c r="WVN2" s="1825"/>
      <c r="WVO2" s="1825"/>
      <c r="WVP2" s="1825"/>
      <c r="WVQ2" s="1825"/>
      <c r="WVR2" s="1825"/>
      <c r="WVS2" s="1825"/>
      <c r="WVT2" s="1825"/>
      <c r="WVU2" s="1825"/>
      <c r="WVV2" s="1825"/>
      <c r="WVW2" s="1825"/>
      <c r="WVX2" s="1825"/>
      <c r="WVY2" s="1825"/>
      <c r="WVZ2" s="1825"/>
      <c r="WWA2" s="1825"/>
      <c r="WWB2" s="1825"/>
      <c r="WWC2" s="1825"/>
      <c r="WWD2" s="1825"/>
      <c r="WWE2" s="1825"/>
      <c r="WWF2" s="1825"/>
      <c r="WWG2" s="1825"/>
      <c r="WWH2" s="1825"/>
      <c r="WWI2" s="1825"/>
      <c r="WWJ2" s="1825"/>
      <c r="WWK2" s="1825"/>
      <c r="WWL2" s="1825"/>
      <c r="WWM2" s="1825"/>
      <c r="WWN2" s="1825"/>
      <c r="WWO2" s="1825"/>
      <c r="WWP2" s="1825"/>
      <c r="WWQ2" s="1825"/>
      <c r="WWR2" s="1825"/>
      <c r="WWS2" s="1825"/>
      <c r="WWT2" s="1825"/>
      <c r="WWU2" s="1825"/>
      <c r="WWV2" s="1825"/>
      <c r="WWW2" s="1825"/>
      <c r="WWX2" s="1825"/>
      <c r="WWY2" s="1825"/>
      <c r="WWZ2" s="1825"/>
      <c r="WXA2" s="1825"/>
      <c r="WXB2" s="1825"/>
      <c r="WXC2" s="1825"/>
      <c r="WXD2" s="1825"/>
      <c r="WXE2" s="1825"/>
      <c r="WXF2" s="1825"/>
      <c r="WXG2" s="1825"/>
      <c r="WXH2" s="1825"/>
      <c r="WXI2" s="1825"/>
      <c r="WXJ2" s="1825"/>
      <c r="WXK2" s="1825"/>
      <c r="WXL2" s="1825"/>
      <c r="WXM2" s="1825"/>
      <c r="WXN2" s="1825"/>
      <c r="WXO2" s="1825"/>
      <c r="WXP2" s="1825"/>
      <c r="WXQ2" s="1825"/>
      <c r="WXR2" s="1825"/>
      <c r="WXS2" s="1825"/>
      <c r="WXT2" s="1825"/>
      <c r="WXU2" s="1825"/>
      <c r="WXV2" s="1825"/>
      <c r="WXW2" s="1825"/>
      <c r="WXX2" s="1825"/>
      <c r="WXY2" s="1825"/>
      <c r="WXZ2" s="1825"/>
      <c r="WYA2" s="1825"/>
      <c r="WYB2" s="1825"/>
      <c r="WYC2" s="1825"/>
      <c r="WYD2" s="1825"/>
      <c r="WYE2" s="1825"/>
      <c r="WYF2" s="1825"/>
      <c r="WYG2" s="1825"/>
      <c r="WYH2" s="1825"/>
      <c r="WYI2" s="1825"/>
      <c r="WYJ2" s="1825"/>
      <c r="WYK2" s="1825"/>
      <c r="WYL2" s="1825"/>
      <c r="WYM2" s="1825"/>
      <c r="WYN2" s="1825"/>
      <c r="WYO2" s="1825"/>
      <c r="WYP2" s="1825"/>
      <c r="WYQ2" s="1825"/>
      <c r="WYR2" s="1825"/>
      <c r="WYS2" s="1825"/>
      <c r="WYT2" s="1825"/>
      <c r="WYU2" s="1825"/>
      <c r="WYV2" s="1825"/>
      <c r="WYW2" s="1825"/>
      <c r="WYX2" s="1825"/>
      <c r="WYY2" s="1825"/>
      <c r="WYZ2" s="1825"/>
      <c r="WZA2" s="1825"/>
      <c r="WZB2" s="1825"/>
      <c r="WZC2" s="1825"/>
      <c r="WZD2" s="1825"/>
      <c r="WZE2" s="1825"/>
      <c r="WZF2" s="1825"/>
      <c r="WZG2" s="1825"/>
      <c r="WZH2" s="1825"/>
      <c r="WZI2" s="1825"/>
      <c r="WZJ2" s="1825"/>
      <c r="WZK2" s="1825"/>
      <c r="WZL2" s="1825"/>
      <c r="WZM2" s="1825"/>
      <c r="WZN2" s="1825"/>
      <c r="WZO2" s="1825"/>
      <c r="WZP2" s="1825"/>
      <c r="WZQ2" s="1825"/>
      <c r="WZR2" s="1825"/>
      <c r="WZS2" s="1825"/>
      <c r="WZT2" s="1825"/>
      <c r="WZU2" s="1825"/>
      <c r="WZV2" s="1825"/>
      <c r="WZW2" s="1825"/>
      <c r="WZX2" s="1825"/>
      <c r="WZY2" s="1825"/>
      <c r="WZZ2" s="1825"/>
      <c r="XAA2" s="1825"/>
      <c r="XAB2" s="1825"/>
      <c r="XAC2" s="1825"/>
      <c r="XAD2" s="1825"/>
      <c r="XAE2" s="1825"/>
      <c r="XAF2" s="1825"/>
      <c r="XAG2" s="1825"/>
      <c r="XAH2" s="1825"/>
      <c r="XAI2" s="1825"/>
      <c r="XAJ2" s="1825"/>
      <c r="XAK2" s="1825"/>
      <c r="XAL2" s="1825"/>
      <c r="XAM2" s="1825"/>
      <c r="XAN2" s="1825"/>
      <c r="XAO2" s="1825"/>
      <c r="XAP2" s="1825"/>
      <c r="XAQ2" s="1825"/>
      <c r="XAR2" s="1825"/>
      <c r="XAS2" s="1825"/>
      <c r="XAT2" s="1825"/>
      <c r="XAU2" s="1825"/>
      <c r="XAV2" s="1825"/>
      <c r="XAW2" s="1825"/>
      <c r="XAX2" s="1825"/>
      <c r="XAY2" s="1825"/>
      <c r="XAZ2" s="1825"/>
      <c r="XBA2" s="1825"/>
      <c r="XBB2" s="1825"/>
      <c r="XBC2" s="1825"/>
      <c r="XBD2" s="1825"/>
      <c r="XBE2" s="1825"/>
      <c r="XBF2" s="1825"/>
      <c r="XBG2" s="1825"/>
      <c r="XBH2" s="1825"/>
      <c r="XBI2" s="1825"/>
      <c r="XBJ2" s="1825"/>
      <c r="XBK2" s="1825"/>
      <c r="XBL2" s="1825"/>
      <c r="XBM2" s="1825"/>
      <c r="XBN2" s="1825"/>
      <c r="XBO2" s="1825"/>
      <c r="XBP2" s="1825"/>
      <c r="XBQ2" s="1825"/>
      <c r="XBR2" s="1825"/>
      <c r="XBS2" s="1825"/>
      <c r="XBT2" s="1825"/>
      <c r="XBU2" s="1825"/>
      <c r="XBV2" s="1825"/>
      <c r="XBW2" s="1825"/>
      <c r="XBX2" s="1825"/>
      <c r="XBY2" s="1825"/>
      <c r="XBZ2" s="1825"/>
      <c r="XCA2" s="1825"/>
      <c r="XCB2" s="1825"/>
      <c r="XCC2" s="1825"/>
      <c r="XCD2" s="1825"/>
      <c r="XCE2" s="1825"/>
      <c r="XCF2" s="1825"/>
      <c r="XCG2" s="1825"/>
      <c r="XCH2" s="1825"/>
      <c r="XCI2" s="1825"/>
      <c r="XCJ2" s="1825"/>
      <c r="XCK2" s="1825"/>
      <c r="XCL2" s="1825"/>
      <c r="XCM2" s="1825"/>
      <c r="XCN2" s="1825"/>
      <c r="XCO2" s="1825"/>
      <c r="XCP2" s="1825"/>
      <c r="XCQ2" s="1825"/>
      <c r="XCR2" s="1825"/>
      <c r="XCS2" s="1825"/>
      <c r="XCT2" s="1825"/>
      <c r="XCU2" s="1825"/>
      <c r="XCV2" s="1825"/>
      <c r="XCW2" s="1825"/>
      <c r="XCX2" s="1825"/>
      <c r="XCY2" s="1825"/>
      <c r="XCZ2" s="1825"/>
      <c r="XDA2" s="1825"/>
      <c r="XDB2" s="1825"/>
      <c r="XDC2" s="1825"/>
      <c r="XDD2" s="1825"/>
      <c r="XDE2" s="1825"/>
      <c r="XDF2" s="1825"/>
      <c r="XDG2" s="1825"/>
      <c r="XDH2" s="1825"/>
      <c r="XDI2" s="1825"/>
      <c r="XDJ2" s="1825"/>
      <c r="XDK2" s="1825"/>
      <c r="XDL2" s="1825"/>
      <c r="XDM2" s="1825"/>
      <c r="XDN2" s="1825"/>
      <c r="XDO2" s="1825"/>
      <c r="XDP2" s="1825"/>
      <c r="XDQ2" s="1825"/>
      <c r="XDR2" s="1825"/>
      <c r="XDS2" s="1825"/>
      <c r="XDT2" s="1825"/>
      <c r="XDU2" s="1825"/>
      <c r="XDV2" s="1825"/>
      <c r="XDW2" s="1825"/>
      <c r="XDX2" s="1825"/>
      <c r="XDY2" s="1825"/>
      <c r="XDZ2" s="1825"/>
      <c r="XEA2" s="1825"/>
      <c r="XEB2" s="1825"/>
      <c r="XEC2" s="1825"/>
      <c r="XED2" s="1825"/>
      <c r="XEE2" s="1825"/>
      <c r="XEF2" s="1825"/>
      <c r="XEG2" s="1825"/>
      <c r="XEH2" s="1825"/>
      <c r="XEI2" s="1825"/>
      <c r="XEJ2" s="1825"/>
      <c r="XEK2" s="1825"/>
      <c r="XEL2" s="1825"/>
      <c r="XEM2" s="1825"/>
      <c r="XEN2" s="1825"/>
      <c r="XEO2" s="1825"/>
      <c r="XEP2" s="1825"/>
      <c r="XEQ2" s="1825"/>
      <c r="XER2" s="1825"/>
      <c r="XES2" s="1825"/>
      <c r="XET2" s="1825"/>
      <c r="XEU2" s="1825"/>
      <c r="XEV2" s="1825"/>
      <c r="XEW2" s="1825"/>
      <c r="XEX2" s="1825"/>
      <c r="XEY2" s="1825"/>
      <c r="XEZ2" s="1825"/>
      <c r="XFA2" s="1825"/>
      <c r="XFB2" s="1825"/>
      <c r="XFC2" s="1825"/>
      <c r="XFD2" s="1825"/>
    </row>
    <row r="3" spans="1:16384" ht="20.100000000000001" customHeight="1" x14ac:dyDescent="0.2"/>
    <row r="4" spans="1:16384" ht="20.100000000000001" customHeight="1" x14ac:dyDescent="0.2">
      <c r="A4" s="1813"/>
      <c r="B4" s="1813"/>
      <c r="C4" s="1813"/>
      <c r="D4" s="1813"/>
      <c r="E4" s="1813"/>
    </row>
    <row r="5" spans="1:16384" ht="20.100000000000001" customHeight="1" x14ac:dyDescent="0.2">
      <c r="A5" s="358"/>
      <c r="B5" s="1813" t="s">
        <v>829</v>
      </c>
      <c r="C5" s="1813"/>
      <c r="D5" s="1813"/>
      <c r="E5" s="1813"/>
      <c r="F5" s="1813"/>
      <c r="G5" s="1813"/>
      <c r="H5" s="1813"/>
      <c r="I5" s="1813"/>
      <c r="J5" s="1813"/>
      <c r="K5" s="1813"/>
      <c r="L5" s="1813"/>
    </row>
    <row r="6" spans="1:16384" ht="20.100000000000001" customHeight="1" x14ac:dyDescent="0.2">
      <c r="A6" s="358"/>
      <c r="B6" s="358"/>
      <c r="C6" s="358"/>
    </row>
    <row r="7" spans="1:16384" ht="20.100000000000001" customHeight="1" thickBot="1" x14ac:dyDescent="0.25">
      <c r="A7" s="1821" t="s">
        <v>362</v>
      </c>
      <c r="B7" s="1821"/>
      <c r="C7" s="1821"/>
      <c r="D7" s="1821"/>
      <c r="E7" s="1821"/>
      <c r="F7" s="1821"/>
      <c r="G7" s="1821"/>
      <c r="H7" s="1821"/>
      <c r="I7" s="1821"/>
      <c r="J7" s="1821"/>
      <c r="K7" s="1821"/>
      <c r="L7" s="1821"/>
    </row>
    <row r="8" spans="1:16384" ht="84.2" customHeight="1" thickBot="1" x14ac:dyDescent="0.25">
      <c r="A8" s="685"/>
      <c r="B8" s="683" t="s">
        <v>48</v>
      </c>
      <c r="C8" s="730" t="str">
        <f>'1. mell.bevétel_össz'!C8</f>
        <v>2023. évi eredeti előirányzat
2/2023. (II.14.)</v>
      </c>
      <c r="D8" s="360" t="str">
        <f>'1. mell.bevétel_össz'!D8</f>
        <v>Módosított előirányzat a 14/2023.  (VI.29.)  rendelet szerint</v>
      </c>
      <c r="E8" s="361" t="str">
        <f>'1. mell.bevétel_össz'!E8</f>
        <v>Módosított előirányzat a 18/2023. (IX.26.)  rendelet szerint</v>
      </c>
      <c r="F8" s="361" t="str">
        <f>'1. mell.bevétel_össz'!F8</f>
        <v>Módosított előirányzat 2023.09.30-án</v>
      </c>
      <c r="G8" s="361" t="str">
        <f>'1. mell.bevétel_össz'!G8</f>
        <v>Módosított előirányzat a …../2023. (II…..)  rendelet szerint</v>
      </c>
      <c r="H8" s="359" t="str">
        <f>'1. mell.bevétel_össz'!H8</f>
        <v>Változás a 14/2023. (VI.29.) rendelethez képest</v>
      </c>
      <c r="I8" s="360" t="str">
        <f>'1. mell.bevétel_össz'!I8</f>
        <v>2023. évi teljesítés              2023.06.30-ig</v>
      </c>
      <c r="J8" s="361" t="str">
        <f>'1. mell.bevétel_össz'!J8</f>
        <v>2023. évi teljesítés              2023.09.30-ig</v>
      </c>
      <c r="K8" s="361" t="str">
        <f>'1. mell.bevétel_össz'!K8</f>
        <v>2023. évi teljesítés              2023.12.31-ig</v>
      </c>
      <c r="L8" s="359" t="str">
        <f>'1. mell.bevétel_össz'!L8</f>
        <v>Teljesítés %-a</v>
      </c>
    </row>
    <row r="9" spans="1:16384" ht="24.95" customHeight="1" x14ac:dyDescent="0.2">
      <c r="A9" s="319">
        <v>141202</v>
      </c>
      <c r="B9" s="686" t="s">
        <v>283</v>
      </c>
      <c r="C9" s="124">
        <v>135370000</v>
      </c>
      <c r="D9" s="199">
        <f>135370000-700000</f>
        <v>134670000</v>
      </c>
      <c r="E9" s="124">
        <v>134670000</v>
      </c>
      <c r="F9" s="124">
        <v>134670000</v>
      </c>
      <c r="G9" s="124"/>
      <c r="H9" s="1300">
        <f>+E9-D9</f>
        <v>0</v>
      </c>
      <c r="I9" s="199"/>
      <c r="J9" s="124">
        <v>68166381</v>
      </c>
      <c r="K9" s="124"/>
      <c r="L9" s="1626">
        <f>IF(F9=0,"",J9/F9*100)</f>
        <v>50.6173468478503</v>
      </c>
    </row>
    <row r="10" spans="1:16384" ht="24.95" customHeight="1" x14ac:dyDescent="0.2">
      <c r="A10" s="320"/>
      <c r="B10" s="833" t="s">
        <v>73</v>
      </c>
      <c r="C10" s="500">
        <f>SUM(C11:C20)</f>
        <v>134058000</v>
      </c>
      <c r="D10" s="675">
        <f>SUM(D11:D20)</f>
        <v>134758000</v>
      </c>
      <c r="E10" s="500">
        <f t="shared" ref="E10:K10" si="0">SUM(E11:E20)</f>
        <v>134608000</v>
      </c>
      <c r="F10" s="500">
        <f t="shared" si="0"/>
        <v>134608000</v>
      </c>
      <c r="G10" s="500">
        <f t="shared" si="0"/>
        <v>0</v>
      </c>
      <c r="H10" s="679">
        <f t="shared" ref="H10:H21" si="1">+E10-D10</f>
        <v>-150000</v>
      </c>
      <c r="I10" s="675">
        <f t="shared" si="0"/>
        <v>0</v>
      </c>
      <c r="J10" s="500">
        <f t="shared" si="0"/>
        <v>53573971</v>
      </c>
      <c r="K10" s="500">
        <f t="shared" si="0"/>
        <v>0</v>
      </c>
      <c r="L10" s="1724">
        <f t="shared" ref="L10:L22" si="2">IF(F10=0,"",J10/F10*100)</f>
        <v>39.799990342327348</v>
      </c>
    </row>
    <row r="11" spans="1:16384" ht="24.95" customHeight="1" x14ac:dyDescent="0.2">
      <c r="A11" s="320">
        <v>141204</v>
      </c>
      <c r="B11" s="834" t="s">
        <v>373</v>
      </c>
      <c r="C11" s="500">
        <v>2000000</v>
      </c>
      <c r="D11" s="676">
        <v>2000000</v>
      </c>
      <c r="E11" s="501">
        <v>2000000</v>
      </c>
      <c r="F11" s="501">
        <v>2000000</v>
      </c>
      <c r="G11" s="501"/>
      <c r="H11" s="1301">
        <f t="shared" si="1"/>
        <v>0</v>
      </c>
      <c r="I11" s="676"/>
      <c r="J11" s="501">
        <v>1060000</v>
      </c>
      <c r="K11" s="501"/>
      <c r="L11" s="1725">
        <f t="shared" si="2"/>
        <v>53</v>
      </c>
    </row>
    <row r="12" spans="1:16384" ht="24.95" customHeight="1" x14ac:dyDescent="0.2">
      <c r="A12" s="321">
        <v>141205</v>
      </c>
      <c r="B12" s="834" t="s">
        <v>376</v>
      </c>
      <c r="C12" s="500">
        <v>2100000</v>
      </c>
      <c r="D12" s="676">
        <v>2100000</v>
      </c>
      <c r="E12" s="501">
        <v>2100000</v>
      </c>
      <c r="F12" s="501">
        <v>2100000</v>
      </c>
      <c r="G12" s="501"/>
      <c r="H12" s="1301">
        <f t="shared" si="1"/>
        <v>0</v>
      </c>
      <c r="I12" s="676"/>
      <c r="J12" s="501">
        <v>660000</v>
      </c>
      <c r="K12" s="501"/>
      <c r="L12" s="1725">
        <f t="shared" si="2"/>
        <v>31.428571428571427</v>
      </c>
      <c r="N12" s="357" t="s">
        <v>385</v>
      </c>
    </row>
    <row r="13" spans="1:16384" ht="24.95" customHeight="1" x14ac:dyDescent="0.2">
      <c r="A13" s="321">
        <v>141206</v>
      </c>
      <c r="B13" s="834" t="s">
        <v>347</v>
      </c>
      <c r="C13" s="500">
        <v>9000000</v>
      </c>
      <c r="D13" s="676">
        <v>9000000</v>
      </c>
      <c r="E13" s="501">
        <v>9000000</v>
      </c>
      <c r="F13" s="501">
        <v>9000000</v>
      </c>
      <c r="G13" s="501"/>
      <c r="H13" s="1301">
        <f t="shared" si="1"/>
        <v>0</v>
      </c>
      <c r="I13" s="676"/>
      <c r="J13" s="501">
        <v>2750000</v>
      </c>
      <c r="K13" s="501"/>
      <c r="L13" s="1725">
        <f t="shared" si="2"/>
        <v>30.555555555555557</v>
      </c>
    </row>
    <row r="14" spans="1:16384" ht="24.95" customHeight="1" x14ac:dyDescent="0.2">
      <c r="A14" s="320">
        <v>141207</v>
      </c>
      <c r="B14" s="834" t="s">
        <v>255</v>
      </c>
      <c r="C14" s="500">
        <v>22210000</v>
      </c>
      <c r="D14" s="676">
        <v>22210000</v>
      </c>
      <c r="E14" s="501">
        <v>22210000</v>
      </c>
      <c r="F14" s="501">
        <v>22210000</v>
      </c>
      <c r="G14" s="501"/>
      <c r="H14" s="1301">
        <f t="shared" si="1"/>
        <v>0</v>
      </c>
      <c r="I14" s="676"/>
      <c r="J14" s="501">
        <v>0</v>
      </c>
      <c r="K14" s="501"/>
      <c r="L14" s="1725">
        <f t="shared" si="2"/>
        <v>0</v>
      </c>
    </row>
    <row r="15" spans="1:16384" ht="24.95" customHeight="1" x14ac:dyDescent="0.2">
      <c r="A15" s="321">
        <v>141209</v>
      </c>
      <c r="B15" s="834" t="s">
        <v>377</v>
      </c>
      <c r="C15" s="500">
        <v>144000</v>
      </c>
      <c r="D15" s="676">
        <v>144000</v>
      </c>
      <c r="E15" s="501">
        <v>144000</v>
      </c>
      <c r="F15" s="501">
        <v>144000</v>
      </c>
      <c r="G15" s="501"/>
      <c r="H15" s="1301">
        <f t="shared" si="1"/>
        <v>0</v>
      </c>
      <c r="I15" s="676"/>
      <c r="J15" s="501">
        <v>113500</v>
      </c>
      <c r="K15" s="501"/>
      <c r="L15" s="1725">
        <f t="shared" si="2"/>
        <v>78.819444444444443</v>
      </c>
    </row>
    <row r="16" spans="1:16384" ht="24.95" customHeight="1" x14ac:dyDescent="0.2">
      <c r="A16" s="320">
        <v>141210</v>
      </c>
      <c r="B16" s="834" t="s">
        <v>256</v>
      </c>
      <c r="C16" s="500">
        <v>900000</v>
      </c>
      <c r="D16" s="676">
        <f>900000+700000</f>
        <v>1600000</v>
      </c>
      <c r="E16" s="501">
        <v>1600000</v>
      </c>
      <c r="F16" s="501">
        <v>1600000</v>
      </c>
      <c r="G16" s="501"/>
      <c r="H16" s="1301">
        <f t="shared" si="1"/>
        <v>0</v>
      </c>
      <c r="I16" s="676"/>
      <c r="J16" s="501">
        <v>704229</v>
      </c>
      <c r="K16" s="501"/>
      <c r="L16" s="1725">
        <f t="shared" si="2"/>
        <v>44.014312500000003</v>
      </c>
    </row>
    <row r="17" spans="1:12" ht="24.95" customHeight="1" x14ac:dyDescent="0.2">
      <c r="A17" s="320">
        <v>141212</v>
      </c>
      <c r="B17" s="834" t="s">
        <v>375</v>
      </c>
      <c r="C17" s="500">
        <v>45864000</v>
      </c>
      <c r="D17" s="676">
        <v>45864000</v>
      </c>
      <c r="E17" s="501">
        <v>45864000</v>
      </c>
      <c r="F17" s="501">
        <v>45864000</v>
      </c>
      <c r="G17" s="501"/>
      <c r="H17" s="1301">
        <f t="shared" si="1"/>
        <v>0</v>
      </c>
      <c r="I17" s="676"/>
      <c r="J17" s="501">
        <v>27990700</v>
      </c>
      <c r="K17" s="501"/>
      <c r="L17" s="1725">
        <f t="shared" si="2"/>
        <v>61.029783708355133</v>
      </c>
    </row>
    <row r="18" spans="1:12" ht="24.95" customHeight="1" x14ac:dyDescent="0.2">
      <c r="A18" s="320">
        <v>141213</v>
      </c>
      <c r="B18" s="834" t="s">
        <v>374</v>
      </c>
      <c r="C18" s="500">
        <v>43200000</v>
      </c>
      <c r="D18" s="676">
        <v>43200000</v>
      </c>
      <c r="E18" s="501">
        <v>43200000</v>
      </c>
      <c r="F18" s="501">
        <v>43200000</v>
      </c>
      <c r="G18" s="501"/>
      <c r="H18" s="1301">
        <f t="shared" si="1"/>
        <v>0</v>
      </c>
      <c r="I18" s="676"/>
      <c r="J18" s="501">
        <v>20229542</v>
      </c>
      <c r="K18" s="501"/>
      <c r="L18" s="1725">
        <f t="shared" si="2"/>
        <v>46.827643518518521</v>
      </c>
    </row>
    <row r="19" spans="1:12" ht="24.95" customHeight="1" x14ac:dyDescent="0.2">
      <c r="A19" s="320">
        <v>141215</v>
      </c>
      <c r="B19" s="834" t="s">
        <v>81</v>
      </c>
      <c r="C19" s="500">
        <v>7920000</v>
      </c>
      <c r="D19" s="676">
        <v>7920000</v>
      </c>
      <c r="E19" s="501">
        <v>7920000</v>
      </c>
      <c r="F19" s="501">
        <v>7920000</v>
      </c>
      <c r="G19" s="501"/>
      <c r="H19" s="1301">
        <f t="shared" si="1"/>
        <v>0</v>
      </c>
      <c r="I19" s="676"/>
      <c r="J19" s="501">
        <v>0</v>
      </c>
      <c r="K19" s="501"/>
      <c r="L19" s="1725">
        <f t="shared" si="2"/>
        <v>0</v>
      </c>
    </row>
    <row r="20" spans="1:12" ht="24.95" customHeight="1" x14ac:dyDescent="0.2">
      <c r="A20" s="321">
        <v>141216</v>
      </c>
      <c r="B20" s="834" t="s">
        <v>257</v>
      </c>
      <c r="C20" s="500">
        <v>720000</v>
      </c>
      <c r="D20" s="676">
        <v>720000</v>
      </c>
      <c r="E20" s="501">
        <f>720000-150000</f>
        <v>570000</v>
      </c>
      <c r="F20" s="501">
        <v>570000</v>
      </c>
      <c r="G20" s="501"/>
      <c r="H20" s="1301">
        <f t="shared" si="1"/>
        <v>-150000</v>
      </c>
      <c r="I20" s="676"/>
      <c r="J20" s="501">
        <v>66000</v>
      </c>
      <c r="K20" s="501"/>
      <c r="L20" s="1725">
        <f t="shared" si="2"/>
        <v>11.578947368421053</v>
      </c>
    </row>
    <row r="21" spans="1:12" ht="24.95" customHeight="1" thickBot="1" x14ac:dyDescent="0.25">
      <c r="A21" s="322">
        <v>141208</v>
      </c>
      <c r="B21" s="835" t="s">
        <v>49</v>
      </c>
      <c r="C21" s="1076">
        <v>900000</v>
      </c>
      <c r="D21" s="677">
        <v>900000</v>
      </c>
      <c r="E21" s="502">
        <f>900000+150000</f>
        <v>1050000</v>
      </c>
      <c r="F21" s="502">
        <v>1050000</v>
      </c>
      <c r="G21" s="502"/>
      <c r="H21" s="1302">
        <f t="shared" si="1"/>
        <v>150000</v>
      </c>
      <c r="I21" s="677"/>
      <c r="J21" s="502">
        <v>392864</v>
      </c>
      <c r="K21" s="502"/>
      <c r="L21" s="1726">
        <f t="shared" si="2"/>
        <v>37.415619047619046</v>
      </c>
    </row>
    <row r="22" spans="1:12" ht="34.5" customHeight="1" thickBot="1" x14ac:dyDescent="0.25">
      <c r="A22" s="680"/>
      <c r="B22" s="681" t="s">
        <v>117</v>
      </c>
      <c r="C22" s="753">
        <f>C9+C10+C21</f>
        <v>270328000</v>
      </c>
      <c r="D22" s="678">
        <f t="shared" ref="D22:K22" si="3">D9+D10+D21</f>
        <v>270328000</v>
      </c>
      <c r="E22" s="362">
        <f t="shared" si="3"/>
        <v>270328000</v>
      </c>
      <c r="F22" s="362">
        <f t="shared" si="3"/>
        <v>270328000</v>
      </c>
      <c r="G22" s="362">
        <f t="shared" si="3"/>
        <v>0</v>
      </c>
      <c r="H22" s="1303">
        <f>+E22-D22</f>
        <v>0</v>
      </c>
      <c r="I22" s="678">
        <f t="shared" si="3"/>
        <v>0</v>
      </c>
      <c r="J22" s="362">
        <f t="shared" si="3"/>
        <v>122133216</v>
      </c>
      <c r="K22" s="362">
        <f t="shared" si="3"/>
        <v>0</v>
      </c>
      <c r="L22" s="1727">
        <f t="shared" si="2"/>
        <v>45.179639548992334</v>
      </c>
    </row>
    <row r="23" spans="1:12" x14ac:dyDescent="0.2">
      <c r="H23" s="984"/>
    </row>
  </sheetData>
  <mergeCells count="2344">
    <mergeCell ref="XEF2:XEL2"/>
    <mergeCell ref="XEM2:XES2"/>
    <mergeCell ref="XET2:XEZ2"/>
    <mergeCell ref="XFA2:XFD2"/>
    <mergeCell ref="A2:H2"/>
    <mergeCell ref="XCW2:XDC2"/>
    <mergeCell ref="XDD2:XDJ2"/>
    <mergeCell ref="XDK2:XDQ2"/>
    <mergeCell ref="XDR2:XDX2"/>
    <mergeCell ref="XDY2:XEE2"/>
    <mergeCell ref="XBN2:XBT2"/>
    <mergeCell ref="XBU2:XCA2"/>
    <mergeCell ref="XCB2:XCH2"/>
    <mergeCell ref="XCI2:XCO2"/>
    <mergeCell ref="XCP2:XCV2"/>
    <mergeCell ref="XAE2:XAK2"/>
    <mergeCell ref="XAL2:XAR2"/>
    <mergeCell ref="XAS2:XAY2"/>
    <mergeCell ref="XAZ2:XBF2"/>
    <mergeCell ref="XBG2:XBM2"/>
    <mergeCell ref="WYV2:WZB2"/>
    <mergeCell ref="WZC2:WZI2"/>
    <mergeCell ref="WZJ2:WZP2"/>
    <mergeCell ref="WZQ2:WZW2"/>
    <mergeCell ref="WZX2:XAD2"/>
    <mergeCell ref="WXM2:WXS2"/>
    <mergeCell ref="WXT2:WXZ2"/>
    <mergeCell ref="WYA2:WYG2"/>
    <mergeCell ref="WYH2:WYN2"/>
    <mergeCell ref="WYO2:WYU2"/>
    <mergeCell ref="WWD2:WWJ2"/>
    <mergeCell ref="WWK2:WWQ2"/>
    <mergeCell ref="WWR2:WWX2"/>
    <mergeCell ref="WWY2:WXE2"/>
    <mergeCell ref="WXF2:WXL2"/>
    <mergeCell ref="WUU2:WVA2"/>
    <mergeCell ref="WVB2:WVH2"/>
    <mergeCell ref="WVI2:WVO2"/>
    <mergeCell ref="WVP2:WVV2"/>
    <mergeCell ref="WVW2:WWC2"/>
    <mergeCell ref="WTL2:WTR2"/>
    <mergeCell ref="WTS2:WTY2"/>
    <mergeCell ref="WTZ2:WUF2"/>
    <mergeCell ref="WUG2:WUM2"/>
    <mergeCell ref="WUN2:WUT2"/>
    <mergeCell ref="WSC2:WSI2"/>
    <mergeCell ref="WSJ2:WSP2"/>
    <mergeCell ref="WSQ2:WSW2"/>
    <mergeCell ref="WSX2:WTD2"/>
    <mergeCell ref="WTE2:WTK2"/>
    <mergeCell ref="WQT2:WQZ2"/>
    <mergeCell ref="WRA2:WRG2"/>
    <mergeCell ref="WRH2:WRN2"/>
    <mergeCell ref="WRO2:WRU2"/>
    <mergeCell ref="WRV2:WSB2"/>
    <mergeCell ref="WPK2:WPQ2"/>
    <mergeCell ref="WPR2:WPX2"/>
    <mergeCell ref="WPY2:WQE2"/>
    <mergeCell ref="WQF2:WQL2"/>
    <mergeCell ref="WQM2:WQS2"/>
    <mergeCell ref="WOB2:WOH2"/>
    <mergeCell ref="WOI2:WOO2"/>
    <mergeCell ref="WOP2:WOV2"/>
    <mergeCell ref="WOW2:WPC2"/>
    <mergeCell ref="WPD2:WPJ2"/>
    <mergeCell ref="WMS2:WMY2"/>
    <mergeCell ref="WMZ2:WNF2"/>
    <mergeCell ref="WNG2:WNM2"/>
    <mergeCell ref="WNN2:WNT2"/>
    <mergeCell ref="WNU2:WOA2"/>
    <mergeCell ref="WLJ2:WLP2"/>
    <mergeCell ref="WLQ2:WLW2"/>
    <mergeCell ref="WLX2:WMD2"/>
    <mergeCell ref="WME2:WMK2"/>
    <mergeCell ref="WML2:WMR2"/>
    <mergeCell ref="WKA2:WKG2"/>
    <mergeCell ref="WKH2:WKN2"/>
    <mergeCell ref="WKO2:WKU2"/>
    <mergeCell ref="WKV2:WLB2"/>
    <mergeCell ref="WLC2:WLI2"/>
    <mergeCell ref="WIR2:WIX2"/>
    <mergeCell ref="WIY2:WJE2"/>
    <mergeCell ref="WJF2:WJL2"/>
    <mergeCell ref="WJM2:WJS2"/>
    <mergeCell ref="WJT2:WJZ2"/>
    <mergeCell ref="WHI2:WHO2"/>
    <mergeCell ref="WHP2:WHV2"/>
    <mergeCell ref="WHW2:WIC2"/>
    <mergeCell ref="WID2:WIJ2"/>
    <mergeCell ref="WIK2:WIQ2"/>
    <mergeCell ref="WFZ2:WGF2"/>
    <mergeCell ref="WGG2:WGM2"/>
    <mergeCell ref="WGN2:WGT2"/>
    <mergeCell ref="WGU2:WHA2"/>
    <mergeCell ref="WHB2:WHH2"/>
    <mergeCell ref="WEQ2:WEW2"/>
    <mergeCell ref="WEX2:WFD2"/>
    <mergeCell ref="WFE2:WFK2"/>
    <mergeCell ref="WFL2:WFR2"/>
    <mergeCell ref="WFS2:WFY2"/>
    <mergeCell ref="WDH2:WDN2"/>
    <mergeCell ref="WDO2:WDU2"/>
    <mergeCell ref="WDV2:WEB2"/>
    <mergeCell ref="WEC2:WEI2"/>
    <mergeCell ref="WEJ2:WEP2"/>
    <mergeCell ref="WBY2:WCE2"/>
    <mergeCell ref="WCF2:WCL2"/>
    <mergeCell ref="WCM2:WCS2"/>
    <mergeCell ref="WCT2:WCZ2"/>
    <mergeCell ref="WDA2:WDG2"/>
    <mergeCell ref="WAP2:WAV2"/>
    <mergeCell ref="WAW2:WBC2"/>
    <mergeCell ref="WBD2:WBJ2"/>
    <mergeCell ref="WBK2:WBQ2"/>
    <mergeCell ref="WBR2:WBX2"/>
    <mergeCell ref="VZG2:VZM2"/>
    <mergeCell ref="VZN2:VZT2"/>
    <mergeCell ref="VZU2:WAA2"/>
    <mergeCell ref="WAB2:WAH2"/>
    <mergeCell ref="WAI2:WAO2"/>
    <mergeCell ref="VXX2:VYD2"/>
    <mergeCell ref="VYE2:VYK2"/>
    <mergeCell ref="VYL2:VYR2"/>
    <mergeCell ref="VYS2:VYY2"/>
    <mergeCell ref="VYZ2:VZF2"/>
    <mergeCell ref="VWO2:VWU2"/>
    <mergeCell ref="VWV2:VXB2"/>
    <mergeCell ref="VXC2:VXI2"/>
    <mergeCell ref="VXJ2:VXP2"/>
    <mergeCell ref="VXQ2:VXW2"/>
    <mergeCell ref="VVF2:VVL2"/>
    <mergeCell ref="VVM2:VVS2"/>
    <mergeCell ref="VVT2:VVZ2"/>
    <mergeCell ref="VWA2:VWG2"/>
    <mergeCell ref="VWH2:VWN2"/>
    <mergeCell ref="VTW2:VUC2"/>
    <mergeCell ref="VUD2:VUJ2"/>
    <mergeCell ref="VUK2:VUQ2"/>
    <mergeCell ref="VUR2:VUX2"/>
    <mergeCell ref="VUY2:VVE2"/>
    <mergeCell ref="VSN2:VST2"/>
    <mergeCell ref="VSU2:VTA2"/>
    <mergeCell ref="VTB2:VTH2"/>
    <mergeCell ref="VTI2:VTO2"/>
    <mergeCell ref="VTP2:VTV2"/>
    <mergeCell ref="VRE2:VRK2"/>
    <mergeCell ref="VRL2:VRR2"/>
    <mergeCell ref="VRS2:VRY2"/>
    <mergeCell ref="VRZ2:VSF2"/>
    <mergeCell ref="VSG2:VSM2"/>
    <mergeCell ref="VPV2:VQB2"/>
    <mergeCell ref="VQC2:VQI2"/>
    <mergeCell ref="VQJ2:VQP2"/>
    <mergeCell ref="VQQ2:VQW2"/>
    <mergeCell ref="VQX2:VRD2"/>
    <mergeCell ref="VOM2:VOS2"/>
    <mergeCell ref="VOT2:VOZ2"/>
    <mergeCell ref="VPA2:VPG2"/>
    <mergeCell ref="VPH2:VPN2"/>
    <mergeCell ref="VPO2:VPU2"/>
    <mergeCell ref="VND2:VNJ2"/>
    <mergeCell ref="VNK2:VNQ2"/>
    <mergeCell ref="VNR2:VNX2"/>
    <mergeCell ref="VNY2:VOE2"/>
    <mergeCell ref="VOF2:VOL2"/>
    <mergeCell ref="VLU2:VMA2"/>
    <mergeCell ref="VMB2:VMH2"/>
    <mergeCell ref="VMI2:VMO2"/>
    <mergeCell ref="VMP2:VMV2"/>
    <mergeCell ref="VMW2:VNC2"/>
    <mergeCell ref="VKL2:VKR2"/>
    <mergeCell ref="VKS2:VKY2"/>
    <mergeCell ref="VKZ2:VLF2"/>
    <mergeCell ref="VLG2:VLM2"/>
    <mergeCell ref="VLN2:VLT2"/>
    <mergeCell ref="VJC2:VJI2"/>
    <mergeCell ref="VJJ2:VJP2"/>
    <mergeCell ref="VJQ2:VJW2"/>
    <mergeCell ref="VJX2:VKD2"/>
    <mergeCell ref="VKE2:VKK2"/>
    <mergeCell ref="VHT2:VHZ2"/>
    <mergeCell ref="VIA2:VIG2"/>
    <mergeCell ref="VIH2:VIN2"/>
    <mergeCell ref="VIO2:VIU2"/>
    <mergeCell ref="VIV2:VJB2"/>
    <mergeCell ref="VGK2:VGQ2"/>
    <mergeCell ref="VGR2:VGX2"/>
    <mergeCell ref="VGY2:VHE2"/>
    <mergeCell ref="VHF2:VHL2"/>
    <mergeCell ref="VHM2:VHS2"/>
    <mergeCell ref="VFB2:VFH2"/>
    <mergeCell ref="VFI2:VFO2"/>
    <mergeCell ref="VFP2:VFV2"/>
    <mergeCell ref="VFW2:VGC2"/>
    <mergeCell ref="VGD2:VGJ2"/>
    <mergeCell ref="VDS2:VDY2"/>
    <mergeCell ref="VDZ2:VEF2"/>
    <mergeCell ref="VEG2:VEM2"/>
    <mergeCell ref="VEN2:VET2"/>
    <mergeCell ref="VEU2:VFA2"/>
    <mergeCell ref="VCJ2:VCP2"/>
    <mergeCell ref="VCQ2:VCW2"/>
    <mergeCell ref="VCX2:VDD2"/>
    <mergeCell ref="VDE2:VDK2"/>
    <mergeCell ref="VDL2:VDR2"/>
    <mergeCell ref="VBA2:VBG2"/>
    <mergeCell ref="VBH2:VBN2"/>
    <mergeCell ref="VBO2:VBU2"/>
    <mergeCell ref="VBV2:VCB2"/>
    <mergeCell ref="VCC2:VCI2"/>
    <mergeCell ref="UZR2:UZX2"/>
    <mergeCell ref="UZY2:VAE2"/>
    <mergeCell ref="VAF2:VAL2"/>
    <mergeCell ref="VAM2:VAS2"/>
    <mergeCell ref="VAT2:VAZ2"/>
    <mergeCell ref="UYI2:UYO2"/>
    <mergeCell ref="UYP2:UYV2"/>
    <mergeCell ref="UYW2:UZC2"/>
    <mergeCell ref="UZD2:UZJ2"/>
    <mergeCell ref="UZK2:UZQ2"/>
    <mergeCell ref="UWZ2:UXF2"/>
    <mergeCell ref="UXG2:UXM2"/>
    <mergeCell ref="UXN2:UXT2"/>
    <mergeCell ref="UXU2:UYA2"/>
    <mergeCell ref="UYB2:UYH2"/>
    <mergeCell ref="UVQ2:UVW2"/>
    <mergeCell ref="UVX2:UWD2"/>
    <mergeCell ref="UWE2:UWK2"/>
    <mergeCell ref="UWL2:UWR2"/>
    <mergeCell ref="UWS2:UWY2"/>
    <mergeCell ref="UUH2:UUN2"/>
    <mergeCell ref="UUO2:UUU2"/>
    <mergeCell ref="UUV2:UVB2"/>
    <mergeCell ref="UVC2:UVI2"/>
    <mergeCell ref="UVJ2:UVP2"/>
    <mergeCell ref="USY2:UTE2"/>
    <mergeCell ref="UTF2:UTL2"/>
    <mergeCell ref="UTM2:UTS2"/>
    <mergeCell ref="UTT2:UTZ2"/>
    <mergeCell ref="UUA2:UUG2"/>
    <mergeCell ref="URP2:URV2"/>
    <mergeCell ref="URW2:USC2"/>
    <mergeCell ref="USD2:USJ2"/>
    <mergeCell ref="USK2:USQ2"/>
    <mergeCell ref="USR2:USX2"/>
    <mergeCell ref="UQG2:UQM2"/>
    <mergeCell ref="UQN2:UQT2"/>
    <mergeCell ref="UQU2:URA2"/>
    <mergeCell ref="URB2:URH2"/>
    <mergeCell ref="URI2:URO2"/>
    <mergeCell ref="UOX2:UPD2"/>
    <mergeCell ref="UPE2:UPK2"/>
    <mergeCell ref="UPL2:UPR2"/>
    <mergeCell ref="UPS2:UPY2"/>
    <mergeCell ref="UPZ2:UQF2"/>
    <mergeCell ref="UNO2:UNU2"/>
    <mergeCell ref="UNV2:UOB2"/>
    <mergeCell ref="UOC2:UOI2"/>
    <mergeCell ref="UOJ2:UOP2"/>
    <mergeCell ref="UOQ2:UOW2"/>
    <mergeCell ref="UMF2:UML2"/>
    <mergeCell ref="UMM2:UMS2"/>
    <mergeCell ref="UMT2:UMZ2"/>
    <mergeCell ref="UNA2:UNG2"/>
    <mergeCell ref="UNH2:UNN2"/>
    <mergeCell ref="UKW2:ULC2"/>
    <mergeCell ref="ULD2:ULJ2"/>
    <mergeCell ref="ULK2:ULQ2"/>
    <mergeCell ref="ULR2:ULX2"/>
    <mergeCell ref="ULY2:UME2"/>
    <mergeCell ref="UJN2:UJT2"/>
    <mergeCell ref="UJU2:UKA2"/>
    <mergeCell ref="UKB2:UKH2"/>
    <mergeCell ref="UKI2:UKO2"/>
    <mergeCell ref="UKP2:UKV2"/>
    <mergeCell ref="UIE2:UIK2"/>
    <mergeCell ref="UIL2:UIR2"/>
    <mergeCell ref="UIS2:UIY2"/>
    <mergeCell ref="UIZ2:UJF2"/>
    <mergeCell ref="UJG2:UJM2"/>
    <mergeCell ref="UGV2:UHB2"/>
    <mergeCell ref="UHC2:UHI2"/>
    <mergeCell ref="UHJ2:UHP2"/>
    <mergeCell ref="UHQ2:UHW2"/>
    <mergeCell ref="UHX2:UID2"/>
    <mergeCell ref="UFM2:UFS2"/>
    <mergeCell ref="UFT2:UFZ2"/>
    <mergeCell ref="UGA2:UGG2"/>
    <mergeCell ref="UGH2:UGN2"/>
    <mergeCell ref="UGO2:UGU2"/>
    <mergeCell ref="UED2:UEJ2"/>
    <mergeCell ref="UEK2:UEQ2"/>
    <mergeCell ref="UER2:UEX2"/>
    <mergeCell ref="UEY2:UFE2"/>
    <mergeCell ref="UFF2:UFL2"/>
    <mergeCell ref="UCU2:UDA2"/>
    <mergeCell ref="UDB2:UDH2"/>
    <mergeCell ref="UDI2:UDO2"/>
    <mergeCell ref="UDP2:UDV2"/>
    <mergeCell ref="UDW2:UEC2"/>
    <mergeCell ref="UBL2:UBR2"/>
    <mergeCell ref="UBS2:UBY2"/>
    <mergeCell ref="UBZ2:UCF2"/>
    <mergeCell ref="UCG2:UCM2"/>
    <mergeCell ref="UCN2:UCT2"/>
    <mergeCell ref="UAC2:UAI2"/>
    <mergeCell ref="UAJ2:UAP2"/>
    <mergeCell ref="UAQ2:UAW2"/>
    <mergeCell ref="UAX2:UBD2"/>
    <mergeCell ref="UBE2:UBK2"/>
    <mergeCell ref="TYT2:TYZ2"/>
    <mergeCell ref="TZA2:TZG2"/>
    <mergeCell ref="TZH2:TZN2"/>
    <mergeCell ref="TZO2:TZU2"/>
    <mergeCell ref="TZV2:UAB2"/>
    <mergeCell ref="TXK2:TXQ2"/>
    <mergeCell ref="TXR2:TXX2"/>
    <mergeCell ref="TXY2:TYE2"/>
    <mergeCell ref="TYF2:TYL2"/>
    <mergeCell ref="TYM2:TYS2"/>
    <mergeCell ref="TWB2:TWH2"/>
    <mergeCell ref="TWI2:TWO2"/>
    <mergeCell ref="TWP2:TWV2"/>
    <mergeCell ref="TWW2:TXC2"/>
    <mergeCell ref="TXD2:TXJ2"/>
    <mergeCell ref="TUS2:TUY2"/>
    <mergeCell ref="TUZ2:TVF2"/>
    <mergeCell ref="TVG2:TVM2"/>
    <mergeCell ref="TVN2:TVT2"/>
    <mergeCell ref="TVU2:TWA2"/>
    <mergeCell ref="TTJ2:TTP2"/>
    <mergeCell ref="TTQ2:TTW2"/>
    <mergeCell ref="TTX2:TUD2"/>
    <mergeCell ref="TUE2:TUK2"/>
    <mergeCell ref="TUL2:TUR2"/>
    <mergeCell ref="TSA2:TSG2"/>
    <mergeCell ref="TSH2:TSN2"/>
    <mergeCell ref="TSO2:TSU2"/>
    <mergeCell ref="TSV2:TTB2"/>
    <mergeCell ref="TTC2:TTI2"/>
    <mergeCell ref="TQR2:TQX2"/>
    <mergeCell ref="TQY2:TRE2"/>
    <mergeCell ref="TRF2:TRL2"/>
    <mergeCell ref="TRM2:TRS2"/>
    <mergeCell ref="TRT2:TRZ2"/>
    <mergeCell ref="TPI2:TPO2"/>
    <mergeCell ref="TPP2:TPV2"/>
    <mergeCell ref="TPW2:TQC2"/>
    <mergeCell ref="TQD2:TQJ2"/>
    <mergeCell ref="TQK2:TQQ2"/>
    <mergeCell ref="TNZ2:TOF2"/>
    <mergeCell ref="TOG2:TOM2"/>
    <mergeCell ref="TON2:TOT2"/>
    <mergeCell ref="TOU2:TPA2"/>
    <mergeCell ref="TPB2:TPH2"/>
    <mergeCell ref="TMQ2:TMW2"/>
    <mergeCell ref="TMX2:TND2"/>
    <mergeCell ref="TNE2:TNK2"/>
    <mergeCell ref="TNL2:TNR2"/>
    <mergeCell ref="TNS2:TNY2"/>
    <mergeCell ref="TLH2:TLN2"/>
    <mergeCell ref="TLO2:TLU2"/>
    <mergeCell ref="TLV2:TMB2"/>
    <mergeCell ref="TMC2:TMI2"/>
    <mergeCell ref="TMJ2:TMP2"/>
    <mergeCell ref="TJY2:TKE2"/>
    <mergeCell ref="TKF2:TKL2"/>
    <mergeCell ref="TKM2:TKS2"/>
    <mergeCell ref="TKT2:TKZ2"/>
    <mergeCell ref="TLA2:TLG2"/>
    <mergeCell ref="TIP2:TIV2"/>
    <mergeCell ref="TIW2:TJC2"/>
    <mergeCell ref="TJD2:TJJ2"/>
    <mergeCell ref="TJK2:TJQ2"/>
    <mergeCell ref="TJR2:TJX2"/>
    <mergeCell ref="THG2:THM2"/>
    <mergeCell ref="THN2:THT2"/>
    <mergeCell ref="THU2:TIA2"/>
    <mergeCell ref="TIB2:TIH2"/>
    <mergeCell ref="TII2:TIO2"/>
    <mergeCell ref="TFX2:TGD2"/>
    <mergeCell ref="TGE2:TGK2"/>
    <mergeCell ref="TGL2:TGR2"/>
    <mergeCell ref="TGS2:TGY2"/>
    <mergeCell ref="TGZ2:THF2"/>
    <mergeCell ref="TEO2:TEU2"/>
    <mergeCell ref="TEV2:TFB2"/>
    <mergeCell ref="TFC2:TFI2"/>
    <mergeCell ref="TFJ2:TFP2"/>
    <mergeCell ref="TFQ2:TFW2"/>
    <mergeCell ref="TDF2:TDL2"/>
    <mergeCell ref="TDM2:TDS2"/>
    <mergeCell ref="TDT2:TDZ2"/>
    <mergeCell ref="TEA2:TEG2"/>
    <mergeCell ref="TEH2:TEN2"/>
    <mergeCell ref="TBW2:TCC2"/>
    <mergeCell ref="TCD2:TCJ2"/>
    <mergeCell ref="TCK2:TCQ2"/>
    <mergeCell ref="TCR2:TCX2"/>
    <mergeCell ref="TCY2:TDE2"/>
    <mergeCell ref="TAN2:TAT2"/>
    <mergeCell ref="TAU2:TBA2"/>
    <mergeCell ref="TBB2:TBH2"/>
    <mergeCell ref="TBI2:TBO2"/>
    <mergeCell ref="TBP2:TBV2"/>
    <mergeCell ref="SZE2:SZK2"/>
    <mergeCell ref="SZL2:SZR2"/>
    <mergeCell ref="SZS2:SZY2"/>
    <mergeCell ref="SZZ2:TAF2"/>
    <mergeCell ref="TAG2:TAM2"/>
    <mergeCell ref="SXV2:SYB2"/>
    <mergeCell ref="SYC2:SYI2"/>
    <mergeCell ref="SYJ2:SYP2"/>
    <mergeCell ref="SYQ2:SYW2"/>
    <mergeCell ref="SYX2:SZD2"/>
    <mergeCell ref="SWM2:SWS2"/>
    <mergeCell ref="SWT2:SWZ2"/>
    <mergeCell ref="SXA2:SXG2"/>
    <mergeCell ref="SXH2:SXN2"/>
    <mergeCell ref="SXO2:SXU2"/>
    <mergeCell ref="SVD2:SVJ2"/>
    <mergeCell ref="SVK2:SVQ2"/>
    <mergeCell ref="SVR2:SVX2"/>
    <mergeCell ref="SVY2:SWE2"/>
    <mergeCell ref="SWF2:SWL2"/>
    <mergeCell ref="STU2:SUA2"/>
    <mergeCell ref="SUB2:SUH2"/>
    <mergeCell ref="SUI2:SUO2"/>
    <mergeCell ref="SUP2:SUV2"/>
    <mergeCell ref="SUW2:SVC2"/>
    <mergeCell ref="SSL2:SSR2"/>
    <mergeCell ref="SSS2:SSY2"/>
    <mergeCell ref="SSZ2:STF2"/>
    <mergeCell ref="STG2:STM2"/>
    <mergeCell ref="STN2:STT2"/>
    <mergeCell ref="SRC2:SRI2"/>
    <mergeCell ref="SRJ2:SRP2"/>
    <mergeCell ref="SRQ2:SRW2"/>
    <mergeCell ref="SRX2:SSD2"/>
    <mergeCell ref="SSE2:SSK2"/>
    <mergeCell ref="SPT2:SPZ2"/>
    <mergeCell ref="SQA2:SQG2"/>
    <mergeCell ref="SQH2:SQN2"/>
    <mergeCell ref="SQO2:SQU2"/>
    <mergeCell ref="SQV2:SRB2"/>
    <mergeCell ref="SOK2:SOQ2"/>
    <mergeCell ref="SOR2:SOX2"/>
    <mergeCell ref="SOY2:SPE2"/>
    <mergeCell ref="SPF2:SPL2"/>
    <mergeCell ref="SPM2:SPS2"/>
    <mergeCell ref="SNB2:SNH2"/>
    <mergeCell ref="SNI2:SNO2"/>
    <mergeCell ref="SNP2:SNV2"/>
    <mergeCell ref="SNW2:SOC2"/>
    <mergeCell ref="SOD2:SOJ2"/>
    <mergeCell ref="SLS2:SLY2"/>
    <mergeCell ref="SLZ2:SMF2"/>
    <mergeCell ref="SMG2:SMM2"/>
    <mergeCell ref="SMN2:SMT2"/>
    <mergeCell ref="SMU2:SNA2"/>
    <mergeCell ref="SKJ2:SKP2"/>
    <mergeCell ref="SKQ2:SKW2"/>
    <mergeCell ref="SKX2:SLD2"/>
    <mergeCell ref="SLE2:SLK2"/>
    <mergeCell ref="SLL2:SLR2"/>
    <mergeCell ref="SJA2:SJG2"/>
    <mergeCell ref="SJH2:SJN2"/>
    <mergeCell ref="SJO2:SJU2"/>
    <mergeCell ref="SJV2:SKB2"/>
    <mergeCell ref="SKC2:SKI2"/>
    <mergeCell ref="SHR2:SHX2"/>
    <mergeCell ref="SHY2:SIE2"/>
    <mergeCell ref="SIF2:SIL2"/>
    <mergeCell ref="SIM2:SIS2"/>
    <mergeCell ref="SIT2:SIZ2"/>
    <mergeCell ref="SGI2:SGO2"/>
    <mergeCell ref="SGP2:SGV2"/>
    <mergeCell ref="SGW2:SHC2"/>
    <mergeCell ref="SHD2:SHJ2"/>
    <mergeCell ref="SHK2:SHQ2"/>
    <mergeCell ref="SEZ2:SFF2"/>
    <mergeCell ref="SFG2:SFM2"/>
    <mergeCell ref="SFN2:SFT2"/>
    <mergeCell ref="SFU2:SGA2"/>
    <mergeCell ref="SGB2:SGH2"/>
    <mergeCell ref="SDQ2:SDW2"/>
    <mergeCell ref="SDX2:SED2"/>
    <mergeCell ref="SEE2:SEK2"/>
    <mergeCell ref="SEL2:SER2"/>
    <mergeCell ref="SES2:SEY2"/>
    <mergeCell ref="SCH2:SCN2"/>
    <mergeCell ref="SCO2:SCU2"/>
    <mergeCell ref="SCV2:SDB2"/>
    <mergeCell ref="SDC2:SDI2"/>
    <mergeCell ref="SDJ2:SDP2"/>
    <mergeCell ref="SAY2:SBE2"/>
    <mergeCell ref="SBF2:SBL2"/>
    <mergeCell ref="SBM2:SBS2"/>
    <mergeCell ref="SBT2:SBZ2"/>
    <mergeCell ref="SCA2:SCG2"/>
    <mergeCell ref="RZP2:RZV2"/>
    <mergeCell ref="RZW2:SAC2"/>
    <mergeCell ref="SAD2:SAJ2"/>
    <mergeCell ref="SAK2:SAQ2"/>
    <mergeCell ref="SAR2:SAX2"/>
    <mergeCell ref="RYG2:RYM2"/>
    <mergeCell ref="RYN2:RYT2"/>
    <mergeCell ref="RYU2:RZA2"/>
    <mergeCell ref="RZB2:RZH2"/>
    <mergeCell ref="RZI2:RZO2"/>
    <mergeCell ref="RWX2:RXD2"/>
    <mergeCell ref="RXE2:RXK2"/>
    <mergeCell ref="RXL2:RXR2"/>
    <mergeCell ref="RXS2:RXY2"/>
    <mergeCell ref="RXZ2:RYF2"/>
    <mergeCell ref="RVO2:RVU2"/>
    <mergeCell ref="RVV2:RWB2"/>
    <mergeCell ref="RWC2:RWI2"/>
    <mergeCell ref="RWJ2:RWP2"/>
    <mergeCell ref="RWQ2:RWW2"/>
    <mergeCell ref="RUF2:RUL2"/>
    <mergeCell ref="RUM2:RUS2"/>
    <mergeCell ref="RUT2:RUZ2"/>
    <mergeCell ref="RVA2:RVG2"/>
    <mergeCell ref="RVH2:RVN2"/>
    <mergeCell ref="RSW2:RTC2"/>
    <mergeCell ref="RTD2:RTJ2"/>
    <mergeCell ref="RTK2:RTQ2"/>
    <mergeCell ref="RTR2:RTX2"/>
    <mergeCell ref="RTY2:RUE2"/>
    <mergeCell ref="RRN2:RRT2"/>
    <mergeCell ref="RRU2:RSA2"/>
    <mergeCell ref="RSB2:RSH2"/>
    <mergeCell ref="RSI2:RSO2"/>
    <mergeCell ref="RSP2:RSV2"/>
    <mergeCell ref="RQE2:RQK2"/>
    <mergeCell ref="RQL2:RQR2"/>
    <mergeCell ref="RQS2:RQY2"/>
    <mergeCell ref="RQZ2:RRF2"/>
    <mergeCell ref="RRG2:RRM2"/>
    <mergeCell ref="ROV2:RPB2"/>
    <mergeCell ref="RPC2:RPI2"/>
    <mergeCell ref="RPJ2:RPP2"/>
    <mergeCell ref="RPQ2:RPW2"/>
    <mergeCell ref="RPX2:RQD2"/>
    <mergeCell ref="RNM2:RNS2"/>
    <mergeCell ref="RNT2:RNZ2"/>
    <mergeCell ref="ROA2:ROG2"/>
    <mergeCell ref="ROH2:RON2"/>
    <mergeCell ref="ROO2:ROU2"/>
    <mergeCell ref="RMD2:RMJ2"/>
    <mergeCell ref="RMK2:RMQ2"/>
    <mergeCell ref="RMR2:RMX2"/>
    <mergeCell ref="RMY2:RNE2"/>
    <mergeCell ref="RNF2:RNL2"/>
    <mergeCell ref="RKU2:RLA2"/>
    <mergeCell ref="RLB2:RLH2"/>
    <mergeCell ref="RLI2:RLO2"/>
    <mergeCell ref="RLP2:RLV2"/>
    <mergeCell ref="RLW2:RMC2"/>
    <mergeCell ref="RJL2:RJR2"/>
    <mergeCell ref="RJS2:RJY2"/>
    <mergeCell ref="RJZ2:RKF2"/>
    <mergeCell ref="RKG2:RKM2"/>
    <mergeCell ref="RKN2:RKT2"/>
    <mergeCell ref="RIC2:RII2"/>
    <mergeCell ref="RIJ2:RIP2"/>
    <mergeCell ref="RIQ2:RIW2"/>
    <mergeCell ref="RIX2:RJD2"/>
    <mergeCell ref="RJE2:RJK2"/>
    <mergeCell ref="RGT2:RGZ2"/>
    <mergeCell ref="RHA2:RHG2"/>
    <mergeCell ref="RHH2:RHN2"/>
    <mergeCell ref="RHO2:RHU2"/>
    <mergeCell ref="RHV2:RIB2"/>
    <mergeCell ref="RFK2:RFQ2"/>
    <mergeCell ref="RFR2:RFX2"/>
    <mergeCell ref="RFY2:RGE2"/>
    <mergeCell ref="RGF2:RGL2"/>
    <mergeCell ref="RGM2:RGS2"/>
    <mergeCell ref="REB2:REH2"/>
    <mergeCell ref="REI2:REO2"/>
    <mergeCell ref="REP2:REV2"/>
    <mergeCell ref="REW2:RFC2"/>
    <mergeCell ref="RFD2:RFJ2"/>
    <mergeCell ref="RCS2:RCY2"/>
    <mergeCell ref="RCZ2:RDF2"/>
    <mergeCell ref="RDG2:RDM2"/>
    <mergeCell ref="RDN2:RDT2"/>
    <mergeCell ref="RDU2:REA2"/>
    <mergeCell ref="RBJ2:RBP2"/>
    <mergeCell ref="RBQ2:RBW2"/>
    <mergeCell ref="RBX2:RCD2"/>
    <mergeCell ref="RCE2:RCK2"/>
    <mergeCell ref="RCL2:RCR2"/>
    <mergeCell ref="RAA2:RAG2"/>
    <mergeCell ref="RAH2:RAN2"/>
    <mergeCell ref="RAO2:RAU2"/>
    <mergeCell ref="RAV2:RBB2"/>
    <mergeCell ref="RBC2:RBI2"/>
    <mergeCell ref="QYR2:QYX2"/>
    <mergeCell ref="QYY2:QZE2"/>
    <mergeCell ref="QZF2:QZL2"/>
    <mergeCell ref="QZM2:QZS2"/>
    <mergeCell ref="QZT2:QZZ2"/>
    <mergeCell ref="QXI2:QXO2"/>
    <mergeCell ref="QXP2:QXV2"/>
    <mergeCell ref="QXW2:QYC2"/>
    <mergeCell ref="QYD2:QYJ2"/>
    <mergeCell ref="QYK2:QYQ2"/>
    <mergeCell ref="QVZ2:QWF2"/>
    <mergeCell ref="QWG2:QWM2"/>
    <mergeCell ref="QWN2:QWT2"/>
    <mergeCell ref="QWU2:QXA2"/>
    <mergeCell ref="QXB2:QXH2"/>
    <mergeCell ref="QUQ2:QUW2"/>
    <mergeCell ref="QUX2:QVD2"/>
    <mergeCell ref="QVE2:QVK2"/>
    <mergeCell ref="QVL2:QVR2"/>
    <mergeCell ref="QVS2:QVY2"/>
    <mergeCell ref="QTH2:QTN2"/>
    <mergeCell ref="QTO2:QTU2"/>
    <mergeCell ref="QTV2:QUB2"/>
    <mergeCell ref="QUC2:QUI2"/>
    <mergeCell ref="QUJ2:QUP2"/>
    <mergeCell ref="QRY2:QSE2"/>
    <mergeCell ref="QSF2:QSL2"/>
    <mergeCell ref="QSM2:QSS2"/>
    <mergeCell ref="QST2:QSZ2"/>
    <mergeCell ref="QTA2:QTG2"/>
    <mergeCell ref="QQP2:QQV2"/>
    <mergeCell ref="QQW2:QRC2"/>
    <mergeCell ref="QRD2:QRJ2"/>
    <mergeCell ref="QRK2:QRQ2"/>
    <mergeCell ref="QRR2:QRX2"/>
    <mergeCell ref="QPG2:QPM2"/>
    <mergeCell ref="QPN2:QPT2"/>
    <mergeCell ref="QPU2:QQA2"/>
    <mergeCell ref="QQB2:QQH2"/>
    <mergeCell ref="QQI2:QQO2"/>
    <mergeCell ref="QNX2:QOD2"/>
    <mergeCell ref="QOE2:QOK2"/>
    <mergeCell ref="QOL2:QOR2"/>
    <mergeCell ref="QOS2:QOY2"/>
    <mergeCell ref="QOZ2:QPF2"/>
    <mergeCell ref="QMO2:QMU2"/>
    <mergeCell ref="QMV2:QNB2"/>
    <mergeCell ref="QNC2:QNI2"/>
    <mergeCell ref="QNJ2:QNP2"/>
    <mergeCell ref="QNQ2:QNW2"/>
    <mergeCell ref="QLF2:QLL2"/>
    <mergeCell ref="QLM2:QLS2"/>
    <mergeCell ref="QLT2:QLZ2"/>
    <mergeCell ref="QMA2:QMG2"/>
    <mergeCell ref="QMH2:QMN2"/>
    <mergeCell ref="QJW2:QKC2"/>
    <mergeCell ref="QKD2:QKJ2"/>
    <mergeCell ref="QKK2:QKQ2"/>
    <mergeCell ref="QKR2:QKX2"/>
    <mergeCell ref="QKY2:QLE2"/>
    <mergeCell ref="QIN2:QIT2"/>
    <mergeCell ref="QIU2:QJA2"/>
    <mergeCell ref="QJB2:QJH2"/>
    <mergeCell ref="QJI2:QJO2"/>
    <mergeCell ref="QJP2:QJV2"/>
    <mergeCell ref="QHE2:QHK2"/>
    <mergeCell ref="QHL2:QHR2"/>
    <mergeCell ref="QHS2:QHY2"/>
    <mergeCell ref="QHZ2:QIF2"/>
    <mergeCell ref="QIG2:QIM2"/>
    <mergeCell ref="QFV2:QGB2"/>
    <mergeCell ref="QGC2:QGI2"/>
    <mergeCell ref="QGJ2:QGP2"/>
    <mergeCell ref="QGQ2:QGW2"/>
    <mergeCell ref="QGX2:QHD2"/>
    <mergeCell ref="QEM2:QES2"/>
    <mergeCell ref="QET2:QEZ2"/>
    <mergeCell ref="QFA2:QFG2"/>
    <mergeCell ref="QFH2:QFN2"/>
    <mergeCell ref="QFO2:QFU2"/>
    <mergeCell ref="QDD2:QDJ2"/>
    <mergeCell ref="QDK2:QDQ2"/>
    <mergeCell ref="QDR2:QDX2"/>
    <mergeCell ref="QDY2:QEE2"/>
    <mergeCell ref="QEF2:QEL2"/>
    <mergeCell ref="QBU2:QCA2"/>
    <mergeCell ref="QCB2:QCH2"/>
    <mergeCell ref="QCI2:QCO2"/>
    <mergeCell ref="QCP2:QCV2"/>
    <mergeCell ref="QCW2:QDC2"/>
    <mergeCell ref="QAL2:QAR2"/>
    <mergeCell ref="QAS2:QAY2"/>
    <mergeCell ref="QAZ2:QBF2"/>
    <mergeCell ref="QBG2:QBM2"/>
    <mergeCell ref="QBN2:QBT2"/>
    <mergeCell ref="PZC2:PZI2"/>
    <mergeCell ref="PZJ2:PZP2"/>
    <mergeCell ref="PZQ2:PZW2"/>
    <mergeCell ref="PZX2:QAD2"/>
    <mergeCell ref="QAE2:QAK2"/>
    <mergeCell ref="PXT2:PXZ2"/>
    <mergeCell ref="PYA2:PYG2"/>
    <mergeCell ref="PYH2:PYN2"/>
    <mergeCell ref="PYO2:PYU2"/>
    <mergeCell ref="PYV2:PZB2"/>
    <mergeCell ref="PWK2:PWQ2"/>
    <mergeCell ref="PWR2:PWX2"/>
    <mergeCell ref="PWY2:PXE2"/>
    <mergeCell ref="PXF2:PXL2"/>
    <mergeCell ref="PXM2:PXS2"/>
    <mergeCell ref="PVB2:PVH2"/>
    <mergeCell ref="PVI2:PVO2"/>
    <mergeCell ref="PVP2:PVV2"/>
    <mergeCell ref="PVW2:PWC2"/>
    <mergeCell ref="PWD2:PWJ2"/>
    <mergeCell ref="PTS2:PTY2"/>
    <mergeCell ref="PTZ2:PUF2"/>
    <mergeCell ref="PUG2:PUM2"/>
    <mergeCell ref="PUN2:PUT2"/>
    <mergeCell ref="PUU2:PVA2"/>
    <mergeCell ref="PSJ2:PSP2"/>
    <mergeCell ref="PSQ2:PSW2"/>
    <mergeCell ref="PSX2:PTD2"/>
    <mergeCell ref="PTE2:PTK2"/>
    <mergeCell ref="PTL2:PTR2"/>
    <mergeCell ref="PRA2:PRG2"/>
    <mergeCell ref="PRH2:PRN2"/>
    <mergeCell ref="PRO2:PRU2"/>
    <mergeCell ref="PRV2:PSB2"/>
    <mergeCell ref="PSC2:PSI2"/>
    <mergeCell ref="PPR2:PPX2"/>
    <mergeCell ref="PPY2:PQE2"/>
    <mergeCell ref="PQF2:PQL2"/>
    <mergeCell ref="PQM2:PQS2"/>
    <mergeCell ref="PQT2:PQZ2"/>
    <mergeCell ref="POI2:POO2"/>
    <mergeCell ref="POP2:POV2"/>
    <mergeCell ref="POW2:PPC2"/>
    <mergeCell ref="PPD2:PPJ2"/>
    <mergeCell ref="PPK2:PPQ2"/>
    <mergeCell ref="PMZ2:PNF2"/>
    <mergeCell ref="PNG2:PNM2"/>
    <mergeCell ref="PNN2:PNT2"/>
    <mergeCell ref="PNU2:POA2"/>
    <mergeCell ref="POB2:POH2"/>
    <mergeCell ref="PLQ2:PLW2"/>
    <mergeCell ref="PLX2:PMD2"/>
    <mergeCell ref="PME2:PMK2"/>
    <mergeCell ref="PML2:PMR2"/>
    <mergeCell ref="PMS2:PMY2"/>
    <mergeCell ref="PKH2:PKN2"/>
    <mergeCell ref="PKO2:PKU2"/>
    <mergeCell ref="PKV2:PLB2"/>
    <mergeCell ref="PLC2:PLI2"/>
    <mergeCell ref="PLJ2:PLP2"/>
    <mergeCell ref="PIY2:PJE2"/>
    <mergeCell ref="PJF2:PJL2"/>
    <mergeCell ref="PJM2:PJS2"/>
    <mergeCell ref="PJT2:PJZ2"/>
    <mergeCell ref="PKA2:PKG2"/>
    <mergeCell ref="PHP2:PHV2"/>
    <mergeCell ref="PHW2:PIC2"/>
    <mergeCell ref="PID2:PIJ2"/>
    <mergeCell ref="PIK2:PIQ2"/>
    <mergeCell ref="PIR2:PIX2"/>
    <mergeCell ref="PGG2:PGM2"/>
    <mergeCell ref="PGN2:PGT2"/>
    <mergeCell ref="PGU2:PHA2"/>
    <mergeCell ref="PHB2:PHH2"/>
    <mergeCell ref="PHI2:PHO2"/>
    <mergeCell ref="PEX2:PFD2"/>
    <mergeCell ref="PFE2:PFK2"/>
    <mergeCell ref="PFL2:PFR2"/>
    <mergeCell ref="PFS2:PFY2"/>
    <mergeCell ref="PFZ2:PGF2"/>
    <mergeCell ref="PDO2:PDU2"/>
    <mergeCell ref="PDV2:PEB2"/>
    <mergeCell ref="PEC2:PEI2"/>
    <mergeCell ref="PEJ2:PEP2"/>
    <mergeCell ref="PEQ2:PEW2"/>
    <mergeCell ref="PCF2:PCL2"/>
    <mergeCell ref="PCM2:PCS2"/>
    <mergeCell ref="PCT2:PCZ2"/>
    <mergeCell ref="PDA2:PDG2"/>
    <mergeCell ref="PDH2:PDN2"/>
    <mergeCell ref="PAW2:PBC2"/>
    <mergeCell ref="PBD2:PBJ2"/>
    <mergeCell ref="PBK2:PBQ2"/>
    <mergeCell ref="PBR2:PBX2"/>
    <mergeCell ref="PBY2:PCE2"/>
    <mergeCell ref="OZN2:OZT2"/>
    <mergeCell ref="OZU2:PAA2"/>
    <mergeCell ref="PAB2:PAH2"/>
    <mergeCell ref="PAI2:PAO2"/>
    <mergeCell ref="PAP2:PAV2"/>
    <mergeCell ref="OYE2:OYK2"/>
    <mergeCell ref="OYL2:OYR2"/>
    <mergeCell ref="OYS2:OYY2"/>
    <mergeCell ref="OYZ2:OZF2"/>
    <mergeCell ref="OZG2:OZM2"/>
    <mergeCell ref="OWV2:OXB2"/>
    <mergeCell ref="OXC2:OXI2"/>
    <mergeCell ref="OXJ2:OXP2"/>
    <mergeCell ref="OXQ2:OXW2"/>
    <mergeCell ref="OXX2:OYD2"/>
    <mergeCell ref="OVM2:OVS2"/>
    <mergeCell ref="OVT2:OVZ2"/>
    <mergeCell ref="OWA2:OWG2"/>
    <mergeCell ref="OWH2:OWN2"/>
    <mergeCell ref="OWO2:OWU2"/>
    <mergeCell ref="OUD2:OUJ2"/>
    <mergeCell ref="OUK2:OUQ2"/>
    <mergeCell ref="OUR2:OUX2"/>
    <mergeCell ref="OUY2:OVE2"/>
    <mergeCell ref="OVF2:OVL2"/>
    <mergeCell ref="OSU2:OTA2"/>
    <mergeCell ref="OTB2:OTH2"/>
    <mergeCell ref="OTI2:OTO2"/>
    <mergeCell ref="OTP2:OTV2"/>
    <mergeCell ref="OTW2:OUC2"/>
    <mergeCell ref="ORL2:ORR2"/>
    <mergeCell ref="ORS2:ORY2"/>
    <mergeCell ref="ORZ2:OSF2"/>
    <mergeCell ref="OSG2:OSM2"/>
    <mergeCell ref="OSN2:OST2"/>
    <mergeCell ref="OQC2:OQI2"/>
    <mergeCell ref="OQJ2:OQP2"/>
    <mergeCell ref="OQQ2:OQW2"/>
    <mergeCell ref="OQX2:ORD2"/>
    <mergeCell ref="ORE2:ORK2"/>
    <mergeCell ref="OOT2:OOZ2"/>
    <mergeCell ref="OPA2:OPG2"/>
    <mergeCell ref="OPH2:OPN2"/>
    <mergeCell ref="OPO2:OPU2"/>
    <mergeCell ref="OPV2:OQB2"/>
    <mergeCell ref="ONK2:ONQ2"/>
    <mergeCell ref="ONR2:ONX2"/>
    <mergeCell ref="ONY2:OOE2"/>
    <mergeCell ref="OOF2:OOL2"/>
    <mergeCell ref="OOM2:OOS2"/>
    <mergeCell ref="OMB2:OMH2"/>
    <mergeCell ref="OMI2:OMO2"/>
    <mergeCell ref="OMP2:OMV2"/>
    <mergeCell ref="OMW2:ONC2"/>
    <mergeCell ref="OND2:ONJ2"/>
    <mergeCell ref="OKS2:OKY2"/>
    <mergeCell ref="OKZ2:OLF2"/>
    <mergeCell ref="OLG2:OLM2"/>
    <mergeCell ref="OLN2:OLT2"/>
    <mergeCell ref="OLU2:OMA2"/>
    <mergeCell ref="OJJ2:OJP2"/>
    <mergeCell ref="OJQ2:OJW2"/>
    <mergeCell ref="OJX2:OKD2"/>
    <mergeCell ref="OKE2:OKK2"/>
    <mergeCell ref="OKL2:OKR2"/>
    <mergeCell ref="OIA2:OIG2"/>
    <mergeCell ref="OIH2:OIN2"/>
    <mergeCell ref="OIO2:OIU2"/>
    <mergeCell ref="OIV2:OJB2"/>
    <mergeCell ref="OJC2:OJI2"/>
    <mergeCell ref="OGR2:OGX2"/>
    <mergeCell ref="OGY2:OHE2"/>
    <mergeCell ref="OHF2:OHL2"/>
    <mergeCell ref="OHM2:OHS2"/>
    <mergeCell ref="OHT2:OHZ2"/>
    <mergeCell ref="OFI2:OFO2"/>
    <mergeCell ref="OFP2:OFV2"/>
    <mergeCell ref="OFW2:OGC2"/>
    <mergeCell ref="OGD2:OGJ2"/>
    <mergeCell ref="OGK2:OGQ2"/>
    <mergeCell ref="ODZ2:OEF2"/>
    <mergeCell ref="OEG2:OEM2"/>
    <mergeCell ref="OEN2:OET2"/>
    <mergeCell ref="OEU2:OFA2"/>
    <mergeCell ref="OFB2:OFH2"/>
    <mergeCell ref="OCQ2:OCW2"/>
    <mergeCell ref="OCX2:ODD2"/>
    <mergeCell ref="ODE2:ODK2"/>
    <mergeCell ref="ODL2:ODR2"/>
    <mergeCell ref="ODS2:ODY2"/>
    <mergeCell ref="OBH2:OBN2"/>
    <mergeCell ref="OBO2:OBU2"/>
    <mergeCell ref="OBV2:OCB2"/>
    <mergeCell ref="OCC2:OCI2"/>
    <mergeCell ref="OCJ2:OCP2"/>
    <mergeCell ref="NZY2:OAE2"/>
    <mergeCell ref="OAF2:OAL2"/>
    <mergeCell ref="OAM2:OAS2"/>
    <mergeCell ref="OAT2:OAZ2"/>
    <mergeCell ref="OBA2:OBG2"/>
    <mergeCell ref="NYP2:NYV2"/>
    <mergeCell ref="NYW2:NZC2"/>
    <mergeCell ref="NZD2:NZJ2"/>
    <mergeCell ref="NZK2:NZQ2"/>
    <mergeCell ref="NZR2:NZX2"/>
    <mergeCell ref="NXG2:NXM2"/>
    <mergeCell ref="NXN2:NXT2"/>
    <mergeCell ref="NXU2:NYA2"/>
    <mergeCell ref="NYB2:NYH2"/>
    <mergeCell ref="NYI2:NYO2"/>
    <mergeCell ref="NVX2:NWD2"/>
    <mergeCell ref="NWE2:NWK2"/>
    <mergeCell ref="NWL2:NWR2"/>
    <mergeCell ref="NWS2:NWY2"/>
    <mergeCell ref="NWZ2:NXF2"/>
    <mergeCell ref="NUO2:NUU2"/>
    <mergeCell ref="NUV2:NVB2"/>
    <mergeCell ref="NVC2:NVI2"/>
    <mergeCell ref="NVJ2:NVP2"/>
    <mergeCell ref="NVQ2:NVW2"/>
    <mergeCell ref="NTF2:NTL2"/>
    <mergeCell ref="NTM2:NTS2"/>
    <mergeCell ref="NTT2:NTZ2"/>
    <mergeCell ref="NUA2:NUG2"/>
    <mergeCell ref="NUH2:NUN2"/>
    <mergeCell ref="NRW2:NSC2"/>
    <mergeCell ref="NSD2:NSJ2"/>
    <mergeCell ref="NSK2:NSQ2"/>
    <mergeCell ref="NSR2:NSX2"/>
    <mergeCell ref="NSY2:NTE2"/>
    <mergeCell ref="NQN2:NQT2"/>
    <mergeCell ref="NQU2:NRA2"/>
    <mergeCell ref="NRB2:NRH2"/>
    <mergeCell ref="NRI2:NRO2"/>
    <mergeCell ref="NRP2:NRV2"/>
    <mergeCell ref="NPE2:NPK2"/>
    <mergeCell ref="NPL2:NPR2"/>
    <mergeCell ref="NPS2:NPY2"/>
    <mergeCell ref="NPZ2:NQF2"/>
    <mergeCell ref="NQG2:NQM2"/>
    <mergeCell ref="NNV2:NOB2"/>
    <mergeCell ref="NOC2:NOI2"/>
    <mergeCell ref="NOJ2:NOP2"/>
    <mergeCell ref="NOQ2:NOW2"/>
    <mergeCell ref="NOX2:NPD2"/>
    <mergeCell ref="NMM2:NMS2"/>
    <mergeCell ref="NMT2:NMZ2"/>
    <mergeCell ref="NNA2:NNG2"/>
    <mergeCell ref="NNH2:NNN2"/>
    <mergeCell ref="NNO2:NNU2"/>
    <mergeCell ref="NLD2:NLJ2"/>
    <mergeCell ref="NLK2:NLQ2"/>
    <mergeCell ref="NLR2:NLX2"/>
    <mergeCell ref="NLY2:NME2"/>
    <mergeCell ref="NMF2:NML2"/>
    <mergeCell ref="NJU2:NKA2"/>
    <mergeCell ref="NKB2:NKH2"/>
    <mergeCell ref="NKI2:NKO2"/>
    <mergeCell ref="NKP2:NKV2"/>
    <mergeCell ref="NKW2:NLC2"/>
    <mergeCell ref="NIL2:NIR2"/>
    <mergeCell ref="NIS2:NIY2"/>
    <mergeCell ref="NIZ2:NJF2"/>
    <mergeCell ref="NJG2:NJM2"/>
    <mergeCell ref="NJN2:NJT2"/>
    <mergeCell ref="NHC2:NHI2"/>
    <mergeCell ref="NHJ2:NHP2"/>
    <mergeCell ref="NHQ2:NHW2"/>
    <mergeCell ref="NHX2:NID2"/>
    <mergeCell ref="NIE2:NIK2"/>
    <mergeCell ref="NFT2:NFZ2"/>
    <mergeCell ref="NGA2:NGG2"/>
    <mergeCell ref="NGH2:NGN2"/>
    <mergeCell ref="NGO2:NGU2"/>
    <mergeCell ref="NGV2:NHB2"/>
    <mergeCell ref="NEK2:NEQ2"/>
    <mergeCell ref="NER2:NEX2"/>
    <mergeCell ref="NEY2:NFE2"/>
    <mergeCell ref="NFF2:NFL2"/>
    <mergeCell ref="NFM2:NFS2"/>
    <mergeCell ref="NDB2:NDH2"/>
    <mergeCell ref="NDI2:NDO2"/>
    <mergeCell ref="NDP2:NDV2"/>
    <mergeCell ref="NDW2:NEC2"/>
    <mergeCell ref="NED2:NEJ2"/>
    <mergeCell ref="NBS2:NBY2"/>
    <mergeCell ref="NBZ2:NCF2"/>
    <mergeCell ref="NCG2:NCM2"/>
    <mergeCell ref="NCN2:NCT2"/>
    <mergeCell ref="NCU2:NDA2"/>
    <mergeCell ref="NAJ2:NAP2"/>
    <mergeCell ref="NAQ2:NAW2"/>
    <mergeCell ref="NAX2:NBD2"/>
    <mergeCell ref="NBE2:NBK2"/>
    <mergeCell ref="NBL2:NBR2"/>
    <mergeCell ref="MZA2:MZG2"/>
    <mergeCell ref="MZH2:MZN2"/>
    <mergeCell ref="MZO2:MZU2"/>
    <mergeCell ref="MZV2:NAB2"/>
    <mergeCell ref="NAC2:NAI2"/>
    <mergeCell ref="MXR2:MXX2"/>
    <mergeCell ref="MXY2:MYE2"/>
    <mergeCell ref="MYF2:MYL2"/>
    <mergeCell ref="MYM2:MYS2"/>
    <mergeCell ref="MYT2:MYZ2"/>
    <mergeCell ref="MWI2:MWO2"/>
    <mergeCell ref="MWP2:MWV2"/>
    <mergeCell ref="MWW2:MXC2"/>
    <mergeCell ref="MXD2:MXJ2"/>
    <mergeCell ref="MXK2:MXQ2"/>
    <mergeCell ref="MUZ2:MVF2"/>
    <mergeCell ref="MVG2:MVM2"/>
    <mergeCell ref="MVN2:MVT2"/>
    <mergeCell ref="MVU2:MWA2"/>
    <mergeCell ref="MWB2:MWH2"/>
    <mergeCell ref="MTQ2:MTW2"/>
    <mergeCell ref="MTX2:MUD2"/>
    <mergeCell ref="MUE2:MUK2"/>
    <mergeCell ref="MUL2:MUR2"/>
    <mergeCell ref="MUS2:MUY2"/>
    <mergeCell ref="MSH2:MSN2"/>
    <mergeCell ref="MSO2:MSU2"/>
    <mergeCell ref="MSV2:MTB2"/>
    <mergeCell ref="MTC2:MTI2"/>
    <mergeCell ref="MTJ2:MTP2"/>
    <mergeCell ref="MQY2:MRE2"/>
    <mergeCell ref="MRF2:MRL2"/>
    <mergeCell ref="MRM2:MRS2"/>
    <mergeCell ref="MRT2:MRZ2"/>
    <mergeCell ref="MSA2:MSG2"/>
    <mergeCell ref="MPP2:MPV2"/>
    <mergeCell ref="MPW2:MQC2"/>
    <mergeCell ref="MQD2:MQJ2"/>
    <mergeCell ref="MQK2:MQQ2"/>
    <mergeCell ref="MQR2:MQX2"/>
    <mergeCell ref="MOG2:MOM2"/>
    <mergeCell ref="MON2:MOT2"/>
    <mergeCell ref="MOU2:MPA2"/>
    <mergeCell ref="MPB2:MPH2"/>
    <mergeCell ref="MPI2:MPO2"/>
    <mergeCell ref="MMX2:MND2"/>
    <mergeCell ref="MNE2:MNK2"/>
    <mergeCell ref="MNL2:MNR2"/>
    <mergeCell ref="MNS2:MNY2"/>
    <mergeCell ref="MNZ2:MOF2"/>
    <mergeCell ref="MLO2:MLU2"/>
    <mergeCell ref="MLV2:MMB2"/>
    <mergeCell ref="MMC2:MMI2"/>
    <mergeCell ref="MMJ2:MMP2"/>
    <mergeCell ref="MMQ2:MMW2"/>
    <mergeCell ref="MKF2:MKL2"/>
    <mergeCell ref="MKM2:MKS2"/>
    <mergeCell ref="MKT2:MKZ2"/>
    <mergeCell ref="MLA2:MLG2"/>
    <mergeCell ref="MLH2:MLN2"/>
    <mergeCell ref="MIW2:MJC2"/>
    <mergeCell ref="MJD2:MJJ2"/>
    <mergeCell ref="MJK2:MJQ2"/>
    <mergeCell ref="MJR2:MJX2"/>
    <mergeCell ref="MJY2:MKE2"/>
    <mergeCell ref="MHN2:MHT2"/>
    <mergeCell ref="MHU2:MIA2"/>
    <mergeCell ref="MIB2:MIH2"/>
    <mergeCell ref="MII2:MIO2"/>
    <mergeCell ref="MIP2:MIV2"/>
    <mergeCell ref="MGE2:MGK2"/>
    <mergeCell ref="MGL2:MGR2"/>
    <mergeCell ref="MGS2:MGY2"/>
    <mergeCell ref="MGZ2:MHF2"/>
    <mergeCell ref="MHG2:MHM2"/>
    <mergeCell ref="MEV2:MFB2"/>
    <mergeCell ref="MFC2:MFI2"/>
    <mergeCell ref="MFJ2:MFP2"/>
    <mergeCell ref="MFQ2:MFW2"/>
    <mergeCell ref="MFX2:MGD2"/>
    <mergeCell ref="MDM2:MDS2"/>
    <mergeCell ref="MDT2:MDZ2"/>
    <mergeCell ref="MEA2:MEG2"/>
    <mergeCell ref="MEH2:MEN2"/>
    <mergeCell ref="MEO2:MEU2"/>
    <mergeCell ref="MCD2:MCJ2"/>
    <mergeCell ref="MCK2:MCQ2"/>
    <mergeCell ref="MCR2:MCX2"/>
    <mergeCell ref="MCY2:MDE2"/>
    <mergeCell ref="MDF2:MDL2"/>
    <mergeCell ref="MAU2:MBA2"/>
    <mergeCell ref="MBB2:MBH2"/>
    <mergeCell ref="MBI2:MBO2"/>
    <mergeCell ref="MBP2:MBV2"/>
    <mergeCell ref="MBW2:MCC2"/>
    <mergeCell ref="LZL2:LZR2"/>
    <mergeCell ref="LZS2:LZY2"/>
    <mergeCell ref="LZZ2:MAF2"/>
    <mergeCell ref="MAG2:MAM2"/>
    <mergeCell ref="MAN2:MAT2"/>
    <mergeCell ref="LYC2:LYI2"/>
    <mergeCell ref="LYJ2:LYP2"/>
    <mergeCell ref="LYQ2:LYW2"/>
    <mergeCell ref="LYX2:LZD2"/>
    <mergeCell ref="LZE2:LZK2"/>
    <mergeCell ref="LWT2:LWZ2"/>
    <mergeCell ref="LXA2:LXG2"/>
    <mergeCell ref="LXH2:LXN2"/>
    <mergeCell ref="LXO2:LXU2"/>
    <mergeCell ref="LXV2:LYB2"/>
    <mergeCell ref="LVK2:LVQ2"/>
    <mergeCell ref="LVR2:LVX2"/>
    <mergeCell ref="LVY2:LWE2"/>
    <mergeCell ref="LWF2:LWL2"/>
    <mergeCell ref="LWM2:LWS2"/>
    <mergeCell ref="LUB2:LUH2"/>
    <mergeCell ref="LUI2:LUO2"/>
    <mergeCell ref="LUP2:LUV2"/>
    <mergeCell ref="LUW2:LVC2"/>
    <mergeCell ref="LVD2:LVJ2"/>
    <mergeCell ref="LSS2:LSY2"/>
    <mergeCell ref="LSZ2:LTF2"/>
    <mergeCell ref="LTG2:LTM2"/>
    <mergeCell ref="LTN2:LTT2"/>
    <mergeCell ref="LTU2:LUA2"/>
    <mergeCell ref="LRJ2:LRP2"/>
    <mergeCell ref="LRQ2:LRW2"/>
    <mergeCell ref="LRX2:LSD2"/>
    <mergeCell ref="LSE2:LSK2"/>
    <mergeCell ref="LSL2:LSR2"/>
    <mergeCell ref="LQA2:LQG2"/>
    <mergeCell ref="LQH2:LQN2"/>
    <mergeCell ref="LQO2:LQU2"/>
    <mergeCell ref="LQV2:LRB2"/>
    <mergeCell ref="LRC2:LRI2"/>
    <mergeCell ref="LOR2:LOX2"/>
    <mergeCell ref="LOY2:LPE2"/>
    <mergeCell ref="LPF2:LPL2"/>
    <mergeCell ref="LPM2:LPS2"/>
    <mergeCell ref="LPT2:LPZ2"/>
    <mergeCell ref="LNI2:LNO2"/>
    <mergeCell ref="LNP2:LNV2"/>
    <mergeCell ref="LNW2:LOC2"/>
    <mergeCell ref="LOD2:LOJ2"/>
    <mergeCell ref="LOK2:LOQ2"/>
    <mergeCell ref="LLZ2:LMF2"/>
    <mergeCell ref="LMG2:LMM2"/>
    <mergeCell ref="LMN2:LMT2"/>
    <mergeCell ref="LMU2:LNA2"/>
    <mergeCell ref="LNB2:LNH2"/>
    <mergeCell ref="LKQ2:LKW2"/>
    <mergeCell ref="LKX2:LLD2"/>
    <mergeCell ref="LLE2:LLK2"/>
    <mergeCell ref="LLL2:LLR2"/>
    <mergeCell ref="LLS2:LLY2"/>
    <mergeCell ref="LJH2:LJN2"/>
    <mergeCell ref="LJO2:LJU2"/>
    <mergeCell ref="LJV2:LKB2"/>
    <mergeCell ref="LKC2:LKI2"/>
    <mergeCell ref="LKJ2:LKP2"/>
    <mergeCell ref="LHY2:LIE2"/>
    <mergeCell ref="LIF2:LIL2"/>
    <mergeCell ref="LIM2:LIS2"/>
    <mergeCell ref="LIT2:LIZ2"/>
    <mergeCell ref="LJA2:LJG2"/>
    <mergeCell ref="LGP2:LGV2"/>
    <mergeCell ref="LGW2:LHC2"/>
    <mergeCell ref="LHD2:LHJ2"/>
    <mergeCell ref="LHK2:LHQ2"/>
    <mergeCell ref="LHR2:LHX2"/>
    <mergeCell ref="LFG2:LFM2"/>
    <mergeCell ref="LFN2:LFT2"/>
    <mergeCell ref="LFU2:LGA2"/>
    <mergeCell ref="LGB2:LGH2"/>
    <mergeCell ref="LGI2:LGO2"/>
    <mergeCell ref="LDX2:LED2"/>
    <mergeCell ref="LEE2:LEK2"/>
    <mergeCell ref="LEL2:LER2"/>
    <mergeCell ref="LES2:LEY2"/>
    <mergeCell ref="LEZ2:LFF2"/>
    <mergeCell ref="LCO2:LCU2"/>
    <mergeCell ref="LCV2:LDB2"/>
    <mergeCell ref="LDC2:LDI2"/>
    <mergeCell ref="LDJ2:LDP2"/>
    <mergeCell ref="LDQ2:LDW2"/>
    <mergeCell ref="LBF2:LBL2"/>
    <mergeCell ref="LBM2:LBS2"/>
    <mergeCell ref="LBT2:LBZ2"/>
    <mergeCell ref="LCA2:LCG2"/>
    <mergeCell ref="LCH2:LCN2"/>
    <mergeCell ref="KZW2:LAC2"/>
    <mergeCell ref="LAD2:LAJ2"/>
    <mergeCell ref="LAK2:LAQ2"/>
    <mergeCell ref="LAR2:LAX2"/>
    <mergeCell ref="LAY2:LBE2"/>
    <mergeCell ref="KYN2:KYT2"/>
    <mergeCell ref="KYU2:KZA2"/>
    <mergeCell ref="KZB2:KZH2"/>
    <mergeCell ref="KZI2:KZO2"/>
    <mergeCell ref="KZP2:KZV2"/>
    <mergeCell ref="KXE2:KXK2"/>
    <mergeCell ref="KXL2:KXR2"/>
    <mergeCell ref="KXS2:KXY2"/>
    <mergeCell ref="KXZ2:KYF2"/>
    <mergeCell ref="KYG2:KYM2"/>
    <mergeCell ref="KVV2:KWB2"/>
    <mergeCell ref="KWC2:KWI2"/>
    <mergeCell ref="KWJ2:KWP2"/>
    <mergeCell ref="KWQ2:KWW2"/>
    <mergeCell ref="KWX2:KXD2"/>
    <mergeCell ref="KUM2:KUS2"/>
    <mergeCell ref="KUT2:KUZ2"/>
    <mergeCell ref="KVA2:KVG2"/>
    <mergeCell ref="KVH2:KVN2"/>
    <mergeCell ref="KVO2:KVU2"/>
    <mergeCell ref="KTD2:KTJ2"/>
    <mergeCell ref="KTK2:KTQ2"/>
    <mergeCell ref="KTR2:KTX2"/>
    <mergeCell ref="KTY2:KUE2"/>
    <mergeCell ref="KUF2:KUL2"/>
    <mergeCell ref="KRU2:KSA2"/>
    <mergeCell ref="KSB2:KSH2"/>
    <mergeCell ref="KSI2:KSO2"/>
    <mergeCell ref="KSP2:KSV2"/>
    <mergeCell ref="KSW2:KTC2"/>
    <mergeCell ref="KQL2:KQR2"/>
    <mergeCell ref="KQS2:KQY2"/>
    <mergeCell ref="KQZ2:KRF2"/>
    <mergeCell ref="KRG2:KRM2"/>
    <mergeCell ref="KRN2:KRT2"/>
    <mergeCell ref="KPC2:KPI2"/>
    <mergeCell ref="KPJ2:KPP2"/>
    <mergeCell ref="KPQ2:KPW2"/>
    <mergeCell ref="KPX2:KQD2"/>
    <mergeCell ref="KQE2:KQK2"/>
    <mergeCell ref="KNT2:KNZ2"/>
    <mergeCell ref="KOA2:KOG2"/>
    <mergeCell ref="KOH2:KON2"/>
    <mergeCell ref="KOO2:KOU2"/>
    <mergeCell ref="KOV2:KPB2"/>
    <mergeCell ref="KMK2:KMQ2"/>
    <mergeCell ref="KMR2:KMX2"/>
    <mergeCell ref="KMY2:KNE2"/>
    <mergeCell ref="KNF2:KNL2"/>
    <mergeCell ref="KNM2:KNS2"/>
    <mergeCell ref="KLB2:KLH2"/>
    <mergeCell ref="KLI2:KLO2"/>
    <mergeCell ref="KLP2:KLV2"/>
    <mergeCell ref="KLW2:KMC2"/>
    <mergeCell ref="KMD2:KMJ2"/>
    <mergeCell ref="KJS2:KJY2"/>
    <mergeCell ref="KJZ2:KKF2"/>
    <mergeCell ref="KKG2:KKM2"/>
    <mergeCell ref="KKN2:KKT2"/>
    <mergeCell ref="KKU2:KLA2"/>
    <mergeCell ref="KIJ2:KIP2"/>
    <mergeCell ref="KIQ2:KIW2"/>
    <mergeCell ref="KIX2:KJD2"/>
    <mergeCell ref="KJE2:KJK2"/>
    <mergeCell ref="KJL2:KJR2"/>
    <mergeCell ref="KHA2:KHG2"/>
    <mergeCell ref="KHH2:KHN2"/>
    <mergeCell ref="KHO2:KHU2"/>
    <mergeCell ref="KHV2:KIB2"/>
    <mergeCell ref="KIC2:KII2"/>
    <mergeCell ref="KFR2:KFX2"/>
    <mergeCell ref="KFY2:KGE2"/>
    <mergeCell ref="KGF2:KGL2"/>
    <mergeCell ref="KGM2:KGS2"/>
    <mergeCell ref="KGT2:KGZ2"/>
    <mergeCell ref="KEI2:KEO2"/>
    <mergeCell ref="KEP2:KEV2"/>
    <mergeCell ref="KEW2:KFC2"/>
    <mergeCell ref="KFD2:KFJ2"/>
    <mergeCell ref="KFK2:KFQ2"/>
    <mergeCell ref="KCZ2:KDF2"/>
    <mergeCell ref="KDG2:KDM2"/>
    <mergeCell ref="KDN2:KDT2"/>
    <mergeCell ref="KDU2:KEA2"/>
    <mergeCell ref="KEB2:KEH2"/>
    <mergeCell ref="KBQ2:KBW2"/>
    <mergeCell ref="KBX2:KCD2"/>
    <mergeCell ref="KCE2:KCK2"/>
    <mergeCell ref="KCL2:KCR2"/>
    <mergeCell ref="KCS2:KCY2"/>
    <mergeCell ref="KAH2:KAN2"/>
    <mergeCell ref="KAO2:KAU2"/>
    <mergeCell ref="KAV2:KBB2"/>
    <mergeCell ref="KBC2:KBI2"/>
    <mergeCell ref="KBJ2:KBP2"/>
    <mergeCell ref="JYY2:JZE2"/>
    <mergeCell ref="JZF2:JZL2"/>
    <mergeCell ref="JZM2:JZS2"/>
    <mergeCell ref="JZT2:JZZ2"/>
    <mergeCell ref="KAA2:KAG2"/>
    <mergeCell ref="JXP2:JXV2"/>
    <mergeCell ref="JXW2:JYC2"/>
    <mergeCell ref="JYD2:JYJ2"/>
    <mergeCell ref="JYK2:JYQ2"/>
    <mergeCell ref="JYR2:JYX2"/>
    <mergeCell ref="JWG2:JWM2"/>
    <mergeCell ref="JWN2:JWT2"/>
    <mergeCell ref="JWU2:JXA2"/>
    <mergeCell ref="JXB2:JXH2"/>
    <mergeCell ref="JXI2:JXO2"/>
    <mergeCell ref="JUX2:JVD2"/>
    <mergeCell ref="JVE2:JVK2"/>
    <mergeCell ref="JVL2:JVR2"/>
    <mergeCell ref="JVS2:JVY2"/>
    <mergeCell ref="JVZ2:JWF2"/>
    <mergeCell ref="JTO2:JTU2"/>
    <mergeCell ref="JTV2:JUB2"/>
    <mergeCell ref="JUC2:JUI2"/>
    <mergeCell ref="JUJ2:JUP2"/>
    <mergeCell ref="JUQ2:JUW2"/>
    <mergeCell ref="JSF2:JSL2"/>
    <mergeCell ref="JSM2:JSS2"/>
    <mergeCell ref="JST2:JSZ2"/>
    <mergeCell ref="JTA2:JTG2"/>
    <mergeCell ref="JTH2:JTN2"/>
    <mergeCell ref="JQW2:JRC2"/>
    <mergeCell ref="JRD2:JRJ2"/>
    <mergeCell ref="JRK2:JRQ2"/>
    <mergeCell ref="JRR2:JRX2"/>
    <mergeCell ref="JRY2:JSE2"/>
    <mergeCell ref="JPN2:JPT2"/>
    <mergeCell ref="JPU2:JQA2"/>
    <mergeCell ref="JQB2:JQH2"/>
    <mergeCell ref="JQI2:JQO2"/>
    <mergeCell ref="JQP2:JQV2"/>
    <mergeCell ref="JOE2:JOK2"/>
    <mergeCell ref="JOL2:JOR2"/>
    <mergeCell ref="JOS2:JOY2"/>
    <mergeCell ref="JOZ2:JPF2"/>
    <mergeCell ref="JPG2:JPM2"/>
    <mergeCell ref="JMV2:JNB2"/>
    <mergeCell ref="JNC2:JNI2"/>
    <mergeCell ref="JNJ2:JNP2"/>
    <mergeCell ref="JNQ2:JNW2"/>
    <mergeCell ref="JNX2:JOD2"/>
    <mergeCell ref="JLM2:JLS2"/>
    <mergeCell ref="JLT2:JLZ2"/>
    <mergeCell ref="JMA2:JMG2"/>
    <mergeCell ref="JMH2:JMN2"/>
    <mergeCell ref="JMO2:JMU2"/>
    <mergeCell ref="JKD2:JKJ2"/>
    <mergeCell ref="JKK2:JKQ2"/>
    <mergeCell ref="JKR2:JKX2"/>
    <mergeCell ref="JKY2:JLE2"/>
    <mergeCell ref="JLF2:JLL2"/>
    <mergeCell ref="JIU2:JJA2"/>
    <mergeCell ref="JJB2:JJH2"/>
    <mergeCell ref="JJI2:JJO2"/>
    <mergeCell ref="JJP2:JJV2"/>
    <mergeCell ref="JJW2:JKC2"/>
    <mergeCell ref="JHL2:JHR2"/>
    <mergeCell ref="JHS2:JHY2"/>
    <mergeCell ref="JHZ2:JIF2"/>
    <mergeCell ref="JIG2:JIM2"/>
    <mergeCell ref="JIN2:JIT2"/>
    <mergeCell ref="JGC2:JGI2"/>
    <mergeCell ref="JGJ2:JGP2"/>
    <mergeCell ref="JGQ2:JGW2"/>
    <mergeCell ref="JGX2:JHD2"/>
    <mergeCell ref="JHE2:JHK2"/>
    <mergeCell ref="JET2:JEZ2"/>
    <mergeCell ref="JFA2:JFG2"/>
    <mergeCell ref="JFH2:JFN2"/>
    <mergeCell ref="JFO2:JFU2"/>
    <mergeCell ref="JFV2:JGB2"/>
    <mergeCell ref="JDK2:JDQ2"/>
    <mergeCell ref="JDR2:JDX2"/>
    <mergeCell ref="JDY2:JEE2"/>
    <mergeCell ref="JEF2:JEL2"/>
    <mergeCell ref="JEM2:JES2"/>
    <mergeCell ref="JCB2:JCH2"/>
    <mergeCell ref="JCI2:JCO2"/>
    <mergeCell ref="JCP2:JCV2"/>
    <mergeCell ref="JCW2:JDC2"/>
    <mergeCell ref="JDD2:JDJ2"/>
    <mergeCell ref="JAS2:JAY2"/>
    <mergeCell ref="JAZ2:JBF2"/>
    <mergeCell ref="JBG2:JBM2"/>
    <mergeCell ref="JBN2:JBT2"/>
    <mergeCell ref="JBU2:JCA2"/>
    <mergeCell ref="IZJ2:IZP2"/>
    <mergeCell ref="IZQ2:IZW2"/>
    <mergeCell ref="IZX2:JAD2"/>
    <mergeCell ref="JAE2:JAK2"/>
    <mergeCell ref="JAL2:JAR2"/>
    <mergeCell ref="IYA2:IYG2"/>
    <mergeCell ref="IYH2:IYN2"/>
    <mergeCell ref="IYO2:IYU2"/>
    <mergeCell ref="IYV2:IZB2"/>
    <mergeCell ref="IZC2:IZI2"/>
    <mergeCell ref="IWR2:IWX2"/>
    <mergeCell ref="IWY2:IXE2"/>
    <mergeCell ref="IXF2:IXL2"/>
    <mergeCell ref="IXM2:IXS2"/>
    <mergeCell ref="IXT2:IXZ2"/>
    <mergeCell ref="IVI2:IVO2"/>
    <mergeCell ref="IVP2:IVV2"/>
    <mergeCell ref="IVW2:IWC2"/>
    <mergeCell ref="IWD2:IWJ2"/>
    <mergeCell ref="IWK2:IWQ2"/>
    <mergeCell ref="ITZ2:IUF2"/>
    <mergeCell ref="IUG2:IUM2"/>
    <mergeCell ref="IUN2:IUT2"/>
    <mergeCell ref="IUU2:IVA2"/>
    <mergeCell ref="IVB2:IVH2"/>
    <mergeCell ref="ISQ2:ISW2"/>
    <mergeCell ref="ISX2:ITD2"/>
    <mergeCell ref="ITE2:ITK2"/>
    <mergeCell ref="ITL2:ITR2"/>
    <mergeCell ref="ITS2:ITY2"/>
    <mergeCell ref="IRH2:IRN2"/>
    <mergeCell ref="IRO2:IRU2"/>
    <mergeCell ref="IRV2:ISB2"/>
    <mergeCell ref="ISC2:ISI2"/>
    <mergeCell ref="ISJ2:ISP2"/>
    <mergeCell ref="IPY2:IQE2"/>
    <mergeCell ref="IQF2:IQL2"/>
    <mergeCell ref="IQM2:IQS2"/>
    <mergeCell ref="IQT2:IQZ2"/>
    <mergeCell ref="IRA2:IRG2"/>
    <mergeCell ref="IOP2:IOV2"/>
    <mergeCell ref="IOW2:IPC2"/>
    <mergeCell ref="IPD2:IPJ2"/>
    <mergeCell ref="IPK2:IPQ2"/>
    <mergeCell ref="IPR2:IPX2"/>
    <mergeCell ref="ING2:INM2"/>
    <mergeCell ref="INN2:INT2"/>
    <mergeCell ref="INU2:IOA2"/>
    <mergeCell ref="IOB2:IOH2"/>
    <mergeCell ref="IOI2:IOO2"/>
    <mergeCell ref="ILX2:IMD2"/>
    <mergeCell ref="IME2:IMK2"/>
    <mergeCell ref="IML2:IMR2"/>
    <mergeCell ref="IMS2:IMY2"/>
    <mergeCell ref="IMZ2:INF2"/>
    <mergeCell ref="IKO2:IKU2"/>
    <mergeCell ref="IKV2:ILB2"/>
    <mergeCell ref="ILC2:ILI2"/>
    <mergeCell ref="ILJ2:ILP2"/>
    <mergeCell ref="ILQ2:ILW2"/>
    <mergeCell ref="IJF2:IJL2"/>
    <mergeCell ref="IJM2:IJS2"/>
    <mergeCell ref="IJT2:IJZ2"/>
    <mergeCell ref="IKA2:IKG2"/>
    <mergeCell ref="IKH2:IKN2"/>
    <mergeCell ref="IHW2:IIC2"/>
    <mergeCell ref="IID2:IIJ2"/>
    <mergeCell ref="IIK2:IIQ2"/>
    <mergeCell ref="IIR2:IIX2"/>
    <mergeCell ref="IIY2:IJE2"/>
    <mergeCell ref="IGN2:IGT2"/>
    <mergeCell ref="IGU2:IHA2"/>
    <mergeCell ref="IHB2:IHH2"/>
    <mergeCell ref="IHI2:IHO2"/>
    <mergeCell ref="IHP2:IHV2"/>
    <mergeCell ref="IFE2:IFK2"/>
    <mergeCell ref="IFL2:IFR2"/>
    <mergeCell ref="IFS2:IFY2"/>
    <mergeCell ref="IFZ2:IGF2"/>
    <mergeCell ref="IGG2:IGM2"/>
    <mergeCell ref="IDV2:IEB2"/>
    <mergeCell ref="IEC2:IEI2"/>
    <mergeCell ref="IEJ2:IEP2"/>
    <mergeCell ref="IEQ2:IEW2"/>
    <mergeCell ref="IEX2:IFD2"/>
    <mergeCell ref="ICM2:ICS2"/>
    <mergeCell ref="ICT2:ICZ2"/>
    <mergeCell ref="IDA2:IDG2"/>
    <mergeCell ref="IDH2:IDN2"/>
    <mergeCell ref="IDO2:IDU2"/>
    <mergeCell ref="IBD2:IBJ2"/>
    <mergeCell ref="IBK2:IBQ2"/>
    <mergeCell ref="IBR2:IBX2"/>
    <mergeCell ref="IBY2:ICE2"/>
    <mergeCell ref="ICF2:ICL2"/>
    <mergeCell ref="HZU2:IAA2"/>
    <mergeCell ref="IAB2:IAH2"/>
    <mergeCell ref="IAI2:IAO2"/>
    <mergeCell ref="IAP2:IAV2"/>
    <mergeCell ref="IAW2:IBC2"/>
    <mergeCell ref="HYL2:HYR2"/>
    <mergeCell ref="HYS2:HYY2"/>
    <mergeCell ref="HYZ2:HZF2"/>
    <mergeCell ref="HZG2:HZM2"/>
    <mergeCell ref="HZN2:HZT2"/>
    <mergeCell ref="HXC2:HXI2"/>
    <mergeCell ref="HXJ2:HXP2"/>
    <mergeCell ref="HXQ2:HXW2"/>
    <mergeCell ref="HXX2:HYD2"/>
    <mergeCell ref="HYE2:HYK2"/>
    <mergeCell ref="HVT2:HVZ2"/>
    <mergeCell ref="HWA2:HWG2"/>
    <mergeCell ref="HWH2:HWN2"/>
    <mergeCell ref="HWO2:HWU2"/>
    <mergeCell ref="HWV2:HXB2"/>
    <mergeCell ref="HUK2:HUQ2"/>
    <mergeCell ref="HUR2:HUX2"/>
    <mergeCell ref="HUY2:HVE2"/>
    <mergeCell ref="HVF2:HVL2"/>
    <mergeCell ref="HVM2:HVS2"/>
    <mergeCell ref="HTB2:HTH2"/>
    <mergeCell ref="HTI2:HTO2"/>
    <mergeCell ref="HTP2:HTV2"/>
    <mergeCell ref="HTW2:HUC2"/>
    <mergeCell ref="HUD2:HUJ2"/>
    <mergeCell ref="HRS2:HRY2"/>
    <mergeCell ref="HRZ2:HSF2"/>
    <mergeCell ref="HSG2:HSM2"/>
    <mergeCell ref="HSN2:HST2"/>
    <mergeCell ref="HSU2:HTA2"/>
    <mergeCell ref="HQJ2:HQP2"/>
    <mergeCell ref="HQQ2:HQW2"/>
    <mergeCell ref="HQX2:HRD2"/>
    <mergeCell ref="HRE2:HRK2"/>
    <mergeCell ref="HRL2:HRR2"/>
    <mergeCell ref="HPA2:HPG2"/>
    <mergeCell ref="HPH2:HPN2"/>
    <mergeCell ref="HPO2:HPU2"/>
    <mergeCell ref="HPV2:HQB2"/>
    <mergeCell ref="HQC2:HQI2"/>
    <mergeCell ref="HNR2:HNX2"/>
    <mergeCell ref="HNY2:HOE2"/>
    <mergeCell ref="HOF2:HOL2"/>
    <mergeCell ref="HOM2:HOS2"/>
    <mergeCell ref="HOT2:HOZ2"/>
    <mergeCell ref="HMI2:HMO2"/>
    <mergeCell ref="HMP2:HMV2"/>
    <mergeCell ref="HMW2:HNC2"/>
    <mergeCell ref="HND2:HNJ2"/>
    <mergeCell ref="HNK2:HNQ2"/>
    <mergeCell ref="HKZ2:HLF2"/>
    <mergeCell ref="HLG2:HLM2"/>
    <mergeCell ref="HLN2:HLT2"/>
    <mergeCell ref="HLU2:HMA2"/>
    <mergeCell ref="HMB2:HMH2"/>
    <mergeCell ref="HJQ2:HJW2"/>
    <mergeCell ref="HJX2:HKD2"/>
    <mergeCell ref="HKE2:HKK2"/>
    <mergeCell ref="HKL2:HKR2"/>
    <mergeCell ref="HKS2:HKY2"/>
    <mergeCell ref="HIH2:HIN2"/>
    <mergeCell ref="HIO2:HIU2"/>
    <mergeCell ref="HIV2:HJB2"/>
    <mergeCell ref="HJC2:HJI2"/>
    <mergeCell ref="HJJ2:HJP2"/>
    <mergeCell ref="HGY2:HHE2"/>
    <mergeCell ref="HHF2:HHL2"/>
    <mergeCell ref="HHM2:HHS2"/>
    <mergeCell ref="HHT2:HHZ2"/>
    <mergeCell ref="HIA2:HIG2"/>
    <mergeCell ref="HFP2:HFV2"/>
    <mergeCell ref="HFW2:HGC2"/>
    <mergeCell ref="HGD2:HGJ2"/>
    <mergeCell ref="HGK2:HGQ2"/>
    <mergeCell ref="HGR2:HGX2"/>
    <mergeCell ref="HEG2:HEM2"/>
    <mergeCell ref="HEN2:HET2"/>
    <mergeCell ref="HEU2:HFA2"/>
    <mergeCell ref="HFB2:HFH2"/>
    <mergeCell ref="HFI2:HFO2"/>
    <mergeCell ref="HCX2:HDD2"/>
    <mergeCell ref="HDE2:HDK2"/>
    <mergeCell ref="HDL2:HDR2"/>
    <mergeCell ref="HDS2:HDY2"/>
    <mergeCell ref="HDZ2:HEF2"/>
    <mergeCell ref="HBO2:HBU2"/>
    <mergeCell ref="HBV2:HCB2"/>
    <mergeCell ref="HCC2:HCI2"/>
    <mergeCell ref="HCJ2:HCP2"/>
    <mergeCell ref="HCQ2:HCW2"/>
    <mergeCell ref="HAF2:HAL2"/>
    <mergeCell ref="HAM2:HAS2"/>
    <mergeCell ref="HAT2:HAZ2"/>
    <mergeCell ref="HBA2:HBG2"/>
    <mergeCell ref="HBH2:HBN2"/>
    <mergeCell ref="GYW2:GZC2"/>
    <mergeCell ref="GZD2:GZJ2"/>
    <mergeCell ref="GZK2:GZQ2"/>
    <mergeCell ref="GZR2:GZX2"/>
    <mergeCell ref="GZY2:HAE2"/>
    <mergeCell ref="GXN2:GXT2"/>
    <mergeCell ref="GXU2:GYA2"/>
    <mergeCell ref="GYB2:GYH2"/>
    <mergeCell ref="GYI2:GYO2"/>
    <mergeCell ref="GYP2:GYV2"/>
    <mergeCell ref="GWE2:GWK2"/>
    <mergeCell ref="GWL2:GWR2"/>
    <mergeCell ref="GWS2:GWY2"/>
    <mergeCell ref="GWZ2:GXF2"/>
    <mergeCell ref="GXG2:GXM2"/>
    <mergeCell ref="GUV2:GVB2"/>
    <mergeCell ref="GVC2:GVI2"/>
    <mergeCell ref="GVJ2:GVP2"/>
    <mergeCell ref="GVQ2:GVW2"/>
    <mergeCell ref="GVX2:GWD2"/>
    <mergeCell ref="GTM2:GTS2"/>
    <mergeCell ref="GTT2:GTZ2"/>
    <mergeCell ref="GUA2:GUG2"/>
    <mergeCell ref="GUH2:GUN2"/>
    <mergeCell ref="GUO2:GUU2"/>
    <mergeCell ref="GSD2:GSJ2"/>
    <mergeCell ref="GSK2:GSQ2"/>
    <mergeCell ref="GSR2:GSX2"/>
    <mergeCell ref="GSY2:GTE2"/>
    <mergeCell ref="GTF2:GTL2"/>
    <mergeCell ref="GQU2:GRA2"/>
    <mergeCell ref="GRB2:GRH2"/>
    <mergeCell ref="GRI2:GRO2"/>
    <mergeCell ref="GRP2:GRV2"/>
    <mergeCell ref="GRW2:GSC2"/>
    <mergeCell ref="GPL2:GPR2"/>
    <mergeCell ref="GPS2:GPY2"/>
    <mergeCell ref="GPZ2:GQF2"/>
    <mergeCell ref="GQG2:GQM2"/>
    <mergeCell ref="GQN2:GQT2"/>
    <mergeCell ref="GOC2:GOI2"/>
    <mergeCell ref="GOJ2:GOP2"/>
    <mergeCell ref="GOQ2:GOW2"/>
    <mergeCell ref="GOX2:GPD2"/>
    <mergeCell ref="GPE2:GPK2"/>
    <mergeCell ref="GMT2:GMZ2"/>
    <mergeCell ref="GNA2:GNG2"/>
    <mergeCell ref="GNH2:GNN2"/>
    <mergeCell ref="GNO2:GNU2"/>
    <mergeCell ref="GNV2:GOB2"/>
    <mergeCell ref="GLK2:GLQ2"/>
    <mergeCell ref="GLR2:GLX2"/>
    <mergeCell ref="GLY2:GME2"/>
    <mergeCell ref="GMF2:GML2"/>
    <mergeCell ref="GMM2:GMS2"/>
    <mergeCell ref="GKB2:GKH2"/>
    <mergeCell ref="GKI2:GKO2"/>
    <mergeCell ref="GKP2:GKV2"/>
    <mergeCell ref="GKW2:GLC2"/>
    <mergeCell ref="GLD2:GLJ2"/>
    <mergeCell ref="GIS2:GIY2"/>
    <mergeCell ref="GIZ2:GJF2"/>
    <mergeCell ref="GJG2:GJM2"/>
    <mergeCell ref="GJN2:GJT2"/>
    <mergeCell ref="GJU2:GKA2"/>
    <mergeCell ref="GHJ2:GHP2"/>
    <mergeCell ref="GHQ2:GHW2"/>
    <mergeCell ref="GHX2:GID2"/>
    <mergeCell ref="GIE2:GIK2"/>
    <mergeCell ref="GIL2:GIR2"/>
    <mergeCell ref="GGA2:GGG2"/>
    <mergeCell ref="GGH2:GGN2"/>
    <mergeCell ref="GGO2:GGU2"/>
    <mergeCell ref="GGV2:GHB2"/>
    <mergeCell ref="GHC2:GHI2"/>
    <mergeCell ref="GER2:GEX2"/>
    <mergeCell ref="GEY2:GFE2"/>
    <mergeCell ref="GFF2:GFL2"/>
    <mergeCell ref="GFM2:GFS2"/>
    <mergeCell ref="GFT2:GFZ2"/>
    <mergeCell ref="GDI2:GDO2"/>
    <mergeCell ref="GDP2:GDV2"/>
    <mergeCell ref="GDW2:GEC2"/>
    <mergeCell ref="GED2:GEJ2"/>
    <mergeCell ref="GEK2:GEQ2"/>
    <mergeCell ref="GBZ2:GCF2"/>
    <mergeCell ref="GCG2:GCM2"/>
    <mergeCell ref="GCN2:GCT2"/>
    <mergeCell ref="GCU2:GDA2"/>
    <mergeCell ref="GDB2:GDH2"/>
    <mergeCell ref="GAQ2:GAW2"/>
    <mergeCell ref="GAX2:GBD2"/>
    <mergeCell ref="GBE2:GBK2"/>
    <mergeCell ref="GBL2:GBR2"/>
    <mergeCell ref="GBS2:GBY2"/>
    <mergeCell ref="FZH2:FZN2"/>
    <mergeCell ref="FZO2:FZU2"/>
    <mergeCell ref="FZV2:GAB2"/>
    <mergeCell ref="GAC2:GAI2"/>
    <mergeCell ref="GAJ2:GAP2"/>
    <mergeCell ref="FXY2:FYE2"/>
    <mergeCell ref="FYF2:FYL2"/>
    <mergeCell ref="FYM2:FYS2"/>
    <mergeCell ref="FYT2:FYZ2"/>
    <mergeCell ref="FZA2:FZG2"/>
    <mergeCell ref="FWP2:FWV2"/>
    <mergeCell ref="FWW2:FXC2"/>
    <mergeCell ref="FXD2:FXJ2"/>
    <mergeCell ref="FXK2:FXQ2"/>
    <mergeCell ref="FXR2:FXX2"/>
    <mergeCell ref="FVG2:FVM2"/>
    <mergeCell ref="FVN2:FVT2"/>
    <mergeCell ref="FVU2:FWA2"/>
    <mergeCell ref="FWB2:FWH2"/>
    <mergeCell ref="FWI2:FWO2"/>
    <mergeCell ref="FTX2:FUD2"/>
    <mergeCell ref="FUE2:FUK2"/>
    <mergeCell ref="FUL2:FUR2"/>
    <mergeCell ref="FUS2:FUY2"/>
    <mergeCell ref="FUZ2:FVF2"/>
    <mergeCell ref="FSO2:FSU2"/>
    <mergeCell ref="FSV2:FTB2"/>
    <mergeCell ref="FTC2:FTI2"/>
    <mergeCell ref="FTJ2:FTP2"/>
    <mergeCell ref="FTQ2:FTW2"/>
    <mergeCell ref="FRF2:FRL2"/>
    <mergeCell ref="FRM2:FRS2"/>
    <mergeCell ref="FRT2:FRZ2"/>
    <mergeCell ref="FSA2:FSG2"/>
    <mergeCell ref="FSH2:FSN2"/>
    <mergeCell ref="FPW2:FQC2"/>
    <mergeCell ref="FQD2:FQJ2"/>
    <mergeCell ref="FQK2:FQQ2"/>
    <mergeCell ref="FQR2:FQX2"/>
    <mergeCell ref="FQY2:FRE2"/>
    <mergeCell ref="FON2:FOT2"/>
    <mergeCell ref="FOU2:FPA2"/>
    <mergeCell ref="FPB2:FPH2"/>
    <mergeCell ref="FPI2:FPO2"/>
    <mergeCell ref="FPP2:FPV2"/>
    <mergeCell ref="FNE2:FNK2"/>
    <mergeCell ref="FNL2:FNR2"/>
    <mergeCell ref="FNS2:FNY2"/>
    <mergeCell ref="FNZ2:FOF2"/>
    <mergeCell ref="FOG2:FOM2"/>
    <mergeCell ref="FLV2:FMB2"/>
    <mergeCell ref="FMC2:FMI2"/>
    <mergeCell ref="FMJ2:FMP2"/>
    <mergeCell ref="FMQ2:FMW2"/>
    <mergeCell ref="FMX2:FND2"/>
    <mergeCell ref="FKM2:FKS2"/>
    <mergeCell ref="FKT2:FKZ2"/>
    <mergeCell ref="FLA2:FLG2"/>
    <mergeCell ref="FLH2:FLN2"/>
    <mergeCell ref="FLO2:FLU2"/>
    <mergeCell ref="FJD2:FJJ2"/>
    <mergeCell ref="FJK2:FJQ2"/>
    <mergeCell ref="FJR2:FJX2"/>
    <mergeCell ref="FJY2:FKE2"/>
    <mergeCell ref="FKF2:FKL2"/>
    <mergeCell ref="FHU2:FIA2"/>
    <mergeCell ref="FIB2:FIH2"/>
    <mergeCell ref="FII2:FIO2"/>
    <mergeCell ref="FIP2:FIV2"/>
    <mergeCell ref="FIW2:FJC2"/>
    <mergeCell ref="FGL2:FGR2"/>
    <mergeCell ref="FGS2:FGY2"/>
    <mergeCell ref="FGZ2:FHF2"/>
    <mergeCell ref="FHG2:FHM2"/>
    <mergeCell ref="FHN2:FHT2"/>
    <mergeCell ref="FFC2:FFI2"/>
    <mergeCell ref="FFJ2:FFP2"/>
    <mergeCell ref="FFQ2:FFW2"/>
    <mergeCell ref="FFX2:FGD2"/>
    <mergeCell ref="FGE2:FGK2"/>
    <mergeCell ref="FDT2:FDZ2"/>
    <mergeCell ref="FEA2:FEG2"/>
    <mergeCell ref="FEH2:FEN2"/>
    <mergeCell ref="FEO2:FEU2"/>
    <mergeCell ref="FEV2:FFB2"/>
    <mergeCell ref="FCK2:FCQ2"/>
    <mergeCell ref="FCR2:FCX2"/>
    <mergeCell ref="FCY2:FDE2"/>
    <mergeCell ref="FDF2:FDL2"/>
    <mergeCell ref="FDM2:FDS2"/>
    <mergeCell ref="FBB2:FBH2"/>
    <mergeCell ref="FBI2:FBO2"/>
    <mergeCell ref="FBP2:FBV2"/>
    <mergeCell ref="FBW2:FCC2"/>
    <mergeCell ref="FCD2:FCJ2"/>
    <mergeCell ref="EZS2:EZY2"/>
    <mergeCell ref="EZZ2:FAF2"/>
    <mergeCell ref="FAG2:FAM2"/>
    <mergeCell ref="FAN2:FAT2"/>
    <mergeCell ref="FAU2:FBA2"/>
    <mergeCell ref="EYJ2:EYP2"/>
    <mergeCell ref="EYQ2:EYW2"/>
    <mergeCell ref="EYX2:EZD2"/>
    <mergeCell ref="EZE2:EZK2"/>
    <mergeCell ref="EZL2:EZR2"/>
    <mergeCell ref="EXA2:EXG2"/>
    <mergeCell ref="EXH2:EXN2"/>
    <mergeCell ref="EXO2:EXU2"/>
    <mergeCell ref="EXV2:EYB2"/>
    <mergeCell ref="EYC2:EYI2"/>
    <mergeCell ref="EVR2:EVX2"/>
    <mergeCell ref="EVY2:EWE2"/>
    <mergeCell ref="EWF2:EWL2"/>
    <mergeCell ref="EWM2:EWS2"/>
    <mergeCell ref="EWT2:EWZ2"/>
    <mergeCell ref="EUI2:EUO2"/>
    <mergeCell ref="EUP2:EUV2"/>
    <mergeCell ref="EUW2:EVC2"/>
    <mergeCell ref="EVD2:EVJ2"/>
    <mergeCell ref="EVK2:EVQ2"/>
    <mergeCell ref="ESZ2:ETF2"/>
    <mergeCell ref="ETG2:ETM2"/>
    <mergeCell ref="ETN2:ETT2"/>
    <mergeCell ref="ETU2:EUA2"/>
    <mergeCell ref="EUB2:EUH2"/>
    <mergeCell ref="ERQ2:ERW2"/>
    <mergeCell ref="ERX2:ESD2"/>
    <mergeCell ref="ESE2:ESK2"/>
    <mergeCell ref="ESL2:ESR2"/>
    <mergeCell ref="ESS2:ESY2"/>
    <mergeCell ref="EQH2:EQN2"/>
    <mergeCell ref="EQO2:EQU2"/>
    <mergeCell ref="EQV2:ERB2"/>
    <mergeCell ref="ERC2:ERI2"/>
    <mergeCell ref="ERJ2:ERP2"/>
    <mergeCell ref="EOY2:EPE2"/>
    <mergeCell ref="EPF2:EPL2"/>
    <mergeCell ref="EPM2:EPS2"/>
    <mergeCell ref="EPT2:EPZ2"/>
    <mergeCell ref="EQA2:EQG2"/>
    <mergeCell ref="ENP2:ENV2"/>
    <mergeCell ref="ENW2:EOC2"/>
    <mergeCell ref="EOD2:EOJ2"/>
    <mergeCell ref="EOK2:EOQ2"/>
    <mergeCell ref="EOR2:EOX2"/>
    <mergeCell ref="EMG2:EMM2"/>
    <mergeCell ref="EMN2:EMT2"/>
    <mergeCell ref="EMU2:ENA2"/>
    <mergeCell ref="ENB2:ENH2"/>
    <mergeCell ref="ENI2:ENO2"/>
    <mergeCell ref="EKX2:ELD2"/>
    <mergeCell ref="ELE2:ELK2"/>
    <mergeCell ref="ELL2:ELR2"/>
    <mergeCell ref="ELS2:ELY2"/>
    <mergeCell ref="ELZ2:EMF2"/>
    <mergeCell ref="EJO2:EJU2"/>
    <mergeCell ref="EJV2:EKB2"/>
    <mergeCell ref="EKC2:EKI2"/>
    <mergeCell ref="EKJ2:EKP2"/>
    <mergeCell ref="EKQ2:EKW2"/>
    <mergeCell ref="EIF2:EIL2"/>
    <mergeCell ref="EIM2:EIS2"/>
    <mergeCell ref="EIT2:EIZ2"/>
    <mergeCell ref="EJA2:EJG2"/>
    <mergeCell ref="EJH2:EJN2"/>
    <mergeCell ref="EGW2:EHC2"/>
    <mergeCell ref="EHD2:EHJ2"/>
    <mergeCell ref="EHK2:EHQ2"/>
    <mergeCell ref="EHR2:EHX2"/>
    <mergeCell ref="EHY2:EIE2"/>
    <mergeCell ref="EFN2:EFT2"/>
    <mergeCell ref="EFU2:EGA2"/>
    <mergeCell ref="EGB2:EGH2"/>
    <mergeCell ref="EGI2:EGO2"/>
    <mergeCell ref="EGP2:EGV2"/>
    <mergeCell ref="EEE2:EEK2"/>
    <mergeCell ref="EEL2:EER2"/>
    <mergeCell ref="EES2:EEY2"/>
    <mergeCell ref="EEZ2:EFF2"/>
    <mergeCell ref="EFG2:EFM2"/>
    <mergeCell ref="ECV2:EDB2"/>
    <mergeCell ref="EDC2:EDI2"/>
    <mergeCell ref="EDJ2:EDP2"/>
    <mergeCell ref="EDQ2:EDW2"/>
    <mergeCell ref="EDX2:EED2"/>
    <mergeCell ref="EBM2:EBS2"/>
    <mergeCell ref="EBT2:EBZ2"/>
    <mergeCell ref="ECA2:ECG2"/>
    <mergeCell ref="ECH2:ECN2"/>
    <mergeCell ref="ECO2:ECU2"/>
    <mergeCell ref="EAD2:EAJ2"/>
    <mergeCell ref="EAK2:EAQ2"/>
    <mergeCell ref="EAR2:EAX2"/>
    <mergeCell ref="EAY2:EBE2"/>
    <mergeCell ref="EBF2:EBL2"/>
    <mergeCell ref="DYU2:DZA2"/>
    <mergeCell ref="DZB2:DZH2"/>
    <mergeCell ref="DZI2:DZO2"/>
    <mergeCell ref="DZP2:DZV2"/>
    <mergeCell ref="DZW2:EAC2"/>
    <mergeCell ref="DXL2:DXR2"/>
    <mergeCell ref="DXS2:DXY2"/>
    <mergeCell ref="DXZ2:DYF2"/>
    <mergeCell ref="DYG2:DYM2"/>
    <mergeCell ref="DYN2:DYT2"/>
    <mergeCell ref="DWC2:DWI2"/>
    <mergeCell ref="DWJ2:DWP2"/>
    <mergeCell ref="DWQ2:DWW2"/>
    <mergeCell ref="DWX2:DXD2"/>
    <mergeCell ref="DXE2:DXK2"/>
    <mergeCell ref="DUT2:DUZ2"/>
    <mergeCell ref="DVA2:DVG2"/>
    <mergeCell ref="DVH2:DVN2"/>
    <mergeCell ref="DVO2:DVU2"/>
    <mergeCell ref="DVV2:DWB2"/>
    <mergeCell ref="DTK2:DTQ2"/>
    <mergeCell ref="DTR2:DTX2"/>
    <mergeCell ref="DTY2:DUE2"/>
    <mergeCell ref="DUF2:DUL2"/>
    <mergeCell ref="DUM2:DUS2"/>
    <mergeCell ref="DSB2:DSH2"/>
    <mergeCell ref="DSI2:DSO2"/>
    <mergeCell ref="DSP2:DSV2"/>
    <mergeCell ref="DSW2:DTC2"/>
    <mergeCell ref="DTD2:DTJ2"/>
    <mergeCell ref="DQS2:DQY2"/>
    <mergeCell ref="DQZ2:DRF2"/>
    <mergeCell ref="DRG2:DRM2"/>
    <mergeCell ref="DRN2:DRT2"/>
    <mergeCell ref="DRU2:DSA2"/>
    <mergeCell ref="DPJ2:DPP2"/>
    <mergeCell ref="DPQ2:DPW2"/>
    <mergeCell ref="DPX2:DQD2"/>
    <mergeCell ref="DQE2:DQK2"/>
    <mergeCell ref="DQL2:DQR2"/>
    <mergeCell ref="DOA2:DOG2"/>
    <mergeCell ref="DOH2:DON2"/>
    <mergeCell ref="DOO2:DOU2"/>
    <mergeCell ref="DOV2:DPB2"/>
    <mergeCell ref="DPC2:DPI2"/>
    <mergeCell ref="DMR2:DMX2"/>
    <mergeCell ref="DMY2:DNE2"/>
    <mergeCell ref="DNF2:DNL2"/>
    <mergeCell ref="DNM2:DNS2"/>
    <mergeCell ref="DNT2:DNZ2"/>
    <mergeCell ref="DLI2:DLO2"/>
    <mergeCell ref="DLP2:DLV2"/>
    <mergeCell ref="DLW2:DMC2"/>
    <mergeCell ref="DMD2:DMJ2"/>
    <mergeCell ref="DMK2:DMQ2"/>
    <mergeCell ref="DJZ2:DKF2"/>
    <mergeCell ref="DKG2:DKM2"/>
    <mergeCell ref="DKN2:DKT2"/>
    <mergeCell ref="DKU2:DLA2"/>
    <mergeCell ref="DLB2:DLH2"/>
    <mergeCell ref="DIQ2:DIW2"/>
    <mergeCell ref="DIX2:DJD2"/>
    <mergeCell ref="DJE2:DJK2"/>
    <mergeCell ref="DJL2:DJR2"/>
    <mergeCell ref="DJS2:DJY2"/>
    <mergeCell ref="DHH2:DHN2"/>
    <mergeCell ref="DHO2:DHU2"/>
    <mergeCell ref="DHV2:DIB2"/>
    <mergeCell ref="DIC2:DII2"/>
    <mergeCell ref="DIJ2:DIP2"/>
    <mergeCell ref="DFY2:DGE2"/>
    <mergeCell ref="DGF2:DGL2"/>
    <mergeCell ref="DGM2:DGS2"/>
    <mergeCell ref="DGT2:DGZ2"/>
    <mergeCell ref="DHA2:DHG2"/>
    <mergeCell ref="DEP2:DEV2"/>
    <mergeCell ref="DEW2:DFC2"/>
    <mergeCell ref="DFD2:DFJ2"/>
    <mergeCell ref="DFK2:DFQ2"/>
    <mergeCell ref="DFR2:DFX2"/>
    <mergeCell ref="DDG2:DDM2"/>
    <mergeCell ref="DDN2:DDT2"/>
    <mergeCell ref="DDU2:DEA2"/>
    <mergeCell ref="DEB2:DEH2"/>
    <mergeCell ref="DEI2:DEO2"/>
    <mergeCell ref="DBX2:DCD2"/>
    <mergeCell ref="DCE2:DCK2"/>
    <mergeCell ref="DCL2:DCR2"/>
    <mergeCell ref="DCS2:DCY2"/>
    <mergeCell ref="DCZ2:DDF2"/>
    <mergeCell ref="DAO2:DAU2"/>
    <mergeCell ref="DAV2:DBB2"/>
    <mergeCell ref="DBC2:DBI2"/>
    <mergeCell ref="DBJ2:DBP2"/>
    <mergeCell ref="DBQ2:DBW2"/>
    <mergeCell ref="CZF2:CZL2"/>
    <mergeCell ref="CZM2:CZS2"/>
    <mergeCell ref="CZT2:CZZ2"/>
    <mergeCell ref="DAA2:DAG2"/>
    <mergeCell ref="DAH2:DAN2"/>
    <mergeCell ref="CXW2:CYC2"/>
    <mergeCell ref="CYD2:CYJ2"/>
    <mergeCell ref="CYK2:CYQ2"/>
    <mergeCell ref="CYR2:CYX2"/>
    <mergeCell ref="CYY2:CZE2"/>
    <mergeCell ref="CWN2:CWT2"/>
    <mergeCell ref="CWU2:CXA2"/>
    <mergeCell ref="CXB2:CXH2"/>
    <mergeCell ref="CXI2:CXO2"/>
    <mergeCell ref="CXP2:CXV2"/>
    <mergeCell ref="CVE2:CVK2"/>
    <mergeCell ref="CVL2:CVR2"/>
    <mergeCell ref="CVS2:CVY2"/>
    <mergeCell ref="CVZ2:CWF2"/>
    <mergeCell ref="CWG2:CWM2"/>
    <mergeCell ref="CTV2:CUB2"/>
    <mergeCell ref="CUC2:CUI2"/>
    <mergeCell ref="CUJ2:CUP2"/>
    <mergeCell ref="CUQ2:CUW2"/>
    <mergeCell ref="CUX2:CVD2"/>
    <mergeCell ref="CSM2:CSS2"/>
    <mergeCell ref="CST2:CSZ2"/>
    <mergeCell ref="CTA2:CTG2"/>
    <mergeCell ref="CTH2:CTN2"/>
    <mergeCell ref="CTO2:CTU2"/>
    <mergeCell ref="CRD2:CRJ2"/>
    <mergeCell ref="CRK2:CRQ2"/>
    <mergeCell ref="CRR2:CRX2"/>
    <mergeCell ref="CRY2:CSE2"/>
    <mergeCell ref="CSF2:CSL2"/>
    <mergeCell ref="CPU2:CQA2"/>
    <mergeCell ref="CQB2:CQH2"/>
    <mergeCell ref="CQI2:CQO2"/>
    <mergeCell ref="CQP2:CQV2"/>
    <mergeCell ref="CQW2:CRC2"/>
    <mergeCell ref="COL2:COR2"/>
    <mergeCell ref="COS2:COY2"/>
    <mergeCell ref="COZ2:CPF2"/>
    <mergeCell ref="CPG2:CPM2"/>
    <mergeCell ref="CPN2:CPT2"/>
    <mergeCell ref="CNC2:CNI2"/>
    <mergeCell ref="CNJ2:CNP2"/>
    <mergeCell ref="CNQ2:CNW2"/>
    <mergeCell ref="CNX2:COD2"/>
    <mergeCell ref="COE2:COK2"/>
    <mergeCell ref="CLT2:CLZ2"/>
    <mergeCell ref="CMA2:CMG2"/>
    <mergeCell ref="CMH2:CMN2"/>
    <mergeCell ref="CMO2:CMU2"/>
    <mergeCell ref="CMV2:CNB2"/>
    <mergeCell ref="CKK2:CKQ2"/>
    <mergeCell ref="CKR2:CKX2"/>
    <mergeCell ref="CKY2:CLE2"/>
    <mergeCell ref="CLF2:CLL2"/>
    <mergeCell ref="CLM2:CLS2"/>
    <mergeCell ref="CJB2:CJH2"/>
    <mergeCell ref="CJI2:CJO2"/>
    <mergeCell ref="CJP2:CJV2"/>
    <mergeCell ref="CJW2:CKC2"/>
    <mergeCell ref="CKD2:CKJ2"/>
    <mergeCell ref="CHS2:CHY2"/>
    <mergeCell ref="CHZ2:CIF2"/>
    <mergeCell ref="CIG2:CIM2"/>
    <mergeCell ref="CIN2:CIT2"/>
    <mergeCell ref="CIU2:CJA2"/>
    <mergeCell ref="CGJ2:CGP2"/>
    <mergeCell ref="CGQ2:CGW2"/>
    <mergeCell ref="CGX2:CHD2"/>
    <mergeCell ref="CHE2:CHK2"/>
    <mergeCell ref="CHL2:CHR2"/>
    <mergeCell ref="CFA2:CFG2"/>
    <mergeCell ref="CFH2:CFN2"/>
    <mergeCell ref="CFO2:CFU2"/>
    <mergeCell ref="CFV2:CGB2"/>
    <mergeCell ref="CGC2:CGI2"/>
    <mergeCell ref="CDR2:CDX2"/>
    <mergeCell ref="CDY2:CEE2"/>
    <mergeCell ref="CEF2:CEL2"/>
    <mergeCell ref="CEM2:CES2"/>
    <mergeCell ref="CET2:CEZ2"/>
    <mergeCell ref="CCI2:CCO2"/>
    <mergeCell ref="CCP2:CCV2"/>
    <mergeCell ref="CCW2:CDC2"/>
    <mergeCell ref="CDD2:CDJ2"/>
    <mergeCell ref="CDK2:CDQ2"/>
    <mergeCell ref="CAZ2:CBF2"/>
    <mergeCell ref="CBG2:CBM2"/>
    <mergeCell ref="CBN2:CBT2"/>
    <mergeCell ref="CBU2:CCA2"/>
    <mergeCell ref="CCB2:CCH2"/>
    <mergeCell ref="BZQ2:BZW2"/>
    <mergeCell ref="BZX2:CAD2"/>
    <mergeCell ref="CAE2:CAK2"/>
    <mergeCell ref="CAL2:CAR2"/>
    <mergeCell ref="CAS2:CAY2"/>
    <mergeCell ref="BYH2:BYN2"/>
    <mergeCell ref="BYO2:BYU2"/>
    <mergeCell ref="BYV2:BZB2"/>
    <mergeCell ref="BZC2:BZI2"/>
    <mergeCell ref="BZJ2:BZP2"/>
    <mergeCell ref="BWY2:BXE2"/>
    <mergeCell ref="BXF2:BXL2"/>
    <mergeCell ref="BXM2:BXS2"/>
    <mergeCell ref="BXT2:BXZ2"/>
    <mergeCell ref="BYA2:BYG2"/>
    <mergeCell ref="BVP2:BVV2"/>
    <mergeCell ref="BVW2:BWC2"/>
    <mergeCell ref="BWD2:BWJ2"/>
    <mergeCell ref="BWK2:BWQ2"/>
    <mergeCell ref="BWR2:BWX2"/>
    <mergeCell ref="BUG2:BUM2"/>
    <mergeCell ref="BUN2:BUT2"/>
    <mergeCell ref="BUU2:BVA2"/>
    <mergeCell ref="BVB2:BVH2"/>
    <mergeCell ref="BVI2:BVO2"/>
    <mergeCell ref="BSX2:BTD2"/>
    <mergeCell ref="BTE2:BTK2"/>
    <mergeCell ref="BTL2:BTR2"/>
    <mergeCell ref="BTS2:BTY2"/>
    <mergeCell ref="BTZ2:BUF2"/>
    <mergeCell ref="BRO2:BRU2"/>
    <mergeCell ref="BRV2:BSB2"/>
    <mergeCell ref="BSC2:BSI2"/>
    <mergeCell ref="BSJ2:BSP2"/>
    <mergeCell ref="BSQ2:BSW2"/>
    <mergeCell ref="BQF2:BQL2"/>
    <mergeCell ref="BQM2:BQS2"/>
    <mergeCell ref="BQT2:BQZ2"/>
    <mergeCell ref="BRA2:BRG2"/>
    <mergeCell ref="BRH2:BRN2"/>
    <mergeCell ref="BOW2:BPC2"/>
    <mergeCell ref="BPD2:BPJ2"/>
    <mergeCell ref="BPK2:BPQ2"/>
    <mergeCell ref="BPR2:BPX2"/>
    <mergeCell ref="BPY2:BQE2"/>
    <mergeCell ref="BNN2:BNT2"/>
    <mergeCell ref="BNU2:BOA2"/>
    <mergeCell ref="BOB2:BOH2"/>
    <mergeCell ref="BOI2:BOO2"/>
    <mergeCell ref="BOP2:BOV2"/>
    <mergeCell ref="BME2:BMK2"/>
    <mergeCell ref="BML2:BMR2"/>
    <mergeCell ref="BMS2:BMY2"/>
    <mergeCell ref="BMZ2:BNF2"/>
    <mergeCell ref="BNG2:BNM2"/>
    <mergeCell ref="BKV2:BLB2"/>
    <mergeCell ref="BLC2:BLI2"/>
    <mergeCell ref="BLJ2:BLP2"/>
    <mergeCell ref="BLQ2:BLW2"/>
    <mergeCell ref="BLX2:BMD2"/>
    <mergeCell ref="BJM2:BJS2"/>
    <mergeCell ref="BJT2:BJZ2"/>
    <mergeCell ref="BKA2:BKG2"/>
    <mergeCell ref="BKH2:BKN2"/>
    <mergeCell ref="BKO2:BKU2"/>
    <mergeCell ref="BID2:BIJ2"/>
    <mergeCell ref="BIK2:BIQ2"/>
    <mergeCell ref="BIR2:BIX2"/>
    <mergeCell ref="BIY2:BJE2"/>
    <mergeCell ref="BJF2:BJL2"/>
    <mergeCell ref="BGU2:BHA2"/>
    <mergeCell ref="BHB2:BHH2"/>
    <mergeCell ref="BHI2:BHO2"/>
    <mergeCell ref="BHP2:BHV2"/>
    <mergeCell ref="BHW2:BIC2"/>
    <mergeCell ref="BFL2:BFR2"/>
    <mergeCell ref="BFS2:BFY2"/>
    <mergeCell ref="BFZ2:BGF2"/>
    <mergeCell ref="BGG2:BGM2"/>
    <mergeCell ref="BGN2:BGT2"/>
    <mergeCell ref="BEC2:BEI2"/>
    <mergeCell ref="BEJ2:BEP2"/>
    <mergeCell ref="BEQ2:BEW2"/>
    <mergeCell ref="BEX2:BFD2"/>
    <mergeCell ref="BFE2:BFK2"/>
    <mergeCell ref="BCT2:BCZ2"/>
    <mergeCell ref="BDA2:BDG2"/>
    <mergeCell ref="BDH2:BDN2"/>
    <mergeCell ref="BDO2:BDU2"/>
    <mergeCell ref="BDV2:BEB2"/>
    <mergeCell ref="BBK2:BBQ2"/>
    <mergeCell ref="BBR2:BBX2"/>
    <mergeCell ref="BBY2:BCE2"/>
    <mergeCell ref="BCF2:BCL2"/>
    <mergeCell ref="BCM2:BCS2"/>
    <mergeCell ref="BAB2:BAH2"/>
    <mergeCell ref="BAI2:BAO2"/>
    <mergeCell ref="BAP2:BAV2"/>
    <mergeCell ref="BAW2:BBC2"/>
    <mergeCell ref="BBD2:BBJ2"/>
    <mergeCell ref="AYS2:AYY2"/>
    <mergeCell ref="AYZ2:AZF2"/>
    <mergeCell ref="AZG2:AZM2"/>
    <mergeCell ref="AZN2:AZT2"/>
    <mergeCell ref="AZU2:BAA2"/>
    <mergeCell ref="AXJ2:AXP2"/>
    <mergeCell ref="AXQ2:AXW2"/>
    <mergeCell ref="AXX2:AYD2"/>
    <mergeCell ref="AYE2:AYK2"/>
    <mergeCell ref="AYL2:AYR2"/>
    <mergeCell ref="AWA2:AWG2"/>
    <mergeCell ref="AWH2:AWN2"/>
    <mergeCell ref="AWO2:AWU2"/>
    <mergeCell ref="AWV2:AXB2"/>
    <mergeCell ref="AXC2:AXI2"/>
    <mergeCell ref="AUR2:AUX2"/>
    <mergeCell ref="AUY2:AVE2"/>
    <mergeCell ref="AVF2:AVL2"/>
    <mergeCell ref="AVM2:AVS2"/>
    <mergeCell ref="AVT2:AVZ2"/>
    <mergeCell ref="ATI2:ATO2"/>
    <mergeCell ref="ATP2:ATV2"/>
    <mergeCell ref="ATW2:AUC2"/>
    <mergeCell ref="AUD2:AUJ2"/>
    <mergeCell ref="AUK2:AUQ2"/>
    <mergeCell ref="ARZ2:ASF2"/>
    <mergeCell ref="ASG2:ASM2"/>
    <mergeCell ref="ASN2:AST2"/>
    <mergeCell ref="ASU2:ATA2"/>
    <mergeCell ref="ATB2:ATH2"/>
    <mergeCell ref="AQQ2:AQW2"/>
    <mergeCell ref="AQX2:ARD2"/>
    <mergeCell ref="ARE2:ARK2"/>
    <mergeCell ref="ARL2:ARR2"/>
    <mergeCell ref="ARS2:ARY2"/>
    <mergeCell ref="APH2:APN2"/>
    <mergeCell ref="APO2:APU2"/>
    <mergeCell ref="APV2:AQB2"/>
    <mergeCell ref="AQC2:AQI2"/>
    <mergeCell ref="AQJ2:AQP2"/>
    <mergeCell ref="ANY2:AOE2"/>
    <mergeCell ref="AOF2:AOL2"/>
    <mergeCell ref="AOM2:AOS2"/>
    <mergeCell ref="AOT2:AOZ2"/>
    <mergeCell ref="APA2:APG2"/>
    <mergeCell ref="AMP2:AMV2"/>
    <mergeCell ref="AMW2:ANC2"/>
    <mergeCell ref="AND2:ANJ2"/>
    <mergeCell ref="ANK2:ANQ2"/>
    <mergeCell ref="ANR2:ANX2"/>
    <mergeCell ref="ALG2:ALM2"/>
    <mergeCell ref="ALN2:ALT2"/>
    <mergeCell ref="ALU2:AMA2"/>
    <mergeCell ref="AMB2:AMH2"/>
    <mergeCell ref="AMI2:AMO2"/>
    <mergeCell ref="AJX2:AKD2"/>
    <mergeCell ref="AKE2:AKK2"/>
    <mergeCell ref="AKL2:AKR2"/>
    <mergeCell ref="AKS2:AKY2"/>
    <mergeCell ref="AKZ2:ALF2"/>
    <mergeCell ref="AIO2:AIU2"/>
    <mergeCell ref="AIV2:AJB2"/>
    <mergeCell ref="AJC2:AJI2"/>
    <mergeCell ref="AJJ2:AJP2"/>
    <mergeCell ref="AJQ2:AJW2"/>
    <mergeCell ref="AHF2:AHL2"/>
    <mergeCell ref="AHM2:AHS2"/>
    <mergeCell ref="AHT2:AHZ2"/>
    <mergeCell ref="AIA2:AIG2"/>
    <mergeCell ref="AIH2:AIN2"/>
    <mergeCell ref="AFW2:AGC2"/>
    <mergeCell ref="AGD2:AGJ2"/>
    <mergeCell ref="AGK2:AGQ2"/>
    <mergeCell ref="AGR2:AGX2"/>
    <mergeCell ref="AGY2:AHE2"/>
    <mergeCell ref="AEN2:AET2"/>
    <mergeCell ref="AEU2:AFA2"/>
    <mergeCell ref="AFB2:AFH2"/>
    <mergeCell ref="AFI2:AFO2"/>
    <mergeCell ref="AFP2:AFV2"/>
    <mergeCell ref="ADE2:ADK2"/>
    <mergeCell ref="ADL2:ADR2"/>
    <mergeCell ref="ADS2:ADY2"/>
    <mergeCell ref="ADZ2:AEF2"/>
    <mergeCell ref="AEG2:AEM2"/>
    <mergeCell ref="ABV2:ACB2"/>
    <mergeCell ref="ACC2:ACI2"/>
    <mergeCell ref="ACJ2:ACP2"/>
    <mergeCell ref="ACQ2:ACW2"/>
    <mergeCell ref="ACX2:ADD2"/>
    <mergeCell ref="AAM2:AAS2"/>
    <mergeCell ref="AAT2:AAZ2"/>
    <mergeCell ref="ABA2:ABG2"/>
    <mergeCell ref="ABH2:ABN2"/>
    <mergeCell ref="ABO2:ABU2"/>
    <mergeCell ref="ZD2:ZJ2"/>
    <mergeCell ref="ZK2:ZQ2"/>
    <mergeCell ref="ZR2:ZX2"/>
    <mergeCell ref="ZY2:AAE2"/>
    <mergeCell ref="AAF2:AAL2"/>
    <mergeCell ref="XU2:YA2"/>
    <mergeCell ref="YB2:YH2"/>
    <mergeCell ref="YI2:YO2"/>
    <mergeCell ref="YP2:YV2"/>
    <mergeCell ref="YW2:ZC2"/>
    <mergeCell ref="WL2:WR2"/>
    <mergeCell ref="WS2:WY2"/>
    <mergeCell ref="WZ2:XF2"/>
    <mergeCell ref="XG2:XM2"/>
    <mergeCell ref="XN2:XT2"/>
    <mergeCell ref="VC2:VI2"/>
    <mergeCell ref="VJ2:VP2"/>
    <mergeCell ref="VQ2:VW2"/>
    <mergeCell ref="VX2:WD2"/>
    <mergeCell ref="WE2:WK2"/>
    <mergeCell ref="TT2:TZ2"/>
    <mergeCell ref="UA2:UG2"/>
    <mergeCell ref="UH2:UN2"/>
    <mergeCell ref="UO2:UU2"/>
    <mergeCell ref="UV2:VB2"/>
    <mergeCell ref="SK2:SQ2"/>
    <mergeCell ref="SR2:SX2"/>
    <mergeCell ref="SY2:TE2"/>
    <mergeCell ref="TF2:TL2"/>
    <mergeCell ref="TM2:TS2"/>
    <mergeCell ref="RB2:RH2"/>
    <mergeCell ref="RI2:RO2"/>
    <mergeCell ref="RP2:RV2"/>
    <mergeCell ref="RW2:SC2"/>
    <mergeCell ref="SD2:SJ2"/>
    <mergeCell ref="PS2:PY2"/>
    <mergeCell ref="PZ2:QF2"/>
    <mergeCell ref="QG2:QM2"/>
    <mergeCell ref="QN2:QT2"/>
    <mergeCell ref="QU2:RA2"/>
    <mergeCell ref="OJ2:OP2"/>
    <mergeCell ref="OQ2:OW2"/>
    <mergeCell ref="OX2:PD2"/>
    <mergeCell ref="PE2:PK2"/>
    <mergeCell ref="PL2:PR2"/>
    <mergeCell ref="NA2:NG2"/>
    <mergeCell ref="NH2:NN2"/>
    <mergeCell ref="NO2:NU2"/>
    <mergeCell ref="NV2:OB2"/>
    <mergeCell ref="OC2:OI2"/>
    <mergeCell ref="LR2:LX2"/>
    <mergeCell ref="LY2:ME2"/>
    <mergeCell ref="MF2:ML2"/>
    <mergeCell ref="MM2:MS2"/>
    <mergeCell ref="MT2:MZ2"/>
    <mergeCell ref="KI2:KO2"/>
    <mergeCell ref="KP2:KV2"/>
    <mergeCell ref="KW2:LC2"/>
    <mergeCell ref="LD2:LJ2"/>
    <mergeCell ref="LK2:LQ2"/>
    <mergeCell ref="IZ2:JF2"/>
    <mergeCell ref="JG2:JM2"/>
    <mergeCell ref="JN2:JT2"/>
    <mergeCell ref="JU2:KA2"/>
    <mergeCell ref="KB2:KH2"/>
    <mergeCell ref="HQ2:HW2"/>
    <mergeCell ref="HX2:ID2"/>
    <mergeCell ref="IE2:IK2"/>
    <mergeCell ref="IL2:IR2"/>
    <mergeCell ref="IS2:IY2"/>
    <mergeCell ref="B1:L1"/>
    <mergeCell ref="HJ2:HP2"/>
    <mergeCell ref="EY2:FE2"/>
    <mergeCell ref="FF2:FL2"/>
    <mergeCell ref="FM2:FS2"/>
    <mergeCell ref="FT2:FZ2"/>
    <mergeCell ref="GA2:GG2"/>
    <mergeCell ref="DP2:DV2"/>
    <mergeCell ref="DW2:EC2"/>
    <mergeCell ref="ED2:EJ2"/>
    <mergeCell ref="EK2:EQ2"/>
    <mergeCell ref="ER2:EX2"/>
    <mergeCell ref="CG2:CM2"/>
    <mergeCell ref="CN2:CT2"/>
    <mergeCell ref="CU2:DA2"/>
    <mergeCell ref="DB2:DH2"/>
    <mergeCell ref="DI2:DO2"/>
    <mergeCell ref="A7:L7"/>
    <mergeCell ref="AX2:BD2"/>
    <mergeCell ref="BE2:BK2"/>
    <mergeCell ref="BL2:BR2"/>
    <mergeCell ref="BS2:BY2"/>
    <mergeCell ref="BZ2:CF2"/>
    <mergeCell ref="O2:U2"/>
    <mergeCell ref="V2:AB2"/>
    <mergeCell ref="AC2:AI2"/>
    <mergeCell ref="AJ2:AP2"/>
    <mergeCell ref="AQ2:AW2"/>
    <mergeCell ref="A4:E4"/>
    <mergeCell ref="GH2:GN2"/>
    <mergeCell ref="GO2:GU2"/>
    <mergeCell ref="GV2:HB2"/>
    <mergeCell ref="HC2:HI2"/>
    <mergeCell ref="B5:L5"/>
  </mergeCells>
  <phoneticPr fontId="0" type="noConversion"/>
  <printOptions horizontalCentered="1"/>
  <pageMargins left="0.39370078740157483" right="0.39370078740157483" top="0.78740157480314965" bottom="0.39370078740157483" header="0.47244094488188981" footer="0.51181102362204722"/>
  <pageSetup paperSize="9" scale="65" orientation="portrait" r:id="rId1"/>
  <headerFooter alignWithMargins="0">
    <oddHeader xml:space="preserve">&amp;R
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8"/>
  <dimension ref="A1:X222"/>
  <sheetViews>
    <sheetView view="pageBreakPreview" zoomScaleNormal="106" zoomScaleSheetLayoutView="100" workbookViewId="0">
      <pane xSplit="1" ySplit="7" topLeftCell="B96" activePane="bottomRight" state="frozen"/>
      <selection pane="topRight" activeCell="B1" sqref="B1"/>
      <selection pane="bottomLeft" activeCell="A8" sqref="A8"/>
      <selection pane="bottomRight" activeCell="F55" sqref="F55:J56"/>
    </sheetView>
  </sheetViews>
  <sheetFormatPr defaultColWidth="10" defaultRowHeight="12.75" x14ac:dyDescent="0.2"/>
  <cols>
    <col min="1" max="1" width="11" hidden="1" customWidth="1"/>
    <col min="2" max="2" width="89.5" customWidth="1"/>
    <col min="3" max="3" width="16" customWidth="1"/>
    <col min="4" max="4" width="19.1640625" hidden="1" customWidth="1"/>
    <col min="5" max="5" width="19" customWidth="1"/>
    <col min="6" max="6" width="18.33203125" customWidth="1"/>
    <col min="7" max="7" width="23.33203125" hidden="1" customWidth="1"/>
    <col min="8" max="8" width="17.33203125" hidden="1" customWidth="1"/>
    <col min="9" max="9" width="16.6640625" hidden="1" customWidth="1"/>
    <col min="10" max="10" width="16.5" customWidth="1"/>
    <col min="11" max="11" width="12.83203125" hidden="1" customWidth="1"/>
    <col min="12" max="12" width="9.83203125" customWidth="1"/>
    <col min="13" max="13" width="10" customWidth="1"/>
    <col min="14" max="14" width="16.5" bestFit="1" customWidth="1"/>
    <col min="15" max="15" width="19" customWidth="1"/>
  </cols>
  <sheetData>
    <row r="1" spans="1:15" ht="15.75" x14ac:dyDescent="0.2">
      <c r="B1" s="1820" t="s">
        <v>827</v>
      </c>
      <c r="C1" s="1820"/>
      <c r="D1" s="1820"/>
      <c r="E1" s="1820"/>
      <c r="F1" s="1820"/>
      <c r="G1" s="1820"/>
      <c r="H1" s="1820"/>
      <c r="I1" s="1820"/>
      <c r="J1" s="1820"/>
      <c r="K1" s="1820"/>
      <c r="L1" s="1820"/>
    </row>
    <row r="2" spans="1:15" ht="15.75" x14ac:dyDescent="0.2">
      <c r="A2" s="1820"/>
      <c r="B2" s="1820"/>
      <c r="C2" s="1820"/>
      <c r="D2" s="1820"/>
      <c r="E2" s="1820"/>
      <c r="F2" s="1820"/>
      <c r="G2" s="1820"/>
      <c r="H2" s="1820"/>
      <c r="I2" s="164"/>
      <c r="J2" s="164"/>
      <c r="K2" s="164"/>
      <c r="L2" s="164"/>
      <c r="M2" s="164"/>
      <c r="N2" s="164"/>
    </row>
    <row r="3" spans="1:15" x14ac:dyDescent="0.2">
      <c r="A3" s="167"/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</row>
    <row r="4" spans="1:15" ht="25.5" customHeight="1" x14ac:dyDescent="0.2">
      <c r="A4" s="1829" t="s">
        <v>828</v>
      </c>
      <c r="B4" s="1829"/>
      <c r="C4" s="1829"/>
      <c r="D4" s="1829"/>
      <c r="E4" s="1829"/>
      <c r="F4" s="1829"/>
      <c r="G4" s="1829"/>
      <c r="H4" s="1829"/>
      <c r="I4" s="1829"/>
      <c r="J4" s="1829"/>
      <c r="K4" s="1829"/>
      <c r="L4" s="1829"/>
    </row>
    <row r="5" spans="1:15" ht="19.5" customHeight="1" thickBot="1" x14ac:dyDescent="0.3">
      <c r="A5" s="1828" t="s">
        <v>362</v>
      </c>
      <c r="B5" s="1828"/>
      <c r="C5" s="1828"/>
      <c r="D5" s="1828"/>
      <c r="E5" s="1828"/>
      <c r="F5" s="1828"/>
      <c r="G5" s="1828"/>
      <c r="H5" s="1828"/>
      <c r="I5" s="1828"/>
      <c r="J5" s="1828"/>
      <c r="K5" s="1828"/>
      <c r="L5" s="1828"/>
      <c r="N5" t="s">
        <v>385</v>
      </c>
    </row>
    <row r="6" spans="1:15" ht="60" customHeight="1" thickBot="1" x14ac:dyDescent="0.25">
      <c r="A6" s="412" t="s">
        <v>363</v>
      </c>
      <c r="B6" s="1566" t="s">
        <v>47</v>
      </c>
      <c r="C6" s="1567" t="str">
        <f>'14.Szoc. '!C8</f>
        <v>2023. évi eredeti előirányzat
2/2023. (II.14.)</v>
      </c>
      <c r="D6" s="1567" t="str">
        <f>'14.Szoc. '!D8</f>
        <v>Módosított előirányzat a 14/2023.  (VI.29.)  rendelet szerint</v>
      </c>
      <c r="E6" s="1567" t="str">
        <f>'14.Szoc. '!E8</f>
        <v>Módosított előirányzat a 18/2023. (IX.26.)  rendelet szerint</v>
      </c>
      <c r="F6" s="1567" t="str">
        <f>'14.Szoc. '!F8</f>
        <v>Módosított előirányzat 2023.09.30-án</v>
      </c>
      <c r="G6" s="1567" t="str">
        <f>'14.Szoc. '!G8</f>
        <v>Módosított előirányzat a …../2023. (II…..)  rendelet szerint</v>
      </c>
      <c r="H6" s="1568" t="str">
        <f>'14.Szoc. '!H8</f>
        <v>Változás a 14/2023. (VI.29.) rendelethez képest</v>
      </c>
      <c r="I6" s="1569" t="str">
        <f>'14.Szoc. '!I8</f>
        <v>2023. évi teljesítés              2023.06.30-ig</v>
      </c>
      <c r="J6" s="1567" t="str">
        <f>'14.Szoc. '!J8</f>
        <v>2023. évi teljesítés              2023.09.30-ig</v>
      </c>
      <c r="K6" s="1567" t="str">
        <f>'14.Szoc. '!K8</f>
        <v>2023. évi teljesítés              2023.12.31-ig</v>
      </c>
      <c r="L6" s="1568" t="str">
        <f>'14.Szoc. '!L8</f>
        <v>Teljesítés %-a</v>
      </c>
    </row>
    <row r="7" spans="1:15" ht="21.95" customHeight="1" thickBot="1" x14ac:dyDescent="0.25">
      <c r="A7" s="413"/>
      <c r="B7" s="1570" t="s">
        <v>50</v>
      </c>
      <c r="C7" s="1571">
        <f>SUM(C8:C23)</f>
        <v>137305900</v>
      </c>
      <c r="D7" s="1571">
        <f>SUM(D8:D23)</f>
        <v>226452935</v>
      </c>
      <c r="E7" s="1571">
        <f>SUM(E8:E23)</f>
        <v>226239466</v>
      </c>
      <c r="F7" s="1571">
        <f>SUM(F8:F23)</f>
        <v>226239466</v>
      </c>
      <c r="G7" s="1571">
        <f>SUM(G9:G23)</f>
        <v>0</v>
      </c>
      <c r="H7" s="1571">
        <f>+E7-D7</f>
        <v>-213469</v>
      </c>
      <c r="I7" s="1571">
        <f>SUM(I9:I23)</f>
        <v>0</v>
      </c>
      <c r="J7" s="1571">
        <f>SUM(J8:J22)</f>
        <v>85016219</v>
      </c>
      <c r="K7" s="1571">
        <f>SUM(K9:K23)</f>
        <v>0</v>
      </c>
      <c r="L7" s="1606">
        <f>IF(F7=0,"",J7/F7*100)</f>
        <v>37.577978989748857</v>
      </c>
    </row>
    <row r="8" spans="1:15" ht="21.95" customHeight="1" x14ac:dyDescent="0.2">
      <c r="A8" s="838">
        <v>151001</v>
      </c>
      <c r="B8" s="1356" t="s">
        <v>506</v>
      </c>
      <c r="C8" s="1357">
        <f>500000+1000000</f>
        <v>1500000</v>
      </c>
      <c r="D8" s="1357">
        <v>1500000</v>
      </c>
      <c r="E8" s="1358">
        <f>1500000+1000000</f>
        <v>2500000</v>
      </c>
      <c r="F8" s="1358">
        <v>2500000</v>
      </c>
      <c r="G8" s="1359"/>
      <c r="H8" s="1358">
        <f>+E8-D8</f>
        <v>1000000</v>
      </c>
      <c r="I8" s="1354"/>
      <c r="J8" s="1624">
        <v>1864587</v>
      </c>
      <c r="K8" s="1354"/>
      <c r="L8" s="1625">
        <f t="shared" ref="L8:L71" si="0">IF(F8=0,"",J8/F8*100)</f>
        <v>74.583480000000009</v>
      </c>
    </row>
    <row r="9" spans="1:15" ht="24.95" customHeight="1" x14ac:dyDescent="0.2">
      <c r="A9" s="836">
        <v>151002</v>
      </c>
      <c r="B9" s="837" t="s">
        <v>695</v>
      </c>
      <c r="C9" s="1120">
        <v>30700000</v>
      </c>
      <c r="D9" s="1120">
        <v>30700000</v>
      </c>
      <c r="E9" s="1121">
        <v>30700000</v>
      </c>
      <c r="F9" s="1121">
        <v>30700000</v>
      </c>
      <c r="G9" s="1121"/>
      <c r="H9" s="1121">
        <f t="shared" ref="H9:H71" si="1">+E9-D9</f>
        <v>0</v>
      </c>
      <c r="I9" s="311"/>
      <c r="J9" s="311">
        <v>1939291</v>
      </c>
      <c r="K9" s="311"/>
      <c r="L9" s="1607">
        <f t="shared" si="0"/>
        <v>6.3169087947882732</v>
      </c>
      <c r="M9" s="11"/>
    </row>
    <row r="10" spans="1:15" ht="24.95" customHeight="1" x14ac:dyDescent="0.2">
      <c r="A10" s="828">
        <v>151010</v>
      </c>
      <c r="B10" s="837" t="s">
        <v>683</v>
      </c>
      <c r="C10" s="1120">
        <v>152400</v>
      </c>
      <c r="D10" s="1120">
        <f>152400+3000000</f>
        <v>3152400</v>
      </c>
      <c r="E10" s="1121">
        <v>3152400</v>
      </c>
      <c r="F10" s="1121">
        <v>3152400</v>
      </c>
      <c r="G10" s="1121"/>
      <c r="H10" s="1121">
        <f t="shared" si="1"/>
        <v>0</v>
      </c>
      <c r="I10" s="311"/>
      <c r="J10" s="311">
        <v>2993188</v>
      </c>
      <c r="K10" s="311"/>
      <c r="L10" s="1607">
        <f t="shared" si="0"/>
        <v>94.949498794569223</v>
      </c>
      <c r="M10" s="11"/>
    </row>
    <row r="11" spans="1:15" ht="24.95" customHeight="1" x14ac:dyDescent="0.2">
      <c r="A11" s="828">
        <v>151011</v>
      </c>
      <c r="B11" s="837" t="s">
        <v>511</v>
      </c>
      <c r="C11" s="1120">
        <v>45000000</v>
      </c>
      <c r="D11" s="1120">
        <v>45000000</v>
      </c>
      <c r="E11" s="1121">
        <f>45000000-1000000-3282118</f>
        <v>40717882</v>
      </c>
      <c r="F11" s="1121">
        <v>40717882</v>
      </c>
      <c r="G11" s="1121"/>
      <c r="H11" s="1121">
        <f t="shared" si="1"/>
        <v>-4282118</v>
      </c>
      <c r="I11" s="311"/>
      <c r="J11" s="311">
        <v>22203731</v>
      </c>
      <c r="K11" s="311"/>
      <c r="L11" s="1607">
        <f t="shared" si="0"/>
        <v>54.530662965229872</v>
      </c>
    </row>
    <row r="12" spans="1:15" ht="24.95" customHeight="1" x14ac:dyDescent="0.2">
      <c r="A12" s="828">
        <v>151012</v>
      </c>
      <c r="B12" s="837" t="s">
        <v>503</v>
      </c>
      <c r="C12" s="1120">
        <v>5000000</v>
      </c>
      <c r="D12" s="1188">
        <f>5000000+10000000</f>
        <v>15000000</v>
      </c>
      <c r="E12" s="1362">
        <v>15000000</v>
      </c>
      <c r="F12" s="1121">
        <v>15000000</v>
      </c>
      <c r="G12" s="1121"/>
      <c r="H12" s="1121">
        <f t="shared" si="1"/>
        <v>0</v>
      </c>
      <c r="I12" s="311"/>
      <c r="J12" s="311">
        <v>0</v>
      </c>
      <c r="K12" s="311"/>
      <c r="L12" s="1607">
        <f t="shared" si="0"/>
        <v>0</v>
      </c>
    </row>
    <row r="13" spans="1:15" ht="24.95" customHeight="1" x14ac:dyDescent="0.2">
      <c r="A13" s="828">
        <v>151015</v>
      </c>
      <c r="B13" s="837" t="s">
        <v>764</v>
      </c>
      <c r="C13" s="1120">
        <v>12010000</v>
      </c>
      <c r="D13" s="1120">
        <f>12010000+3500000</f>
        <v>15510000</v>
      </c>
      <c r="E13" s="1121">
        <v>15510000</v>
      </c>
      <c r="F13" s="1121">
        <v>15510000</v>
      </c>
      <c r="G13" s="1121"/>
      <c r="H13" s="1121">
        <f t="shared" si="1"/>
        <v>0</v>
      </c>
      <c r="I13" s="311"/>
      <c r="J13" s="311">
        <v>3295650</v>
      </c>
      <c r="K13" s="311"/>
      <c r="L13" s="1607">
        <f t="shared" si="0"/>
        <v>21.248549323017407</v>
      </c>
    </row>
    <row r="14" spans="1:15" ht="25.5" x14ac:dyDescent="0.2">
      <c r="A14" s="828">
        <v>151066</v>
      </c>
      <c r="B14" s="837" t="s">
        <v>684</v>
      </c>
      <c r="C14" s="1120">
        <v>28943500</v>
      </c>
      <c r="D14" s="1120">
        <v>28943500</v>
      </c>
      <c r="E14" s="1121">
        <f>28943500+323500+3282118</f>
        <v>32549118</v>
      </c>
      <c r="F14" s="1121">
        <v>32549118</v>
      </c>
      <c r="G14" s="1121"/>
      <c r="H14" s="1121">
        <f t="shared" si="1"/>
        <v>3605618</v>
      </c>
      <c r="I14" s="311"/>
      <c r="J14" s="311">
        <v>29266718</v>
      </c>
      <c r="K14" s="311"/>
      <c r="L14" s="1607">
        <f t="shared" si="0"/>
        <v>89.915548556492382</v>
      </c>
      <c r="O14" s="832"/>
    </row>
    <row r="15" spans="1:15" ht="24.95" customHeight="1" x14ac:dyDescent="0.2">
      <c r="A15" s="828">
        <v>151056</v>
      </c>
      <c r="B15" s="837" t="s">
        <v>687</v>
      </c>
      <c r="C15" s="1120">
        <v>14000000</v>
      </c>
      <c r="D15" s="1120">
        <f>14000000-2976378+2464683</f>
        <v>13488305</v>
      </c>
      <c r="E15" s="1121">
        <f>13488305+205114</f>
        <v>13693419</v>
      </c>
      <c r="F15" s="1121">
        <v>13693419</v>
      </c>
      <c r="G15" s="1121"/>
      <c r="H15" s="1121">
        <f t="shared" si="1"/>
        <v>205114</v>
      </c>
      <c r="I15" s="311"/>
      <c r="J15" s="311">
        <v>13693419</v>
      </c>
      <c r="K15" s="311"/>
      <c r="L15" s="1607">
        <f t="shared" si="0"/>
        <v>100</v>
      </c>
    </row>
    <row r="16" spans="1:15" ht="24.95" customHeight="1" x14ac:dyDescent="0.2">
      <c r="A16" s="828">
        <v>151051</v>
      </c>
      <c r="B16" s="837" t="s">
        <v>747</v>
      </c>
      <c r="C16" s="1120"/>
      <c r="D16" s="1120">
        <v>6000000</v>
      </c>
      <c r="E16" s="1121">
        <v>6000000</v>
      </c>
      <c r="F16" s="1121">
        <v>6000000</v>
      </c>
      <c r="G16" s="1121"/>
      <c r="H16" s="1121">
        <f t="shared" si="1"/>
        <v>0</v>
      </c>
      <c r="I16" s="311"/>
      <c r="J16" s="311">
        <v>4112600</v>
      </c>
      <c r="K16" s="311"/>
      <c r="L16" s="1607">
        <f t="shared" si="0"/>
        <v>68.543333333333337</v>
      </c>
    </row>
    <row r="17" spans="1:15" ht="24.95" customHeight="1" x14ac:dyDescent="0.2">
      <c r="A17" s="828">
        <v>151057</v>
      </c>
      <c r="B17" s="837" t="s">
        <v>767</v>
      </c>
      <c r="C17" s="1120"/>
      <c r="D17" s="1120">
        <v>2000000</v>
      </c>
      <c r="E17" s="1121">
        <f>2000000-481588-260495</f>
        <v>1257917</v>
      </c>
      <c r="F17" s="1121">
        <v>1257917</v>
      </c>
      <c r="G17" s="1121"/>
      <c r="H17" s="1121">
        <f t="shared" si="1"/>
        <v>-742083</v>
      </c>
      <c r="I17" s="311"/>
      <c r="J17" s="311">
        <v>1044956</v>
      </c>
      <c r="K17" s="311"/>
      <c r="L17" s="1607">
        <f t="shared" si="0"/>
        <v>83.070345658735832</v>
      </c>
    </row>
    <row r="18" spans="1:15" ht="24.95" customHeight="1" x14ac:dyDescent="0.2">
      <c r="A18" s="828">
        <v>151058</v>
      </c>
      <c r="B18" s="837" t="s">
        <v>750</v>
      </c>
      <c r="C18" s="1120"/>
      <c r="D18" s="1120">
        <f>500000+39378</f>
        <v>539378</v>
      </c>
      <c r="E18" s="1121">
        <v>539378</v>
      </c>
      <c r="F18" s="1121">
        <v>539378</v>
      </c>
      <c r="G18" s="1121"/>
      <c r="H18" s="1121">
        <f t="shared" si="1"/>
        <v>0</v>
      </c>
      <c r="I18" s="311"/>
      <c r="J18" s="311">
        <v>511556</v>
      </c>
      <c r="K18" s="311"/>
      <c r="L18" s="1607">
        <f t="shared" si="0"/>
        <v>94.841836337410868</v>
      </c>
    </row>
    <row r="19" spans="1:15" ht="24.95" customHeight="1" x14ac:dyDescent="0.2">
      <c r="A19" s="1187">
        <v>151054</v>
      </c>
      <c r="B19" s="837" t="s">
        <v>753</v>
      </c>
      <c r="C19" s="1120"/>
      <c r="D19" s="1120">
        <f>2100000+475052</f>
        <v>2575052</v>
      </c>
      <c r="E19" s="1121">
        <v>2575052</v>
      </c>
      <c r="F19" s="1121">
        <v>2575052</v>
      </c>
      <c r="G19" s="1121"/>
      <c r="H19" s="1121">
        <f t="shared" si="1"/>
        <v>0</v>
      </c>
      <c r="I19" s="311"/>
      <c r="J19" s="311">
        <v>1941830</v>
      </c>
      <c r="K19" s="311"/>
      <c r="L19" s="1607">
        <f t="shared" si="0"/>
        <v>75.409350956796217</v>
      </c>
    </row>
    <row r="20" spans="1:15" ht="24.95" customHeight="1" x14ac:dyDescent="0.2">
      <c r="A20" s="828">
        <v>151043</v>
      </c>
      <c r="B20" s="1360" t="s">
        <v>768</v>
      </c>
      <c r="C20" s="1188"/>
      <c r="D20" s="1188">
        <v>2150000</v>
      </c>
      <c r="E20" s="1121">
        <v>2150000</v>
      </c>
      <c r="F20" s="1121">
        <v>2150000</v>
      </c>
      <c r="G20" s="1121"/>
      <c r="H20" s="1121">
        <f t="shared" si="1"/>
        <v>0</v>
      </c>
      <c r="I20" s="311"/>
      <c r="J20" s="311">
        <v>2148693</v>
      </c>
      <c r="K20" s="311"/>
      <c r="L20" s="1607">
        <f t="shared" si="0"/>
        <v>99.93920930232558</v>
      </c>
    </row>
    <row r="21" spans="1:15" ht="24.95" customHeight="1" x14ac:dyDescent="0.2">
      <c r="A21" s="828">
        <v>123666</v>
      </c>
      <c r="B21" s="1360" t="s">
        <v>755</v>
      </c>
      <c r="C21" s="1188"/>
      <c r="D21" s="1188">
        <v>56894300</v>
      </c>
      <c r="E21" s="1121">
        <v>56894300</v>
      </c>
      <c r="F21" s="1121">
        <v>56894300</v>
      </c>
      <c r="G21" s="1121"/>
      <c r="H21" s="1121">
        <f t="shared" si="1"/>
        <v>0</v>
      </c>
      <c r="I21" s="311"/>
      <c r="J21" s="311">
        <v>0</v>
      </c>
      <c r="K21" s="311"/>
      <c r="L21" s="1607">
        <f t="shared" si="0"/>
        <v>0</v>
      </c>
    </row>
    <row r="22" spans="1:15" ht="24.95" customHeight="1" x14ac:dyDescent="0.2">
      <c r="A22" s="828">
        <v>151005</v>
      </c>
      <c r="B22" s="1360" t="s">
        <v>770</v>
      </c>
      <c r="C22" s="1188"/>
      <c r="D22" s="1188">
        <v>3000000</v>
      </c>
      <c r="E22" s="1121">
        <v>3000000</v>
      </c>
      <c r="F22" s="1121">
        <v>3000000</v>
      </c>
      <c r="G22" s="1121"/>
      <c r="H22" s="1121">
        <f t="shared" si="1"/>
        <v>0</v>
      </c>
      <c r="I22" s="311"/>
      <c r="J22" s="311">
        <v>0</v>
      </c>
      <c r="K22" s="311"/>
      <c r="L22" s="1607">
        <f t="shared" si="0"/>
        <v>0</v>
      </c>
    </row>
    <row r="23" spans="1:15" ht="24.95" customHeight="1" thickBot="1" x14ac:dyDescent="0.25">
      <c r="A23" s="674"/>
      <c r="B23" s="1572"/>
      <c r="C23" s="1573"/>
      <c r="D23" s="1573"/>
      <c r="E23" s="1573"/>
      <c r="F23" s="1573"/>
      <c r="G23" s="1573"/>
      <c r="H23" s="1573"/>
      <c r="I23" s="1574"/>
      <c r="J23" s="1574"/>
      <c r="K23" s="1574"/>
      <c r="L23" s="1608" t="str">
        <f t="shared" si="0"/>
        <v/>
      </c>
      <c r="O23" s="832"/>
    </row>
    <row r="24" spans="1:15" ht="21.95" customHeight="1" thickBot="1" x14ac:dyDescent="0.25">
      <c r="A24" s="413"/>
      <c r="B24" s="1575" t="s">
        <v>51</v>
      </c>
      <c r="C24" s="1576">
        <f>SUM(C25:C37)</f>
        <v>428020591</v>
      </c>
      <c r="D24" s="1576">
        <f>SUM(D25:D36)</f>
        <v>642682133</v>
      </c>
      <c r="E24" s="1576">
        <f>SUM(E25:E37)</f>
        <v>653163721</v>
      </c>
      <c r="F24" s="1576">
        <f>SUM(F25:F37)</f>
        <v>653163721</v>
      </c>
      <c r="G24" s="1576">
        <f t="shared" ref="G24:K24" si="2">SUM(G27:G37)</f>
        <v>0</v>
      </c>
      <c r="H24" s="1577">
        <f t="shared" si="1"/>
        <v>10481588</v>
      </c>
      <c r="I24" s="1578">
        <f t="shared" si="2"/>
        <v>0</v>
      </c>
      <c r="J24" s="1579">
        <f>SUM(J25:J37)</f>
        <v>121829731</v>
      </c>
      <c r="K24" s="1579">
        <f t="shared" si="2"/>
        <v>0</v>
      </c>
      <c r="L24" s="1609">
        <f t="shared" si="0"/>
        <v>18.652250130101759</v>
      </c>
      <c r="N24" s="1181"/>
      <c r="O24" s="964"/>
    </row>
    <row r="25" spans="1:15" ht="21.95" customHeight="1" x14ac:dyDescent="0.2">
      <c r="A25" s="838">
        <v>151002</v>
      </c>
      <c r="B25" s="1585" t="s">
        <v>696</v>
      </c>
      <c r="C25" s="1586">
        <v>9300000</v>
      </c>
      <c r="D25" s="1586">
        <v>9300000</v>
      </c>
      <c r="E25" s="1587">
        <v>9300000</v>
      </c>
      <c r="F25" s="1587">
        <v>9300000</v>
      </c>
      <c r="G25" s="1588"/>
      <c r="H25" s="1588">
        <f t="shared" si="1"/>
        <v>0</v>
      </c>
      <c r="I25" s="1571"/>
      <c r="J25" s="1716">
        <v>1181100</v>
      </c>
      <c r="K25" s="1716"/>
      <c r="L25" s="1717">
        <f t="shared" si="0"/>
        <v>12.7</v>
      </c>
    </row>
    <row r="26" spans="1:15" ht="24.95" customHeight="1" x14ac:dyDescent="0.2">
      <c r="A26" s="836">
        <v>152008</v>
      </c>
      <c r="B26" s="837" t="s">
        <v>694</v>
      </c>
      <c r="C26" s="1120">
        <v>5461000</v>
      </c>
      <c r="D26" s="1120">
        <v>5461000</v>
      </c>
      <c r="E26" s="1121">
        <v>5461000</v>
      </c>
      <c r="F26" s="1121">
        <v>5461000</v>
      </c>
      <c r="G26" s="1121"/>
      <c r="H26" s="1121">
        <f t="shared" si="1"/>
        <v>0</v>
      </c>
      <c r="I26" s="311"/>
      <c r="J26" s="311">
        <v>4940300</v>
      </c>
      <c r="K26" s="311"/>
      <c r="L26" s="1607">
        <f t="shared" si="0"/>
        <v>90.465116279069775</v>
      </c>
      <c r="M26" s="11"/>
    </row>
    <row r="27" spans="1:15" ht="24.95" customHeight="1" x14ac:dyDescent="0.2">
      <c r="A27" s="831">
        <v>152010</v>
      </c>
      <c r="B27" s="829" t="s">
        <v>504</v>
      </c>
      <c r="C27" s="1121">
        <v>144790690</v>
      </c>
      <c r="D27" s="1121">
        <v>144790690</v>
      </c>
      <c r="E27" s="1121">
        <v>144790690</v>
      </c>
      <c r="F27" s="1121">
        <v>144790690</v>
      </c>
      <c r="G27" s="1121"/>
      <c r="H27" s="1121">
        <f t="shared" si="1"/>
        <v>0</v>
      </c>
      <c r="I27" s="311"/>
      <c r="J27" s="311">
        <v>29684542</v>
      </c>
      <c r="K27" s="311"/>
      <c r="L27" s="1607">
        <f t="shared" si="0"/>
        <v>20.50169247760336</v>
      </c>
    </row>
    <row r="28" spans="1:15" ht="24.95" customHeight="1" x14ac:dyDescent="0.2">
      <c r="A28" s="831">
        <v>152011</v>
      </c>
      <c r="B28" s="829" t="s">
        <v>505</v>
      </c>
      <c r="C28" s="1121">
        <v>236729953</v>
      </c>
      <c r="D28" s="1121">
        <v>236729953</v>
      </c>
      <c r="E28" s="1121">
        <v>236729953</v>
      </c>
      <c r="F28" s="1121">
        <v>236729953</v>
      </c>
      <c r="G28" s="1121"/>
      <c r="H28" s="1121">
        <f t="shared" si="1"/>
        <v>0</v>
      </c>
      <c r="I28" s="311"/>
      <c r="J28" s="311">
        <v>12141667</v>
      </c>
      <c r="K28" s="311"/>
      <c r="L28" s="1607">
        <f t="shared" si="0"/>
        <v>5.1289103242461254</v>
      </c>
    </row>
    <row r="29" spans="1:15" ht="24.95" customHeight="1" x14ac:dyDescent="0.2">
      <c r="A29" s="831">
        <v>152032</v>
      </c>
      <c r="B29" s="829" t="s">
        <v>693</v>
      </c>
      <c r="C29" s="1121">
        <v>10000000</v>
      </c>
      <c r="D29" s="1121">
        <f>10000000-39378</f>
        <v>9960622</v>
      </c>
      <c r="E29" s="1121">
        <v>9960622</v>
      </c>
      <c r="F29" s="1121">
        <v>9960622</v>
      </c>
      <c r="G29" s="1121"/>
      <c r="H29" s="1121">
        <f t="shared" si="1"/>
        <v>0</v>
      </c>
      <c r="I29" s="311"/>
      <c r="J29" s="311">
        <v>9960622</v>
      </c>
      <c r="K29" s="311"/>
      <c r="L29" s="1607">
        <f t="shared" si="0"/>
        <v>100</v>
      </c>
    </row>
    <row r="30" spans="1:15" ht="24.95" customHeight="1" x14ac:dyDescent="0.2">
      <c r="A30" s="831">
        <v>152033</v>
      </c>
      <c r="B30" s="829" t="s">
        <v>706</v>
      </c>
      <c r="C30" s="1121">
        <v>6000000</v>
      </c>
      <c r="D30" s="1121">
        <v>6000000</v>
      </c>
      <c r="E30" s="1121">
        <f>6000000-742581</f>
        <v>5257419</v>
      </c>
      <c r="F30" s="1121">
        <v>5257419</v>
      </c>
      <c r="G30" s="1121"/>
      <c r="H30" s="1121">
        <f t="shared" si="1"/>
        <v>-742581</v>
      </c>
      <c r="I30" s="311"/>
      <c r="J30" s="311">
        <v>5257419</v>
      </c>
      <c r="K30" s="311"/>
      <c r="L30" s="1607">
        <f t="shared" si="0"/>
        <v>100</v>
      </c>
    </row>
    <row r="31" spans="1:15" ht="24.95" customHeight="1" x14ac:dyDescent="0.2">
      <c r="A31" s="831">
        <v>152053</v>
      </c>
      <c r="B31" s="829" t="s">
        <v>691</v>
      </c>
      <c r="C31" s="1121">
        <v>3038948</v>
      </c>
      <c r="D31" s="1121">
        <v>3038948</v>
      </c>
      <c r="E31" s="1121">
        <v>3038948</v>
      </c>
      <c r="F31" s="1121">
        <v>3038948</v>
      </c>
      <c r="G31" s="1121"/>
      <c r="H31" s="1121">
        <f t="shared" si="1"/>
        <v>0</v>
      </c>
      <c r="I31" s="311"/>
      <c r="J31" s="311">
        <v>3038948</v>
      </c>
      <c r="K31" s="311"/>
      <c r="L31" s="1607">
        <f t="shared" si="0"/>
        <v>100</v>
      </c>
    </row>
    <row r="32" spans="1:15" ht="24.95" customHeight="1" x14ac:dyDescent="0.2">
      <c r="A32" s="836">
        <v>152054</v>
      </c>
      <c r="B32" s="830" t="s">
        <v>685</v>
      </c>
      <c r="C32" s="1120">
        <v>4700000</v>
      </c>
      <c r="D32" s="1120">
        <f>4700000+15000000+6372685</f>
        <v>26072685</v>
      </c>
      <c r="E32" s="1121">
        <v>26072685</v>
      </c>
      <c r="F32" s="1121">
        <v>26072685</v>
      </c>
      <c r="G32" s="1121"/>
      <c r="H32" s="1121">
        <f t="shared" si="1"/>
        <v>0</v>
      </c>
      <c r="I32" s="311"/>
      <c r="J32" s="311">
        <v>26072685</v>
      </c>
      <c r="K32" s="311"/>
      <c r="L32" s="1607">
        <f t="shared" si="0"/>
        <v>100</v>
      </c>
    </row>
    <row r="33" spans="1:12" ht="25.5" customHeight="1" x14ac:dyDescent="0.2">
      <c r="A33" s="836">
        <v>152055</v>
      </c>
      <c r="B33" s="830" t="s">
        <v>686</v>
      </c>
      <c r="C33" s="1120">
        <v>8000000</v>
      </c>
      <c r="D33" s="1120">
        <v>8000000</v>
      </c>
      <c r="E33" s="1121">
        <f>8000000-1677353</f>
        <v>6322647</v>
      </c>
      <c r="F33" s="1121">
        <v>6322647</v>
      </c>
      <c r="G33" s="1121"/>
      <c r="H33" s="1121">
        <f t="shared" si="1"/>
        <v>-1677353</v>
      </c>
      <c r="I33" s="311"/>
      <c r="J33" s="311">
        <v>6322647</v>
      </c>
      <c r="K33" s="311"/>
      <c r="L33" s="1607">
        <f t="shared" si="0"/>
        <v>100</v>
      </c>
    </row>
    <row r="34" spans="1:12" ht="25.5" customHeight="1" x14ac:dyDescent="0.2">
      <c r="A34" s="1180">
        <v>151054</v>
      </c>
      <c r="B34" s="830" t="s">
        <v>749</v>
      </c>
      <c r="C34" s="1120"/>
      <c r="D34" s="1120">
        <f>9000000-475052</f>
        <v>8524948</v>
      </c>
      <c r="E34" s="1121">
        <f>8524948+10000000</f>
        <v>18524948</v>
      </c>
      <c r="F34" s="1121">
        <v>18524948</v>
      </c>
      <c r="G34" s="1121"/>
      <c r="H34" s="1121">
        <f t="shared" si="1"/>
        <v>10000000</v>
      </c>
      <c r="I34" s="311"/>
      <c r="J34" s="311">
        <v>8328279</v>
      </c>
      <c r="K34" s="311"/>
      <c r="L34" s="1607">
        <f t="shared" si="0"/>
        <v>44.957097855281432</v>
      </c>
    </row>
    <row r="35" spans="1:12" ht="25.5" customHeight="1" x14ac:dyDescent="0.2">
      <c r="A35" s="836">
        <v>152034</v>
      </c>
      <c r="B35" s="830" t="s">
        <v>752</v>
      </c>
      <c r="C35" s="1120"/>
      <c r="D35" s="1120">
        <v>12000000</v>
      </c>
      <c r="E35" s="1121">
        <f>12000000+2901522</f>
        <v>14901522</v>
      </c>
      <c r="F35" s="1121">
        <v>14901522</v>
      </c>
      <c r="G35" s="1121"/>
      <c r="H35" s="1121">
        <f t="shared" si="1"/>
        <v>2901522</v>
      </c>
      <c r="I35" s="311"/>
      <c r="J35" s="311">
        <v>14901522</v>
      </c>
      <c r="K35" s="311"/>
      <c r="L35" s="1607">
        <f t="shared" si="0"/>
        <v>100</v>
      </c>
    </row>
    <row r="36" spans="1:12" s="1147" customFormat="1" ht="25.5" customHeight="1" x14ac:dyDescent="0.2">
      <c r="A36" s="1187"/>
      <c r="B36" s="1361" t="s">
        <v>769</v>
      </c>
      <c r="C36" s="1188"/>
      <c r="D36" s="1188">
        <v>172803287</v>
      </c>
      <c r="E36" s="1362">
        <v>172803287</v>
      </c>
      <c r="F36" s="1362">
        <v>172803287</v>
      </c>
      <c r="G36" s="1362"/>
      <c r="H36" s="1362">
        <f t="shared" si="1"/>
        <v>0</v>
      </c>
      <c r="I36" s="1185"/>
      <c r="J36" s="1185">
        <v>0</v>
      </c>
      <c r="K36" s="1185"/>
      <c r="L36" s="1610">
        <f t="shared" si="0"/>
        <v>0</v>
      </c>
    </row>
    <row r="37" spans="1:12" ht="13.5" thickBot="1" x14ac:dyDescent="0.25">
      <c r="A37" s="870"/>
      <c r="B37" s="1589"/>
      <c r="C37" s="1590"/>
      <c r="D37" s="1590"/>
      <c r="E37" s="1590"/>
      <c r="F37" s="1590"/>
      <c r="G37" s="1590"/>
      <c r="H37" s="1590"/>
      <c r="I37" s="1590"/>
      <c r="J37" s="1590"/>
      <c r="K37" s="1590"/>
      <c r="L37" s="1611" t="str">
        <f t="shared" si="0"/>
        <v/>
      </c>
    </row>
    <row r="38" spans="1:12" s="414" customFormat="1" ht="24" customHeight="1" thickBot="1" x14ac:dyDescent="0.25">
      <c r="A38" s="971"/>
      <c r="B38" s="1580" t="s">
        <v>364</v>
      </c>
      <c r="C38" s="1581">
        <f t="shared" ref="C38:K38" si="3">C24+C7</f>
        <v>565326491</v>
      </c>
      <c r="D38" s="1581">
        <f t="shared" si="3"/>
        <v>869135068</v>
      </c>
      <c r="E38" s="1581">
        <f t="shared" si="3"/>
        <v>879403187</v>
      </c>
      <c r="F38" s="1581">
        <f t="shared" si="3"/>
        <v>879403187</v>
      </c>
      <c r="G38" s="1581">
        <f t="shared" si="3"/>
        <v>0</v>
      </c>
      <c r="H38" s="1582">
        <f t="shared" si="1"/>
        <v>10268119</v>
      </c>
      <c r="I38" s="1583">
        <f t="shared" si="3"/>
        <v>0</v>
      </c>
      <c r="J38" s="1584">
        <f t="shared" si="3"/>
        <v>206845950</v>
      </c>
      <c r="K38" s="1584">
        <f t="shared" si="3"/>
        <v>0</v>
      </c>
      <c r="L38" s="1612">
        <f t="shared" si="0"/>
        <v>23.521173570638879</v>
      </c>
    </row>
    <row r="39" spans="1:12" ht="24" customHeight="1" thickBot="1" x14ac:dyDescent="0.3">
      <c r="A39" s="870"/>
      <c r="B39" s="1826" t="s">
        <v>114</v>
      </c>
      <c r="C39" s="1827"/>
      <c r="D39" s="1591"/>
      <c r="E39" s="1591"/>
      <c r="F39" s="1591"/>
      <c r="G39" s="1591"/>
      <c r="H39" s="1592"/>
      <c r="I39" s="1593"/>
      <c r="J39" s="1593"/>
      <c r="K39" s="165"/>
      <c r="L39" s="1613" t="str">
        <f t="shared" si="0"/>
        <v/>
      </c>
    </row>
    <row r="40" spans="1:12" ht="21.95" customHeight="1" thickBot="1" x14ac:dyDescent="0.25">
      <c r="A40" s="413"/>
      <c r="B40" s="1596" t="s">
        <v>50</v>
      </c>
      <c r="C40" s="29">
        <f>SUM(C41:C45)</f>
        <v>6051164</v>
      </c>
      <c r="D40" s="29">
        <f>SUM(D41:D45)</f>
        <v>9051164</v>
      </c>
      <c r="E40" s="29">
        <f>SUM(E41:E45)</f>
        <v>9051164</v>
      </c>
      <c r="F40" s="29">
        <f t="shared" ref="F40:K40" si="4">SUM(F41:F45)</f>
        <v>9051164</v>
      </c>
      <c r="G40" s="29">
        <f t="shared" si="4"/>
        <v>0</v>
      </c>
      <c r="H40" s="30">
        <f t="shared" si="1"/>
        <v>0</v>
      </c>
      <c r="I40" s="196">
        <f t="shared" si="4"/>
        <v>0</v>
      </c>
      <c r="J40" s="29">
        <f>SUM(J41:J45)</f>
        <v>4774907</v>
      </c>
      <c r="K40" s="29">
        <f t="shared" si="4"/>
        <v>0</v>
      </c>
      <c r="L40" s="1614">
        <f t="shared" si="0"/>
        <v>52.754618080061299</v>
      </c>
    </row>
    <row r="41" spans="1:12" ht="24" customHeight="1" x14ac:dyDescent="0.2">
      <c r="A41" s="871">
        <v>251001</v>
      </c>
      <c r="B41" s="1594" t="s">
        <v>506</v>
      </c>
      <c r="C41" s="123">
        <v>2701164</v>
      </c>
      <c r="D41" s="123">
        <f>2701164+500000+3000000</f>
        <v>6201164</v>
      </c>
      <c r="E41" s="123">
        <v>6201164</v>
      </c>
      <c r="F41" s="123">
        <v>6201164</v>
      </c>
      <c r="G41" s="123"/>
      <c r="H41" s="1595">
        <f t="shared" si="1"/>
        <v>0</v>
      </c>
      <c r="I41" s="658"/>
      <c r="J41" s="123">
        <v>4492561</v>
      </c>
      <c r="K41" s="161"/>
      <c r="L41" s="1615">
        <f t="shared" si="0"/>
        <v>72.447059939069504</v>
      </c>
    </row>
    <row r="42" spans="1:12" ht="24" customHeight="1" x14ac:dyDescent="0.2">
      <c r="A42" s="871">
        <v>251001</v>
      </c>
      <c r="B42" s="872" t="s">
        <v>496</v>
      </c>
      <c r="C42" s="311">
        <v>500000</v>
      </c>
      <c r="D42" s="311">
        <v>500000</v>
      </c>
      <c r="E42" s="311">
        <v>500000</v>
      </c>
      <c r="F42" s="311">
        <v>500000</v>
      </c>
      <c r="G42" s="311"/>
      <c r="H42" s="306">
        <f t="shared" si="1"/>
        <v>0</v>
      </c>
      <c r="I42" s="655"/>
      <c r="J42" s="1598">
        <v>40767</v>
      </c>
      <c r="K42" s="1598"/>
      <c r="L42" s="1616">
        <f t="shared" si="0"/>
        <v>8.1533999999999995</v>
      </c>
    </row>
    <row r="43" spans="1:12" ht="24" customHeight="1" x14ac:dyDescent="0.2">
      <c r="A43" s="513">
        <v>251011</v>
      </c>
      <c r="B43" s="872" t="s">
        <v>497</v>
      </c>
      <c r="C43" s="311">
        <v>2500000</v>
      </c>
      <c r="D43" s="311">
        <f>2500000-500000</f>
        <v>2000000</v>
      </c>
      <c r="E43" s="311">
        <v>2000000</v>
      </c>
      <c r="F43" s="311">
        <v>2000000</v>
      </c>
      <c r="G43" s="311"/>
      <c r="H43" s="306">
        <f t="shared" si="1"/>
        <v>0</v>
      </c>
      <c r="I43" s="656"/>
      <c r="J43" s="311">
        <v>0</v>
      </c>
      <c r="K43" s="311"/>
      <c r="L43" s="1607">
        <f t="shared" si="0"/>
        <v>0</v>
      </c>
    </row>
    <row r="44" spans="1:12" ht="24" customHeight="1" x14ac:dyDescent="0.2">
      <c r="A44" s="513">
        <v>223219</v>
      </c>
      <c r="B44" s="872" t="s">
        <v>716</v>
      </c>
      <c r="C44" s="311">
        <v>350000</v>
      </c>
      <c r="D44" s="311">
        <v>350000</v>
      </c>
      <c r="E44" s="311">
        <v>350000</v>
      </c>
      <c r="F44" s="311">
        <v>350000</v>
      </c>
      <c r="G44" s="311"/>
      <c r="H44" s="306">
        <f t="shared" si="1"/>
        <v>0</v>
      </c>
      <c r="I44" s="656"/>
      <c r="J44" s="311">
        <v>241579</v>
      </c>
      <c r="K44" s="311"/>
      <c r="L44" s="1607">
        <f t="shared" si="0"/>
        <v>69.022571428571439</v>
      </c>
    </row>
    <row r="45" spans="1:12" ht="24" customHeight="1" x14ac:dyDescent="0.2">
      <c r="A45" s="513"/>
      <c r="B45" s="872"/>
      <c r="C45" s="311"/>
      <c r="D45" s="311"/>
      <c r="E45" s="311"/>
      <c r="F45" s="311"/>
      <c r="G45" s="311"/>
      <c r="H45" s="306"/>
      <c r="I45" s="658"/>
      <c r="J45" s="123"/>
      <c r="K45" s="123"/>
      <c r="L45" s="1617" t="str">
        <f t="shared" si="0"/>
        <v/>
      </c>
    </row>
    <row r="46" spans="1:12" ht="13.5" thickBot="1" x14ac:dyDescent="0.25">
      <c r="A46" s="310"/>
      <c r="B46" s="1597"/>
      <c r="C46" s="1598"/>
      <c r="D46" s="1598"/>
      <c r="E46" s="1598"/>
      <c r="F46" s="1598"/>
      <c r="G46" s="1598"/>
      <c r="H46" s="309"/>
      <c r="I46" s="659"/>
      <c r="J46" s="104"/>
      <c r="K46" s="498"/>
      <c r="L46" s="1618" t="str">
        <f t="shared" si="0"/>
        <v/>
      </c>
    </row>
    <row r="47" spans="1:12" ht="21.95" customHeight="1" thickBot="1" x14ac:dyDescent="0.25">
      <c r="A47" s="413"/>
      <c r="B47" s="1596" t="s">
        <v>51</v>
      </c>
      <c r="C47" s="29">
        <f t="shared" ref="C47:K47" si="5">SUM(C48:C48)</f>
        <v>0</v>
      </c>
      <c r="D47" s="29">
        <f t="shared" si="5"/>
        <v>0</v>
      </c>
      <c r="E47" s="29">
        <f t="shared" si="5"/>
        <v>0</v>
      </c>
      <c r="F47" s="29">
        <f t="shared" si="5"/>
        <v>0</v>
      </c>
      <c r="G47" s="29">
        <f t="shared" si="5"/>
        <v>0</v>
      </c>
      <c r="H47" s="29">
        <f t="shared" si="1"/>
        <v>0</v>
      </c>
      <c r="I47" s="29">
        <f t="shared" si="5"/>
        <v>0</v>
      </c>
      <c r="J47" s="29">
        <f t="shared" si="5"/>
        <v>0</v>
      </c>
      <c r="K47" s="196">
        <f t="shared" si="5"/>
        <v>0</v>
      </c>
      <c r="L47" s="1614" t="str">
        <f t="shared" si="0"/>
        <v/>
      </c>
    </row>
    <row r="48" spans="1:12" ht="24" customHeight="1" x14ac:dyDescent="0.2">
      <c r="A48" s="616"/>
      <c r="B48" s="1599"/>
      <c r="C48" s="123"/>
      <c r="D48" s="123"/>
      <c r="E48" s="123"/>
      <c r="F48" s="123"/>
      <c r="G48" s="123"/>
      <c r="H48" s="1595"/>
      <c r="I48" s="658">
        <v>0</v>
      </c>
      <c r="J48" s="123"/>
      <c r="K48" s="161">
        <v>0</v>
      </c>
      <c r="L48" s="1615" t="str">
        <f t="shared" si="0"/>
        <v/>
      </c>
    </row>
    <row r="49" spans="1:12" ht="13.5" thickBot="1" x14ac:dyDescent="0.25">
      <c r="A49" s="110"/>
      <c r="B49" s="844"/>
      <c r="C49" s="311"/>
      <c r="D49" s="311"/>
      <c r="E49" s="311"/>
      <c r="F49" s="311"/>
      <c r="G49" s="311"/>
      <c r="H49" s="306"/>
      <c r="I49" s="659"/>
      <c r="J49" s="104"/>
      <c r="K49" s="104"/>
      <c r="L49" s="1619" t="str">
        <f t="shared" si="0"/>
        <v/>
      </c>
    </row>
    <row r="50" spans="1:12" ht="21.95" customHeight="1" thickBot="1" x14ac:dyDescent="0.25">
      <c r="A50" s="413"/>
      <c r="B50" s="1596" t="s">
        <v>365</v>
      </c>
      <c r="C50" s="29">
        <f>C40+C47</f>
        <v>6051164</v>
      </c>
      <c r="D50" s="29">
        <f t="shared" ref="D50:K50" si="6">D40+D47</f>
        <v>9051164</v>
      </c>
      <c r="E50" s="29">
        <f t="shared" si="6"/>
        <v>9051164</v>
      </c>
      <c r="F50" s="29">
        <f t="shared" si="6"/>
        <v>9051164</v>
      </c>
      <c r="G50" s="29">
        <f t="shared" si="6"/>
        <v>0</v>
      </c>
      <c r="H50" s="29">
        <f t="shared" si="1"/>
        <v>0</v>
      </c>
      <c r="I50" s="29">
        <f t="shared" si="6"/>
        <v>0</v>
      </c>
      <c r="J50" s="29">
        <f t="shared" si="6"/>
        <v>4774907</v>
      </c>
      <c r="K50" s="196">
        <f t="shared" si="6"/>
        <v>0</v>
      </c>
      <c r="L50" s="1614">
        <f t="shared" si="0"/>
        <v>52.754618080061299</v>
      </c>
    </row>
    <row r="51" spans="1:12" ht="24" customHeight="1" thickBot="1" x14ac:dyDescent="0.25">
      <c r="A51" s="873"/>
      <c r="B51" s="1363"/>
      <c r="C51" s="1354"/>
      <c r="D51" s="1354"/>
      <c r="E51" s="1354"/>
      <c r="F51" s="1354"/>
      <c r="G51" s="1354"/>
      <c r="H51" s="1355"/>
      <c r="I51" s="196"/>
      <c r="J51" s="29"/>
      <c r="K51" s="29"/>
      <c r="L51" s="1614" t="str">
        <f t="shared" si="0"/>
        <v/>
      </c>
    </row>
    <row r="52" spans="1:12" ht="21.95" customHeight="1" thickBot="1" x14ac:dyDescent="0.25">
      <c r="A52" s="413"/>
      <c r="B52" s="1596" t="s">
        <v>50</v>
      </c>
      <c r="C52" s="29">
        <f t="shared" ref="C52:K52" si="7">SUM(C53:C60)</f>
        <v>5000000</v>
      </c>
      <c r="D52" s="29">
        <f t="shared" si="7"/>
        <v>13180316</v>
      </c>
      <c r="E52" s="29">
        <f t="shared" si="7"/>
        <v>18340720</v>
      </c>
      <c r="F52" s="29">
        <f t="shared" si="7"/>
        <v>18340720</v>
      </c>
      <c r="G52" s="29">
        <f t="shared" si="7"/>
        <v>0</v>
      </c>
      <c r="H52" s="29">
        <f t="shared" si="1"/>
        <v>5160404</v>
      </c>
      <c r="I52" s="29">
        <f t="shared" si="7"/>
        <v>0</v>
      </c>
      <c r="J52" s="29">
        <f>SUM(J53:J60)</f>
        <v>6045366</v>
      </c>
      <c r="K52" s="196">
        <f t="shared" si="7"/>
        <v>0</v>
      </c>
      <c r="L52" s="1614">
        <f t="shared" si="0"/>
        <v>32.961443171260449</v>
      </c>
    </row>
    <row r="53" spans="1:12" ht="24" hidden="1" customHeight="1" x14ac:dyDescent="0.2">
      <c r="A53" s="873"/>
      <c r="B53" s="844" t="s">
        <v>499</v>
      </c>
      <c r="C53" s="311"/>
      <c r="D53" s="311"/>
      <c r="E53" s="311"/>
      <c r="F53" s="311"/>
      <c r="G53" s="311"/>
      <c r="H53" s="306">
        <f t="shared" si="1"/>
        <v>0</v>
      </c>
      <c r="I53" s="656"/>
      <c r="J53" s="311"/>
      <c r="K53" s="311"/>
      <c r="L53" s="1607" t="str">
        <f t="shared" si="0"/>
        <v/>
      </c>
    </row>
    <row r="54" spans="1:12" ht="24" hidden="1" customHeight="1" x14ac:dyDescent="0.2">
      <c r="A54" s="873"/>
      <c r="B54" s="844" t="s">
        <v>552</v>
      </c>
      <c r="C54" s="311"/>
      <c r="D54" s="311"/>
      <c r="E54" s="311"/>
      <c r="F54" s="311"/>
      <c r="G54" s="311"/>
      <c r="H54" s="306">
        <f t="shared" si="1"/>
        <v>0</v>
      </c>
      <c r="I54" s="656"/>
      <c r="J54" s="311"/>
      <c r="K54" s="311"/>
      <c r="L54" s="1607" t="str">
        <f t="shared" si="0"/>
        <v/>
      </c>
    </row>
    <row r="55" spans="1:12" ht="24" customHeight="1" x14ac:dyDescent="0.2">
      <c r="A55" s="873"/>
      <c r="B55" s="844" t="s">
        <v>514</v>
      </c>
      <c r="C55" s="311">
        <v>5000000</v>
      </c>
      <c r="D55" s="311">
        <f>5000000-1693189-504695</f>
        <v>2802116</v>
      </c>
      <c r="E55" s="311">
        <f>2802116-458796+1000000</f>
        <v>3343320</v>
      </c>
      <c r="F55" s="1185">
        <v>3343320</v>
      </c>
      <c r="G55" s="1185"/>
      <c r="H55" s="1186">
        <f t="shared" si="1"/>
        <v>541204</v>
      </c>
      <c r="I55" s="1184"/>
      <c r="J55" s="1605">
        <v>2668097</v>
      </c>
      <c r="K55" s="1598"/>
      <c r="L55" s="1616">
        <f t="shared" si="0"/>
        <v>79.803817761985101</v>
      </c>
    </row>
    <row r="56" spans="1:12" ht="24" customHeight="1" x14ac:dyDescent="0.2">
      <c r="A56" s="873"/>
      <c r="B56" s="872" t="s">
        <v>506</v>
      </c>
      <c r="C56" s="311"/>
      <c r="D56" s="311">
        <v>3378200</v>
      </c>
      <c r="E56" s="311">
        <v>3378200</v>
      </c>
      <c r="F56" s="1185">
        <v>3378200</v>
      </c>
      <c r="G56" s="1185"/>
      <c r="H56" s="1186">
        <f t="shared" si="1"/>
        <v>0</v>
      </c>
      <c r="I56" s="1184"/>
      <c r="J56" s="1605">
        <v>3377269</v>
      </c>
      <c r="K56" s="1598"/>
      <c r="L56" s="1616">
        <f t="shared" si="0"/>
        <v>99.972440944881896</v>
      </c>
    </row>
    <row r="57" spans="1:12" ht="24" hidden="1" customHeight="1" x14ac:dyDescent="0.2">
      <c r="A57" s="873"/>
      <c r="B57" s="844"/>
      <c r="C57" s="311"/>
      <c r="D57" s="311"/>
      <c r="E57" s="311"/>
      <c r="F57" s="311"/>
      <c r="G57" s="311"/>
      <c r="H57" s="306">
        <f t="shared" si="1"/>
        <v>0</v>
      </c>
      <c r="I57" s="655"/>
      <c r="J57" s="1598"/>
      <c r="K57" s="1598"/>
      <c r="L57" s="1616" t="str">
        <f t="shared" si="0"/>
        <v/>
      </c>
    </row>
    <row r="58" spans="1:12" ht="24" hidden="1" customHeight="1" x14ac:dyDescent="0.2">
      <c r="A58" s="873"/>
      <c r="B58" s="844"/>
      <c r="C58" s="311"/>
      <c r="D58" s="311"/>
      <c r="E58" s="311"/>
      <c r="F58" s="311"/>
      <c r="G58" s="311"/>
      <c r="H58" s="306">
        <f t="shared" si="1"/>
        <v>0</v>
      </c>
      <c r="I58" s="656"/>
      <c r="J58" s="311"/>
      <c r="K58" s="311"/>
      <c r="L58" s="1607" t="str">
        <f t="shared" si="0"/>
        <v/>
      </c>
    </row>
    <row r="59" spans="1:12" ht="24" customHeight="1" x14ac:dyDescent="0.2">
      <c r="A59" s="873"/>
      <c r="B59" s="844" t="s">
        <v>754</v>
      </c>
      <c r="C59" s="311"/>
      <c r="D59" s="311">
        <v>7000000</v>
      </c>
      <c r="E59" s="311">
        <f>7000000+4619200</f>
        <v>11619200</v>
      </c>
      <c r="F59" s="311">
        <v>11619200</v>
      </c>
      <c r="G59" s="311"/>
      <c r="H59" s="306">
        <f t="shared" si="1"/>
        <v>4619200</v>
      </c>
      <c r="I59" s="656"/>
      <c r="J59" s="311">
        <v>0</v>
      </c>
      <c r="K59" s="311"/>
      <c r="L59" s="1607">
        <f t="shared" si="0"/>
        <v>0</v>
      </c>
    </row>
    <row r="60" spans="1:12" ht="13.5" thickBot="1" x14ac:dyDescent="0.25">
      <c r="A60" s="873"/>
      <c r="B60" s="844"/>
      <c r="C60" s="311"/>
      <c r="D60" s="311"/>
      <c r="E60" s="311"/>
      <c r="F60" s="311"/>
      <c r="G60" s="311"/>
      <c r="H60" s="306"/>
      <c r="I60" s="656"/>
      <c r="J60" s="311"/>
      <c r="K60" s="311"/>
      <c r="L60" s="1607" t="str">
        <f t="shared" si="0"/>
        <v/>
      </c>
    </row>
    <row r="61" spans="1:12" ht="21.95" customHeight="1" thickBot="1" x14ac:dyDescent="0.25">
      <c r="A61" s="413"/>
      <c r="B61" s="1596" t="s">
        <v>51</v>
      </c>
      <c r="C61" s="29">
        <f>SUM(C62:C64)</f>
        <v>0</v>
      </c>
      <c r="D61" s="29">
        <f t="shared" ref="D61:K61" si="8">SUM(D62:D64)</f>
        <v>0</v>
      </c>
      <c r="E61" s="29">
        <f t="shared" si="8"/>
        <v>0</v>
      </c>
      <c r="F61" s="29">
        <f t="shared" si="8"/>
        <v>0</v>
      </c>
      <c r="G61" s="29">
        <f t="shared" si="8"/>
        <v>0</v>
      </c>
      <c r="H61" s="29">
        <f t="shared" si="1"/>
        <v>0</v>
      </c>
      <c r="I61" s="29">
        <f t="shared" si="8"/>
        <v>0</v>
      </c>
      <c r="J61" s="29">
        <f t="shared" si="8"/>
        <v>0</v>
      </c>
      <c r="K61" s="29">
        <f t="shared" si="8"/>
        <v>0</v>
      </c>
      <c r="L61" s="1614" t="str">
        <f t="shared" si="0"/>
        <v/>
      </c>
    </row>
    <row r="62" spans="1:12" ht="24" customHeight="1" x14ac:dyDescent="0.2">
      <c r="A62" s="873"/>
      <c r="B62" s="844"/>
      <c r="C62" s="311"/>
      <c r="D62" s="311"/>
      <c r="E62" s="311"/>
      <c r="F62" s="311"/>
      <c r="G62" s="311"/>
      <c r="H62" s="306"/>
      <c r="I62" s="656"/>
      <c r="J62" s="311"/>
      <c r="K62" s="311"/>
      <c r="L62" s="1607" t="str">
        <f t="shared" si="0"/>
        <v/>
      </c>
    </row>
    <row r="63" spans="1:12" ht="24" hidden="1" customHeight="1" x14ac:dyDescent="0.2">
      <c r="A63" s="873"/>
      <c r="B63" s="844"/>
      <c r="C63" s="311"/>
      <c r="D63" s="311"/>
      <c r="E63" s="311"/>
      <c r="F63" s="311"/>
      <c r="G63" s="311"/>
      <c r="H63" s="306">
        <f t="shared" si="1"/>
        <v>0</v>
      </c>
      <c r="I63" s="656"/>
      <c r="J63" s="311"/>
      <c r="K63" s="311"/>
      <c r="L63" s="1607" t="str">
        <f t="shared" si="0"/>
        <v/>
      </c>
    </row>
    <row r="64" spans="1:12" ht="13.5" thickBot="1" x14ac:dyDescent="0.25">
      <c r="A64" s="873"/>
      <c r="B64" s="844"/>
      <c r="C64" s="311"/>
      <c r="D64" s="311"/>
      <c r="E64" s="311"/>
      <c r="F64" s="311"/>
      <c r="G64" s="311"/>
      <c r="H64" s="306"/>
      <c r="I64" s="656"/>
      <c r="J64" s="311"/>
      <c r="K64" s="311"/>
      <c r="L64" s="1607" t="str">
        <f t="shared" si="0"/>
        <v/>
      </c>
    </row>
    <row r="65" spans="1:12" ht="21.95" customHeight="1" thickBot="1" x14ac:dyDescent="0.25">
      <c r="A65" s="413"/>
      <c r="B65" s="1596" t="s">
        <v>134</v>
      </c>
      <c r="C65" s="29">
        <f t="shared" ref="C65:K65" si="9">C52+C61</f>
        <v>5000000</v>
      </c>
      <c r="D65" s="29">
        <f t="shared" si="9"/>
        <v>13180316</v>
      </c>
      <c r="E65" s="29">
        <f t="shared" si="9"/>
        <v>18340720</v>
      </c>
      <c r="F65" s="29">
        <f t="shared" si="9"/>
        <v>18340720</v>
      </c>
      <c r="G65" s="29">
        <f t="shared" si="9"/>
        <v>0</v>
      </c>
      <c r="H65" s="29">
        <f t="shared" si="1"/>
        <v>5160404</v>
      </c>
      <c r="I65" s="29">
        <f t="shared" si="9"/>
        <v>0</v>
      </c>
      <c r="J65" s="29">
        <f t="shared" si="9"/>
        <v>6045366</v>
      </c>
      <c r="K65" s="29">
        <f t="shared" si="9"/>
        <v>0</v>
      </c>
      <c r="L65" s="1614">
        <f t="shared" si="0"/>
        <v>32.961443171260449</v>
      </c>
    </row>
    <row r="66" spans="1:12" ht="24" customHeight="1" thickBot="1" x14ac:dyDescent="0.25">
      <c r="A66" s="873"/>
      <c r="B66" s="1353"/>
      <c r="C66" s="1354"/>
      <c r="D66" s="1354"/>
      <c r="E66" s="1354"/>
      <c r="F66" s="1354"/>
      <c r="G66" s="1354"/>
      <c r="H66" s="1355"/>
      <c r="I66" s="196"/>
      <c r="J66" s="29"/>
      <c r="K66" s="29"/>
      <c r="L66" s="1614" t="str">
        <f t="shared" si="0"/>
        <v/>
      </c>
    </row>
    <row r="67" spans="1:12" ht="21.95" customHeight="1" thickBot="1" x14ac:dyDescent="0.25">
      <c r="A67" s="413"/>
      <c r="B67" s="1596" t="s">
        <v>50</v>
      </c>
      <c r="C67" s="29">
        <f>SUM(C68:C72)</f>
        <v>1500000</v>
      </c>
      <c r="D67" s="29">
        <f t="shared" ref="D67:K67" si="10">SUM(D68:D72)</f>
        <v>1500000</v>
      </c>
      <c r="E67" s="29">
        <f t="shared" si="10"/>
        <v>1500000</v>
      </c>
      <c r="F67" s="29">
        <f t="shared" si="10"/>
        <v>1500000</v>
      </c>
      <c r="G67" s="29">
        <f t="shared" si="10"/>
        <v>0</v>
      </c>
      <c r="H67" s="29">
        <f t="shared" si="1"/>
        <v>0</v>
      </c>
      <c r="I67" s="29">
        <f t="shared" si="10"/>
        <v>0</v>
      </c>
      <c r="J67" s="29">
        <f>SUM(J68:J72)</f>
        <v>332580</v>
      </c>
      <c r="K67" s="29">
        <f t="shared" si="10"/>
        <v>0</v>
      </c>
      <c r="L67" s="1614">
        <f t="shared" si="0"/>
        <v>22.172000000000001</v>
      </c>
    </row>
    <row r="68" spans="1:12" ht="24" hidden="1" customHeight="1" x14ac:dyDescent="0.2">
      <c r="A68" s="873"/>
      <c r="B68" s="844" t="s">
        <v>499</v>
      </c>
      <c r="C68" s="311"/>
      <c r="D68" s="311"/>
      <c r="E68" s="311"/>
      <c r="F68" s="311"/>
      <c r="G68" s="311"/>
      <c r="H68" s="306">
        <f t="shared" si="1"/>
        <v>0</v>
      </c>
      <c r="I68" s="656"/>
      <c r="J68" s="311"/>
      <c r="K68" s="311"/>
      <c r="L68" s="1607" t="str">
        <f t="shared" si="0"/>
        <v/>
      </c>
    </row>
    <row r="69" spans="1:12" ht="24" hidden="1" customHeight="1" x14ac:dyDescent="0.2">
      <c r="A69" s="873"/>
      <c r="B69" s="844" t="s">
        <v>500</v>
      </c>
      <c r="C69" s="311"/>
      <c r="D69" s="311"/>
      <c r="E69" s="311"/>
      <c r="F69" s="311"/>
      <c r="G69" s="311"/>
      <c r="H69" s="306">
        <f t="shared" si="1"/>
        <v>0</v>
      </c>
      <c r="I69" s="656"/>
      <c r="J69" s="311"/>
      <c r="K69" s="311"/>
      <c r="L69" s="1607" t="str">
        <f t="shared" si="0"/>
        <v/>
      </c>
    </row>
    <row r="70" spans="1:12" ht="24" customHeight="1" x14ac:dyDescent="0.2">
      <c r="A70" s="873"/>
      <c r="B70" s="874" t="s">
        <v>506</v>
      </c>
      <c r="C70" s="311">
        <v>1500000</v>
      </c>
      <c r="D70" s="311">
        <f>1500000-15240</f>
        <v>1484760</v>
      </c>
      <c r="E70" s="311">
        <v>1484760</v>
      </c>
      <c r="F70" s="311">
        <v>1484760</v>
      </c>
      <c r="G70" s="311"/>
      <c r="H70" s="306">
        <f t="shared" si="1"/>
        <v>0</v>
      </c>
      <c r="I70" s="656"/>
      <c r="J70" s="311">
        <v>318111</v>
      </c>
      <c r="K70" s="311"/>
      <c r="L70" s="1607">
        <f t="shared" si="0"/>
        <v>21.425078800614241</v>
      </c>
    </row>
    <row r="71" spans="1:12" ht="24" customHeight="1" x14ac:dyDescent="0.2">
      <c r="A71" s="873"/>
      <c r="B71" s="874" t="s">
        <v>501</v>
      </c>
      <c r="C71" s="311"/>
      <c r="D71" s="311">
        <v>15240</v>
      </c>
      <c r="E71" s="311">
        <v>15240</v>
      </c>
      <c r="F71" s="311">
        <v>15240</v>
      </c>
      <c r="G71" s="311"/>
      <c r="H71" s="306">
        <f t="shared" si="1"/>
        <v>0</v>
      </c>
      <c r="I71" s="659"/>
      <c r="J71" s="311">
        <v>14469</v>
      </c>
      <c r="K71" s="311"/>
      <c r="L71" s="1607">
        <f t="shared" si="0"/>
        <v>94.940944881889763</v>
      </c>
    </row>
    <row r="72" spans="1:12" ht="13.5" thickBot="1" x14ac:dyDescent="0.25">
      <c r="A72" s="873"/>
      <c r="B72" s="874"/>
      <c r="C72" s="311"/>
      <c r="D72" s="311"/>
      <c r="E72" s="311"/>
      <c r="F72" s="311"/>
      <c r="G72" s="311"/>
      <c r="H72" s="306"/>
      <c r="I72" s="659"/>
      <c r="J72" s="104"/>
      <c r="K72" s="104"/>
      <c r="L72" s="1619" t="str">
        <f t="shared" ref="L72:L115" si="11">IF(F72=0,"",J72/F72*100)</f>
        <v/>
      </c>
    </row>
    <row r="73" spans="1:12" ht="21.95" customHeight="1" thickBot="1" x14ac:dyDescent="0.25">
      <c r="A73" s="413"/>
      <c r="B73" s="1596" t="s">
        <v>51</v>
      </c>
      <c r="C73" s="29">
        <f t="shared" ref="C73:K73" si="12">SUM(C74:C74)</f>
        <v>0</v>
      </c>
      <c r="D73" s="29">
        <f t="shared" si="12"/>
        <v>0</v>
      </c>
      <c r="E73" s="29">
        <f t="shared" si="12"/>
        <v>0</v>
      </c>
      <c r="F73" s="29">
        <f t="shared" si="12"/>
        <v>0</v>
      </c>
      <c r="G73" s="29">
        <f t="shared" si="12"/>
        <v>0</v>
      </c>
      <c r="H73" s="29">
        <f t="shared" ref="H73:H115" si="13">+E73-D73</f>
        <v>0</v>
      </c>
      <c r="I73" s="29">
        <f t="shared" si="12"/>
        <v>0</v>
      </c>
      <c r="J73" s="29">
        <f t="shared" si="12"/>
        <v>0</v>
      </c>
      <c r="K73" s="29">
        <f t="shared" si="12"/>
        <v>0</v>
      </c>
      <c r="L73" s="1614" t="str">
        <f t="shared" si="11"/>
        <v/>
      </c>
    </row>
    <row r="74" spans="1:12" ht="13.5" thickBot="1" x14ac:dyDescent="0.25">
      <c r="A74" s="873"/>
      <c r="B74" s="1364"/>
      <c r="C74" s="311"/>
      <c r="D74" s="311"/>
      <c r="E74" s="311"/>
      <c r="F74" s="311"/>
      <c r="G74" s="311"/>
      <c r="H74" s="306">
        <f t="shared" si="13"/>
        <v>0</v>
      </c>
      <c r="I74" s="656"/>
      <c r="J74" s="311"/>
      <c r="K74" s="311"/>
      <c r="L74" s="1607" t="str">
        <f t="shared" si="11"/>
        <v/>
      </c>
    </row>
    <row r="75" spans="1:12" ht="21.95" customHeight="1" thickBot="1" x14ac:dyDescent="0.25">
      <c r="A75" s="413"/>
      <c r="B75" s="1596" t="s">
        <v>366</v>
      </c>
      <c r="C75" s="29">
        <f>C67+C73</f>
        <v>1500000</v>
      </c>
      <c r="D75" s="29">
        <f t="shared" ref="D75:K75" si="14">D67+D73</f>
        <v>1500000</v>
      </c>
      <c r="E75" s="29">
        <f t="shared" si="14"/>
        <v>1500000</v>
      </c>
      <c r="F75" s="29">
        <f t="shared" si="14"/>
        <v>1500000</v>
      </c>
      <c r="G75" s="29">
        <f t="shared" si="14"/>
        <v>0</v>
      </c>
      <c r="H75" s="29">
        <f t="shared" si="13"/>
        <v>0</v>
      </c>
      <c r="I75" s="29">
        <f t="shared" si="14"/>
        <v>0</v>
      </c>
      <c r="J75" s="29">
        <f t="shared" si="14"/>
        <v>332580</v>
      </c>
      <c r="K75" s="29">
        <f t="shared" si="14"/>
        <v>0</v>
      </c>
      <c r="L75" s="1614">
        <f t="shared" si="11"/>
        <v>22.172000000000001</v>
      </c>
    </row>
    <row r="76" spans="1:12" ht="24" customHeight="1" thickBot="1" x14ac:dyDescent="0.25">
      <c r="A76" s="971"/>
      <c r="B76" s="1363"/>
      <c r="C76" s="1354"/>
      <c r="D76" s="1354"/>
      <c r="E76" s="1354"/>
      <c r="F76" s="1354"/>
      <c r="G76" s="1354"/>
      <c r="H76" s="1355"/>
      <c r="I76" s="196"/>
      <c r="J76" s="29"/>
      <c r="K76" s="29"/>
      <c r="L76" s="1614" t="str">
        <f t="shared" si="11"/>
        <v/>
      </c>
    </row>
    <row r="77" spans="1:12" ht="21.95" customHeight="1" thickBot="1" x14ac:dyDescent="0.25">
      <c r="A77" s="413"/>
      <c r="B77" s="1596" t="s">
        <v>50</v>
      </c>
      <c r="C77" s="29">
        <f t="shared" ref="C77:K77" si="15">SUM(C78:C80)</f>
        <v>300000</v>
      </c>
      <c r="D77" s="29">
        <f t="shared" si="15"/>
        <v>811381</v>
      </c>
      <c r="E77" s="29">
        <f t="shared" si="15"/>
        <v>805564</v>
      </c>
      <c r="F77" s="29">
        <f t="shared" si="15"/>
        <v>805564</v>
      </c>
      <c r="G77" s="29">
        <f t="shared" si="15"/>
        <v>0</v>
      </c>
      <c r="H77" s="29">
        <f t="shared" si="13"/>
        <v>-5817</v>
      </c>
      <c r="I77" s="29">
        <f t="shared" si="15"/>
        <v>0</v>
      </c>
      <c r="J77" s="29">
        <f>SUM(J78:J80)</f>
        <v>206964</v>
      </c>
      <c r="K77" s="29">
        <f t="shared" si="15"/>
        <v>0</v>
      </c>
      <c r="L77" s="1614">
        <f t="shared" si="11"/>
        <v>25.691813437541892</v>
      </c>
    </row>
    <row r="78" spans="1:12" ht="24" customHeight="1" x14ac:dyDescent="0.2">
      <c r="A78" s="873"/>
      <c r="B78" s="874" t="s">
        <v>498</v>
      </c>
      <c r="C78" s="1365"/>
      <c r="D78" s="311">
        <v>31750</v>
      </c>
      <c r="E78" s="311">
        <v>31750</v>
      </c>
      <c r="F78" s="311">
        <v>31750</v>
      </c>
      <c r="G78" s="311"/>
      <c r="H78" s="1186">
        <f t="shared" si="13"/>
        <v>0</v>
      </c>
      <c r="I78" s="657"/>
      <c r="J78" s="161">
        <v>31750</v>
      </c>
      <c r="K78" s="161"/>
      <c r="L78" s="1615">
        <f t="shared" si="11"/>
        <v>100</v>
      </c>
    </row>
    <row r="79" spans="1:12" ht="24" hidden="1" customHeight="1" x14ac:dyDescent="0.2">
      <c r="A79" s="873"/>
      <c r="B79" s="874" t="s">
        <v>501</v>
      </c>
      <c r="C79" s="1365"/>
      <c r="D79" s="311"/>
      <c r="E79" s="311"/>
      <c r="F79" s="311"/>
      <c r="G79" s="311"/>
      <c r="H79" s="1186">
        <f t="shared" si="13"/>
        <v>0</v>
      </c>
      <c r="I79" s="656"/>
      <c r="J79" s="311"/>
      <c r="K79" s="311"/>
      <c r="L79" s="1607" t="str">
        <f t="shared" si="11"/>
        <v/>
      </c>
    </row>
    <row r="80" spans="1:12" ht="24" customHeight="1" x14ac:dyDescent="0.2">
      <c r="A80" s="873"/>
      <c r="B80" s="844" t="s">
        <v>506</v>
      </c>
      <c r="C80" s="311">
        <v>300000</v>
      </c>
      <c r="D80" s="311">
        <f>300000+298600+212781-31750</f>
        <v>779631</v>
      </c>
      <c r="E80" s="311">
        <f>779631-5817</f>
        <v>773814</v>
      </c>
      <c r="F80" s="311">
        <v>773814</v>
      </c>
      <c r="G80" s="311"/>
      <c r="H80" s="1186">
        <f t="shared" si="13"/>
        <v>-5817</v>
      </c>
      <c r="I80" s="656"/>
      <c r="J80" s="311">
        <v>175214</v>
      </c>
      <c r="K80" s="311"/>
      <c r="L80" s="1607">
        <f t="shared" si="11"/>
        <v>22.642909019480133</v>
      </c>
    </row>
    <row r="81" spans="1:14" ht="13.5" thickBot="1" x14ac:dyDescent="0.25">
      <c r="A81" s="873"/>
      <c r="B81" s="844"/>
      <c r="C81" s="311"/>
      <c r="D81" s="311"/>
      <c r="E81" s="311"/>
      <c r="F81" s="311"/>
      <c r="G81" s="311"/>
      <c r="H81" s="306"/>
      <c r="I81" s="659"/>
      <c r="J81" s="104"/>
      <c r="K81" s="104"/>
      <c r="L81" s="1619" t="str">
        <f t="shared" si="11"/>
        <v/>
      </c>
    </row>
    <row r="82" spans="1:14" ht="21.95" customHeight="1" thickBot="1" x14ac:dyDescent="0.25">
      <c r="A82" s="413"/>
      <c r="B82" s="1596" t="s">
        <v>51</v>
      </c>
      <c r="C82" s="29">
        <f>SUM(C83:C83)</f>
        <v>0</v>
      </c>
      <c r="D82" s="29">
        <f t="shared" ref="D82:K82" si="16">SUM(D83:D83)</f>
        <v>0</v>
      </c>
      <c r="E82" s="29">
        <f t="shared" si="16"/>
        <v>0</v>
      </c>
      <c r="F82" s="29">
        <f t="shared" si="16"/>
        <v>0</v>
      </c>
      <c r="G82" s="29">
        <f t="shared" si="16"/>
        <v>0</v>
      </c>
      <c r="H82" s="29">
        <f t="shared" si="13"/>
        <v>0</v>
      </c>
      <c r="I82" s="29">
        <f t="shared" si="16"/>
        <v>0</v>
      </c>
      <c r="J82" s="29">
        <f t="shared" si="16"/>
        <v>0</v>
      </c>
      <c r="K82" s="29">
        <f t="shared" si="16"/>
        <v>0</v>
      </c>
      <c r="L82" s="1614" t="str">
        <f t="shared" si="11"/>
        <v/>
      </c>
    </row>
    <row r="83" spans="1:14" ht="13.5" thickBot="1" x14ac:dyDescent="0.25">
      <c r="A83" s="873"/>
      <c r="B83" s="844"/>
      <c r="C83" s="311"/>
      <c r="D83" s="311"/>
      <c r="E83" s="311"/>
      <c r="F83" s="311"/>
      <c r="G83" s="311"/>
      <c r="H83" s="306"/>
      <c r="I83" s="656"/>
      <c r="J83" s="311"/>
      <c r="K83" s="311"/>
      <c r="L83" s="1607" t="str">
        <f t="shared" si="11"/>
        <v/>
      </c>
    </row>
    <row r="84" spans="1:14" ht="21.95" customHeight="1" thickBot="1" x14ac:dyDescent="0.25">
      <c r="A84" s="413"/>
      <c r="B84" s="1596" t="s">
        <v>110</v>
      </c>
      <c r="C84" s="29">
        <f>C77+C82</f>
        <v>300000</v>
      </c>
      <c r="D84" s="29">
        <f>D77+D82</f>
        <v>811381</v>
      </c>
      <c r="E84" s="29">
        <f>E77+E82</f>
        <v>805564</v>
      </c>
      <c r="F84" s="29">
        <f>F77+F82</f>
        <v>805564</v>
      </c>
      <c r="G84" s="29">
        <f>G77+G82</f>
        <v>0</v>
      </c>
      <c r="H84" s="29">
        <f t="shared" si="13"/>
        <v>-5817</v>
      </c>
      <c r="I84" s="29">
        <f>I77+I82</f>
        <v>0</v>
      </c>
      <c r="J84" s="29">
        <f>J77+J82</f>
        <v>206964</v>
      </c>
      <c r="K84" s="29">
        <f>K77+K82</f>
        <v>0</v>
      </c>
      <c r="L84" s="1614">
        <f t="shared" si="11"/>
        <v>25.691813437541892</v>
      </c>
    </row>
    <row r="85" spans="1:14" ht="24" customHeight="1" thickBot="1" x14ac:dyDescent="0.25">
      <c r="A85" s="873"/>
      <c r="B85" s="1363"/>
      <c r="C85" s="1354"/>
      <c r="D85" s="1354"/>
      <c r="E85" s="1354"/>
      <c r="F85" s="1354"/>
      <c r="G85" s="1354"/>
      <c r="H85" s="1355"/>
      <c r="I85" s="196"/>
      <c r="J85" s="29"/>
      <c r="K85" s="29"/>
      <c r="L85" s="1614" t="str">
        <f t="shared" si="11"/>
        <v/>
      </c>
    </row>
    <row r="86" spans="1:14" ht="21.95" customHeight="1" thickBot="1" x14ac:dyDescent="0.25">
      <c r="A86" s="413"/>
      <c r="B86" s="1596" t="s">
        <v>50</v>
      </c>
      <c r="C86" s="29">
        <f>SUM(C87:C92)</f>
        <v>3400000</v>
      </c>
      <c r="D86" s="29">
        <f>SUM(D87:D92)</f>
        <v>4876000</v>
      </c>
      <c r="E86" s="29">
        <f>SUM(E87:E92)</f>
        <v>8176000</v>
      </c>
      <c r="F86" s="29">
        <f t="shared" ref="F86:K86" si="17">SUM(F87:F92)</f>
        <v>8176000</v>
      </c>
      <c r="G86" s="29">
        <f t="shared" si="17"/>
        <v>0</v>
      </c>
      <c r="H86" s="29">
        <f t="shared" si="13"/>
        <v>3300000</v>
      </c>
      <c r="I86" s="29">
        <f t="shared" si="17"/>
        <v>0</v>
      </c>
      <c r="J86" s="29">
        <f>SUM(J87:J92)</f>
        <v>4435017</v>
      </c>
      <c r="K86" s="29">
        <f t="shared" si="17"/>
        <v>0</v>
      </c>
      <c r="L86" s="1614">
        <f t="shared" si="11"/>
        <v>54.244337084148732</v>
      </c>
    </row>
    <row r="87" spans="1:14" ht="24" hidden="1" customHeight="1" x14ac:dyDescent="0.2">
      <c r="A87" s="873"/>
      <c r="B87" s="844" t="s">
        <v>498</v>
      </c>
      <c r="C87" s="311"/>
      <c r="D87" s="311"/>
      <c r="E87" s="311"/>
      <c r="F87" s="311"/>
      <c r="G87" s="311"/>
      <c r="H87" s="306">
        <f t="shared" si="13"/>
        <v>0</v>
      </c>
      <c r="I87" s="655"/>
      <c r="J87" s="1598"/>
      <c r="K87" s="1598"/>
      <c r="L87" s="1616" t="str">
        <f t="shared" si="11"/>
        <v/>
      </c>
    </row>
    <row r="88" spans="1:14" ht="24" customHeight="1" x14ac:dyDescent="0.2">
      <c r="A88" s="873"/>
      <c r="B88" s="844" t="s">
        <v>501</v>
      </c>
      <c r="C88" s="1185">
        <v>1176343</v>
      </c>
      <c r="D88" s="1185">
        <f>1176343-440640</f>
        <v>735703</v>
      </c>
      <c r="E88" s="311">
        <v>735703</v>
      </c>
      <c r="F88" s="311">
        <v>735703</v>
      </c>
      <c r="G88" s="311"/>
      <c r="H88" s="306">
        <f t="shared" si="13"/>
        <v>0</v>
      </c>
      <c r="I88" s="656"/>
      <c r="J88" s="311">
        <v>27813</v>
      </c>
      <c r="K88" s="311"/>
      <c r="L88" s="1607">
        <f t="shared" si="11"/>
        <v>3.7804657586009571</v>
      </c>
      <c r="N88" s="1768"/>
    </row>
    <row r="89" spans="1:14" ht="24" customHeight="1" x14ac:dyDescent="0.2">
      <c r="A89" s="873"/>
      <c r="B89" s="844" t="s">
        <v>506</v>
      </c>
      <c r="C89" s="1185">
        <v>2223657</v>
      </c>
      <c r="D89" s="1185">
        <f>2223657+440640</f>
        <v>2664297</v>
      </c>
      <c r="E89" s="311">
        <f>2664297+1800000</f>
        <v>4464297</v>
      </c>
      <c r="F89" s="311">
        <v>4464297</v>
      </c>
      <c r="G89" s="311"/>
      <c r="H89" s="306">
        <f t="shared" si="13"/>
        <v>1800000</v>
      </c>
      <c r="I89" s="656"/>
      <c r="J89" s="311">
        <v>2931204</v>
      </c>
      <c r="K89" s="311"/>
      <c r="L89" s="1607">
        <f t="shared" si="11"/>
        <v>65.658803614544453</v>
      </c>
    </row>
    <row r="90" spans="1:14" s="1147" customFormat="1" ht="25.5" customHeight="1" x14ac:dyDescent="0.2">
      <c r="A90" s="1299"/>
      <c r="B90" s="1366" t="s">
        <v>772</v>
      </c>
      <c r="C90" s="1185"/>
      <c r="D90" s="1185">
        <v>1476000</v>
      </c>
      <c r="E90" s="1185">
        <v>1476000</v>
      </c>
      <c r="F90" s="1185">
        <v>1476000</v>
      </c>
      <c r="G90" s="1185"/>
      <c r="H90" s="1186">
        <f t="shared" si="13"/>
        <v>0</v>
      </c>
      <c r="I90" s="1184"/>
      <c r="J90" s="1605">
        <v>1476000</v>
      </c>
      <c r="K90" s="1605"/>
      <c r="L90" s="1620">
        <f t="shared" si="11"/>
        <v>100</v>
      </c>
    </row>
    <row r="91" spans="1:14" s="1147" customFormat="1" ht="25.5" customHeight="1" x14ac:dyDescent="0.2">
      <c r="A91" s="1299"/>
      <c r="B91" s="1366" t="s">
        <v>791</v>
      </c>
      <c r="C91" s="1185"/>
      <c r="D91" s="1185"/>
      <c r="E91" s="1185">
        <v>1500000</v>
      </c>
      <c r="F91" s="1185">
        <v>1500000</v>
      </c>
      <c r="G91" s="1185"/>
      <c r="H91" s="1186">
        <f t="shared" si="13"/>
        <v>1500000</v>
      </c>
      <c r="I91" s="1184"/>
      <c r="J91" s="1605">
        <v>0</v>
      </c>
      <c r="K91" s="1605"/>
      <c r="L91" s="1620">
        <f t="shared" si="11"/>
        <v>0</v>
      </c>
    </row>
    <row r="92" spans="1:14" ht="13.5" thickBot="1" x14ac:dyDescent="0.25">
      <c r="A92" s="873"/>
      <c r="B92" s="844"/>
      <c r="C92" s="311"/>
      <c r="D92" s="311"/>
      <c r="E92" s="311"/>
      <c r="F92" s="311"/>
      <c r="G92" s="311"/>
      <c r="H92" s="1186"/>
      <c r="I92" s="655"/>
      <c r="J92" s="1598"/>
      <c r="K92" s="1598"/>
      <c r="L92" s="1616" t="str">
        <f t="shared" si="11"/>
        <v/>
      </c>
    </row>
    <row r="93" spans="1:14" ht="21.95" customHeight="1" thickBot="1" x14ac:dyDescent="0.25">
      <c r="A93" s="413"/>
      <c r="B93" s="1596" t="s">
        <v>51</v>
      </c>
      <c r="C93" s="29">
        <f t="shared" ref="C93:K93" si="18">SUM(C94:C94)</f>
        <v>0</v>
      </c>
      <c r="D93" s="29">
        <f t="shared" si="18"/>
        <v>0</v>
      </c>
      <c r="E93" s="29">
        <f t="shared" si="18"/>
        <v>0</v>
      </c>
      <c r="F93" s="29">
        <f t="shared" si="18"/>
        <v>0</v>
      </c>
      <c r="G93" s="29">
        <f t="shared" si="18"/>
        <v>0</v>
      </c>
      <c r="H93" s="29">
        <f t="shared" si="13"/>
        <v>0</v>
      </c>
      <c r="I93" s="29">
        <f t="shared" si="18"/>
        <v>0</v>
      </c>
      <c r="J93" s="29">
        <f t="shared" si="18"/>
        <v>0</v>
      </c>
      <c r="K93" s="29">
        <f t="shared" si="18"/>
        <v>0</v>
      </c>
      <c r="L93" s="1614" t="str">
        <f t="shared" si="11"/>
        <v/>
      </c>
    </row>
    <row r="94" spans="1:14" ht="13.5" thickBot="1" x14ac:dyDescent="0.25">
      <c r="A94" s="873"/>
      <c r="B94" s="844"/>
      <c r="C94" s="311"/>
      <c r="D94" s="311"/>
      <c r="E94" s="311"/>
      <c r="F94" s="311"/>
      <c r="G94" s="311"/>
      <c r="H94" s="306"/>
      <c r="I94" s="658"/>
      <c r="J94" s="123"/>
      <c r="K94" s="123"/>
      <c r="L94" s="1617" t="str">
        <f t="shared" si="11"/>
        <v/>
      </c>
    </row>
    <row r="95" spans="1:14" ht="21.95" customHeight="1" thickBot="1" x14ac:dyDescent="0.25">
      <c r="A95" s="413"/>
      <c r="B95" s="1596" t="s">
        <v>393</v>
      </c>
      <c r="C95" s="29">
        <f>C86+C93</f>
        <v>3400000</v>
      </c>
      <c r="D95" s="29">
        <f t="shared" ref="D95:K95" si="19">D86+D93</f>
        <v>4876000</v>
      </c>
      <c r="E95" s="29">
        <f t="shared" si="19"/>
        <v>8176000</v>
      </c>
      <c r="F95" s="29">
        <f t="shared" si="19"/>
        <v>8176000</v>
      </c>
      <c r="G95" s="29">
        <f t="shared" si="19"/>
        <v>0</v>
      </c>
      <c r="H95" s="29">
        <f t="shared" si="13"/>
        <v>3300000</v>
      </c>
      <c r="I95" s="29">
        <f t="shared" si="19"/>
        <v>0</v>
      </c>
      <c r="J95" s="29">
        <f t="shared" si="19"/>
        <v>4435017</v>
      </c>
      <c r="K95" s="29">
        <f t="shared" si="19"/>
        <v>0</v>
      </c>
      <c r="L95" s="1614">
        <f t="shared" si="11"/>
        <v>54.244337084148732</v>
      </c>
    </row>
    <row r="96" spans="1:14" ht="24" customHeight="1" thickBot="1" x14ac:dyDescent="0.25">
      <c r="A96" s="873"/>
      <c r="B96" s="1363"/>
      <c r="C96" s="1354"/>
      <c r="D96" s="1354"/>
      <c r="E96" s="1354"/>
      <c r="F96" s="1354"/>
      <c r="G96" s="1354"/>
      <c r="H96" s="1355"/>
      <c r="I96" s="196"/>
      <c r="J96" s="29"/>
      <c r="K96" s="29"/>
      <c r="L96" s="1614" t="str">
        <f t="shared" si="11"/>
        <v/>
      </c>
    </row>
    <row r="97" spans="1:24" ht="21.95" customHeight="1" thickBot="1" x14ac:dyDescent="0.25">
      <c r="A97" s="413"/>
      <c r="B97" s="1596" t="s">
        <v>50</v>
      </c>
      <c r="C97" s="29">
        <f>SUM(C98:C103)</f>
        <v>157967150</v>
      </c>
      <c r="D97" s="29">
        <f>SUM(D98:D104)</f>
        <v>174796082</v>
      </c>
      <c r="E97" s="29">
        <f>SUM(E98:E105)</f>
        <v>183796082</v>
      </c>
      <c r="F97" s="29">
        <f>SUM(F98:F105)</f>
        <v>183796082</v>
      </c>
      <c r="G97" s="29">
        <f t="shared" ref="G97:K97" si="20">SUM(G98:G99)</f>
        <v>0</v>
      </c>
      <c r="H97" s="29">
        <f>+E97-D97</f>
        <v>9000000</v>
      </c>
      <c r="I97" s="29">
        <f t="shared" si="20"/>
        <v>0</v>
      </c>
      <c r="J97" s="29">
        <f>SUM(J98:J105)</f>
        <v>174018545</v>
      </c>
      <c r="K97" s="29">
        <f t="shared" si="20"/>
        <v>0</v>
      </c>
      <c r="L97" s="1614">
        <f t="shared" si="11"/>
        <v>94.680225555624205</v>
      </c>
    </row>
    <row r="98" spans="1:24" ht="24" customHeight="1" x14ac:dyDescent="0.2">
      <c r="A98" s="873"/>
      <c r="B98" s="1600" t="s">
        <v>501</v>
      </c>
      <c r="C98" s="1601"/>
      <c r="D98" s="1601"/>
      <c r="E98" s="1602">
        <f>1303000+1000000</f>
        <v>2303000</v>
      </c>
      <c r="F98" s="1602">
        <v>2303000</v>
      </c>
      <c r="G98" s="1602"/>
      <c r="H98" s="1603">
        <f t="shared" si="13"/>
        <v>2303000</v>
      </c>
      <c r="I98" s="1601"/>
      <c r="J98" s="1602">
        <v>813689</v>
      </c>
      <c r="K98" s="1601"/>
      <c r="L98" s="1621">
        <f t="shared" si="11"/>
        <v>35.331697785497177</v>
      </c>
    </row>
    <row r="99" spans="1:24" ht="24" customHeight="1" x14ac:dyDescent="0.2">
      <c r="A99" s="873"/>
      <c r="B99" s="844" t="s">
        <v>502</v>
      </c>
      <c r="C99" s="311"/>
      <c r="D99" s="1185">
        <f>297434</f>
        <v>297434</v>
      </c>
      <c r="E99" s="1185">
        <v>122174</v>
      </c>
      <c r="F99" s="1185">
        <v>122174</v>
      </c>
      <c r="G99" s="1185"/>
      <c r="H99" s="1185">
        <f t="shared" si="13"/>
        <v>-175260</v>
      </c>
      <c r="I99" s="311"/>
      <c r="J99" s="311">
        <v>122174</v>
      </c>
      <c r="K99" s="311"/>
      <c r="L99" s="1607">
        <f t="shared" si="11"/>
        <v>100</v>
      </c>
      <c r="N99" s="1148"/>
      <c r="O99" s="1148"/>
      <c r="P99" s="1148"/>
      <c r="Q99" s="1148"/>
      <c r="R99" s="1148"/>
      <c r="S99" s="1148"/>
      <c r="T99" s="1148"/>
      <c r="U99" s="1148"/>
      <c r="V99" s="1148"/>
      <c r="W99" s="1148"/>
      <c r="X99" s="1146"/>
    </row>
    <row r="100" spans="1:24" ht="24" hidden="1" customHeight="1" x14ac:dyDescent="0.2">
      <c r="A100" s="873"/>
      <c r="B100" s="844" t="s">
        <v>692</v>
      </c>
      <c r="C100" s="311"/>
      <c r="D100" s="1185"/>
      <c r="E100" s="1185"/>
      <c r="F100" s="1185"/>
      <c r="G100" s="1185"/>
      <c r="H100" s="1185">
        <f t="shared" si="13"/>
        <v>0</v>
      </c>
      <c r="I100" s="311"/>
      <c r="J100" s="311"/>
      <c r="K100" s="311"/>
      <c r="L100" s="1607" t="str">
        <f t="shared" si="11"/>
        <v/>
      </c>
      <c r="N100" s="1147"/>
      <c r="O100" s="1147"/>
      <c r="P100" s="1147"/>
      <c r="Q100" s="1147"/>
      <c r="R100" s="1147" t="s">
        <v>385</v>
      </c>
      <c r="S100" s="1147"/>
      <c r="T100" s="1147"/>
      <c r="U100" s="1147"/>
      <c r="V100" s="1147"/>
      <c r="W100" s="1147"/>
    </row>
    <row r="101" spans="1:24" ht="27" customHeight="1" x14ac:dyDescent="0.2">
      <c r="A101" s="873"/>
      <c r="B101" s="844" t="s">
        <v>717</v>
      </c>
      <c r="C101" s="311">
        <f>131957503+23509647</f>
        <v>155467150</v>
      </c>
      <c r="D101" s="1185">
        <f>155467150</f>
        <v>155467150</v>
      </c>
      <c r="E101" s="1185">
        <v>155136713</v>
      </c>
      <c r="F101" s="1185">
        <v>155136713</v>
      </c>
      <c r="G101" s="1185"/>
      <c r="H101" s="1185">
        <f t="shared" si="13"/>
        <v>-330437</v>
      </c>
      <c r="I101" s="311"/>
      <c r="J101" s="311">
        <v>155136713</v>
      </c>
      <c r="K101" s="311"/>
      <c r="L101" s="1607">
        <f t="shared" si="11"/>
        <v>100</v>
      </c>
      <c r="N101" s="1147"/>
      <c r="O101" s="1147"/>
      <c r="P101" s="1147"/>
      <c r="Q101" s="1147"/>
      <c r="R101" s="1147"/>
      <c r="S101" s="1147"/>
      <c r="T101" s="1147"/>
      <c r="U101" s="1147"/>
      <c r="V101" s="1147"/>
      <c r="W101" s="1147"/>
    </row>
    <row r="102" spans="1:24" ht="27" customHeight="1" x14ac:dyDescent="0.2">
      <c r="A102" s="873"/>
      <c r="B102" s="844" t="s">
        <v>771</v>
      </c>
      <c r="C102" s="311"/>
      <c r="D102" s="1185">
        <v>1465646</v>
      </c>
      <c r="E102" s="1185">
        <v>1465646</v>
      </c>
      <c r="F102" s="1185">
        <v>1465646</v>
      </c>
      <c r="G102" s="1185"/>
      <c r="H102" s="1185">
        <f t="shared" si="13"/>
        <v>0</v>
      </c>
      <c r="I102" s="311"/>
      <c r="J102" s="311">
        <v>1465646</v>
      </c>
      <c r="K102" s="311"/>
      <c r="L102" s="1607">
        <f t="shared" si="11"/>
        <v>100</v>
      </c>
      <c r="N102" s="1147"/>
      <c r="O102" s="1147"/>
      <c r="P102" s="1147"/>
      <c r="Q102" s="1147"/>
      <c r="R102" s="1147"/>
      <c r="S102" s="1147"/>
      <c r="T102" s="1147"/>
      <c r="U102" s="1147"/>
      <c r="V102" s="1147"/>
      <c r="W102" s="1147"/>
    </row>
    <row r="103" spans="1:24" ht="24" customHeight="1" x14ac:dyDescent="0.2">
      <c r="A103" s="873"/>
      <c r="B103" s="844" t="s">
        <v>514</v>
      </c>
      <c r="C103" s="311">
        <v>2500000</v>
      </c>
      <c r="D103" s="1185">
        <f>2500000-241300-180848+1000000-400000</f>
        <v>2677852</v>
      </c>
      <c r="E103" s="1185">
        <v>1550112</v>
      </c>
      <c r="F103" s="1185">
        <v>1550112</v>
      </c>
      <c r="G103" s="1185"/>
      <c r="H103" s="1185">
        <f t="shared" si="13"/>
        <v>-1127740</v>
      </c>
      <c r="I103" s="311"/>
      <c r="J103" s="311">
        <v>1261886</v>
      </c>
      <c r="K103" s="311"/>
      <c r="L103" s="1607">
        <f t="shared" si="11"/>
        <v>81.406117751491507</v>
      </c>
    </row>
    <row r="104" spans="1:24" ht="24" customHeight="1" x14ac:dyDescent="0.2">
      <c r="A104" s="873"/>
      <c r="B104" s="844" t="s">
        <v>748</v>
      </c>
      <c r="C104" s="311"/>
      <c r="D104" s="1185">
        <v>14888000</v>
      </c>
      <c r="E104" s="1185">
        <v>15218437</v>
      </c>
      <c r="F104" s="1185">
        <v>15218437</v>
      </c>
      <c r="G104" s="1185"/>
      <c r="H104" s="1185">
        <f t="shared" si="13"/>
        <v>330437</v>
      </c>
      <c r="I104" s="311"/>
      <c r="J104" s="311">
        <v>15218437</v>
      </c>
      <c r="K104" s="311"/>
      <c r="L104" s="1607">
        <f t="shared" si="11"/>
        <v>100</v>
      </c>
      <c r="O104" s="964"/>
    </row>
    <row r="105" spans="1:24" ht="24" customHeight="1" x14ac:dyDescent="0.2">
      <c r="A105" s="873"/>
      <c r="B105" s="844" t="s">
        <v>778</v>
      </c>
      <c r="C105" s="311"/>
      <c r="D105" s="1185"/>
      <c r="E105" s="1185">
        <v>8000000</v>
      </c>
      <c r="F105" s="1185">
        <v>8000000</v>
      </c>
      <c r="G105" s="1185"/>
      <c r="H105" s="1185">
        <f t="shared" si="13"/>
        <v>8000000</v>
      </c>
      <c r="I105" s="311"/>
      <c r="J105" s="311"/>
      <c r="K105" s="311"/>
      <c r="L105" s="1607">
        <f t="shared" si="11"/>
        <v>0</v>
      </c>
    </row>
    <row r="106" spans="1:24" ht="24" customHeight="1" thickBot="1" x14ac:dyDescent="0.25">
      <c r="A106" s="873"/>
      <c r="B106" s="1604"/>
      <c r="C106" s="1574"/>
      <c r="D106" s="1574"/>
      <c r="E106" s="1574"/>
      <c r="F106" s="1574"/>
      <c r="G106" s="1574"/>
      <c r="H106" s="1574"/>
      <c r="I106" s="1574"/>
      <c r="J106" s="1574"/>
      <c r="K106" s="1574"/>
      <c r="L106" s="1608" t="str">
        <f t="shared" si="11"/>
        <v/>
      </c>
    </row>
    <row r="107" spans="1:24" ht="21.95" customHeight="1" thickBot="1" x14ac:dyDescent="0.25">
      <c r="A107" s="413"/>
      <c r="B107" s="1596" t="s">
        <v>51</v>
      </c>
      <c r="C107" s="29">
        <f>SUM(C108:C109)</f>
        <v>0</v>
      </c>
      <c r="D107" s="29">
        <f t="shared" ref="D107:K107" si="21">SUM(D108:D109)</f>
        <v>0</v>
      </c>
      <c r="E107" s="29">
        <f t="shared" si="21"/>
        <v>0</v>
      </c>
      <c r="F107" s="29">
        <f t="shared" si="21"/>
        <v>0</v>
      </c>
      <c r="G107" s="29">
        <f t="shared" si="21"/>
        <v>0</v>
      </c>
      <c r="H107" s="29">
        <f t="shared" si="13"/>
        <v>0</v>
      </c>
      <c r="I107" s="29">
        <f t="shared" si="21"/>
        <v>0</v>
      </c>
      <c r="J107" s="29">
        <f t="shared" si="21"/>
        <v>0</v>
      </c>
      <c r="K107" s="29">
        <f t="shared" si="21"/>
        <v>0</v>
      </c>
      <c r="L107" s="1614" t="str">
        <f t="shared" si="11"/>
        <v/>
      </c>
    </row>
    <row r="108" spans="1:24" ht="23.25" customHeight="1" x14ac:dyDescent="0.2">
      <c r="A108" s="873"/>
      <c r="B108" s="844"/>
      <c r="C108" s="1365"/>
      <c r="D108" s="1365"/>
      <c r="E108" s="1365"/>
      <c r="F108" s="1365"/>
      <c r="G108" s="1365"/>
      <c r="H108" s="1367">
        <f t="shared" si="13"/>
        <v>0</v>
      </c>
      <c r="I108" s="660"/>
      <c r="J108" s="499"/>
      <c r="K108" s="499"/>
      <c r="L108" s="1622" t="str">
        <f t="shared" si="11"/>
        <v/>
      </c>
    </row>
    <row r="109" spans="1:24" ht="13.5" thickBot="1" x14ac:dyDescent="0.25">
      <c r="A109" s="873"/>
      <c r="B109" s="1364"/>
      <c r="C109" s="311"/>
      <c r="D109" s="311"/>
      <c r="E109" s="311"/>
      <c r="F109" s="311"/>
      <c r="G109" s="311"/>
      <c r="H109" s="306"/>
      <c r="I109" s="656"/>
      <c r="J109" s="311"/>
      <c r="K109" s="311"/>
      <c r="L109" s="1607" t="str">
        <f t="shared" si="11"/>
        <v/>
      </c>
    </row>
    <row r="110" spans="1:24" ht="21.95" customHeight="1" thickBot="1" x14ac:dyDescent="0.25">
      <c r="A110" s="413"/>
      <c r="B110" s="1596" t="s">
        <v>367</v>
      </c>
      <c r="C110" s="29">
        <f t="shared" ref="C110:K110" si="22">C97+C107</f>
        <v>157967150</v>
      </c>
      <c r="D110" s="29">
        <f>D97+D107</f>
        <v>174796082</v>
      </c>
      <c r="E110" s="29">
        <f>E97+E107</f>
        <v>183796082</v>
      </c>
      <c r="F110" s="29">
        <f t="shared" si="22"/>
        <v>183796082</v>
      </c>
      <c r="G110" s="29">
        <f t="shared" si="22"/>
        <v>0</v>
      </c>
      <c r="H110" s="29">
        <f t="shared" si="13"/>
        <v>9000000</v>
      </c>
      <c r="I110" s="29">
        <f t="shared" si="22"/>
        <v>0</v>
      </c>
      <c r="J110" s="29">
        <f t="shared" ref="J110" si="23">J97+J107</f>
        <v>174018545</v>
      </c>
      <c r="K110" s="29">
        <f t="shared" si="22"/>
        <v>0</v>
      </c>
      <c r="L110" s="1614">
        <f t="shared" si="11"/>
        <v>94.680225555624205</v>
      </c>
    </row>
    <row r="111" spans="1:24" ht="24" customHeight="1" thickBot="1" x14ac:dyDescent="0.25">
      <c r="A111" s="873"/>
      <c r="B111" s="1363"/>
      <c r="C111" s="1354"/>
      <c r="D111" s="1354"/>
      <c r="E111" s="1354"/>
      <c r="F111" s="1354"/>
      <c r="G111" s="1354"/>
      <c r="H111" s="1355">
        <f t="shared" si="13"/>
        <v>0</v>
      </c>
      <c r="I111" s="196"/>
      <c r="J111" s="196"/>
      <c r="K111" s="196"/>
      <c r="L111" s="1623" t="str">
        <f t="shared" si="11"/>
        <v/>
      </c>
    </row>
    <row r="112" spans="1:24" ht="21.95" customHeight="1" thickBot="1" x14ac:dyDescent="0.25">
      <c r="A112" s="413"/>
      <c r="B112" s="1596" t="s">
        <v>293</v>
      </c>
      <c r="C112" s="29">
        <f>C40+C52+C67+C77+C86+C97</f>
        <v>174218314</v>
      </c>
      <c r="D112" s="29">
        <f>D40+D52+D67+D77+D86+D97</f>
        <v>204214943</v>
      </c>
      <c r="E112" s="29">
        <f>E40+E52+E67+E77+E86+E97</f>
        <v>221669530</v>
      </c>
      <c r="F112" s="29">
        <f>F40+F52+F67+F77+F86+F97</f>
        <v>221669530</v>
      </c>
      <c r="G112" s="29">
        <f>G40+G52+G67+G77+G86+G97</f>
        <v>0</v>
      </c>
      <c r="H112" s="29">
        <f t="shared" si="13"/>
        <v>17454587</v>
      </c>
      <c r="I112" s="29">
        <f>I40+I52+I67+I77+I86+I97</f>
        <v>0</v>
      </c>
      <c r="J112" s="29">
        <f>J40+J52+J67+J77+J86+J97</f>
        <v>189813379</v>
      </c>
      <c r="K112" s="29">
        <f>K40+K52+K67+K77+K86+K97</f>
        <v>0</v>
      </c>
      <c r="L112" s="1614">
        <f t="shared" si="11"/>
        <v>85.628989694704543</v>
      </c>
    </row>
    <row r="113" spans="1:12" ht="21.95" customHeight="1" thickBot="1" x14ac:dyDescent="0.25">
      <c r="A113" s="413"/>
      <c r="B113" s="1596" t="s">
        <v>294</v>
      </c>
      <c r="C113" s="29">
        <f>C47+C61+C73+C82+C93+C107</f>
        <v>0</v>
      </c>
      <c r="D113" s="29">
        <f>D47+D61+D73+D82+D93+D107</f>
        <v>0</v>
      </c>
      <c r="E113" s="29">
        <f>E47+E61+E73+E82+E93+E107</f>
        <v>0</v>
      </c>
      <c r="F113" s="29">
        <f>F47+F61+F73+F82+F93+F107</f>
        <v>0</v>
      </c>
      <c r="G113" s="29">
        <f>G47+G61+G73+G82+G93+G107</f>
        <v>0</v>
      </c>
      <c r="H113" s="29">
        <f t="shared" si="13"/>
        <v>0</v>
      </c>
      <c r="I113" s="29">
        <f>I47+I61+I73+I82+I93+I107</f>
        <v>0</v>
      </c>
      <c r="J113" s="29">
        <f>J47+J61+J73+J82+J93+J107</f>
        <v>0</v>
      </c>
      <c r="K113" s="29">
        <f>K47+K61+K73+K82+K93+K107</f>
        <v>0</v>
      </c>
      <c r="L113" s="1614" t="str">
        <f t="shared" si="11"/>
        <v/>
      </c>
    </row>
    <row r="114" spans="1:12" ht="21.95" customHeight="1" thickBot="1" x14ac:dyDescent="0.25">
      <c r="A114" s="413"/>
      <c r="B114" s="1596" t="s">
        <v>295</v>
      </c>
      <c r="C114" s="29">
        <f>C50+C65+C75+C84+C95+C110</f>
        <v>174218314</v>
      </c>
      <c r="D114" s="29">
        <f>D50+D65+D75+D84+D95+D110</f>
        <v>204214943</v>
      </c>
      <c r="E114" s="29">
        <f>E50+E65+E75+E84+E95+E110</f>
        <v>221669530</v>
      </c>
      <c r="F114" s="29">
        <f>F50+F65+F75+F84+F95+F110</f>
        <v>221669530</v>
      </c>
      <c r="G114" s="29">
        <f>G50+G65+G75+G84+G95+G110</f>
        <v>0</v>
      </c>
      <c r="H114" s="29">
        <f t="shared" si="13"/>
        <v>17454587</v>
      </c>
      <c r="I114" s="29">
        <f>I50+I65+I75+I84+I95+I110</f>
        <v>0</v>
      </c>
      <c r="J114" s="29">
        <f>J50+J65+J75+J84+J95+J110</f>
        <v>189813379</v>
      </c>
      <c r="K114" s="29">
        <f>K50+K65+K75+K84+K95+K110</f>
        <v>0</v>
      </c>
      <c r="L114" s="1614">
        <f t="shared" si="11"/>
        <v>85.628989694704543</v>
      </c>
    </row>
    <row r="115" spans="1:12" ht="21.95" customHeight="1" thickBot="1" x14ac:dyDescent="0.25">
      <c r="A115" s="413"/>
      <c r="B115" s="1368" t="s">
        <v>296</v>
      </c>
      <c r="C115" s="1369">
        <f>C38+C114</f>
        <v>739544805</v>
      </c>
      <c r="D115" s="1369">
        <f>D38+D114</f>
        <v>1073350011</v>
      </c>
      <c r="E115" s="1369">
        <f>E38+E114</f>
        <v>1101072717</v>
      </c>
      <c r="F115" s="1369">
        <f>F38+F114</f>
        <v>1101072717</v>
      </c>
      <c r="G115" s="1369">
        <f>G38+G114</f>
        <v>0</v>
      </c>
      <c r="H115" s="1370">
        <f t="shared" si="13"/>
        <v>27722706</v>
      </c>
      <c r="I115" s="196">
        <f>I38+I114</f>
        <v>0</v>
      </c>
      <c r="J115" s="29">
        <f>J38+J114</f>
        <v>396659329</v>
      </c>
      <c r="K115" s="29">
        <f>K38+K114</f>
        <v>0</v>
      </c>
      <c r="L115" s="1614">
        <f t="shared" si="11"/>
        <v>36.024807705774805</v>
      </c>
    </row>
    <row r="116" spans="1:12" ht="24.75" customHeight="1" x14ac:dyDescent="0.2">
      <c r="A116" s="105"/>
      <c r="C116" s="355"/>
      <c r="H116" s="355"/>
    </row>
    <row r="117" spans="1:12" ht="24.75" customHeight="1" x14ac:dyDescent="0.2">
      <c r="A117" s="105"/>
    </row>
    <row r="118" spans="1:12" ht="24.75" customHeight="1" x14ac:dyDescent="0.2">
      <c r="A118" s="105"/>
    </row>
    <row r="119" spans="1:12" ht="24.75" customHeight="1" x14ac:dyDescent="0.2">
      <c r="A119" s="105"/>
    </row>
    <row r="120" spans="1:12" ht="24.75" customHeight="1" x14ac:dyDescent="0.2">
      <c r="A120" s="105"/>
    </row>
    <row r="121" spans="1:12" ht="24.75" customHeight="1" x14ac:dyDescent="0.2">
      <c r="A121" s="105"/>
    </row>
    <row r="122" spans="1:12" ht="24.75" customHeight="1" x14ac:dyDescent="0.2">
      <c r="A122" s="105"/>
    </row>
    <row r="123" spans="1:12" ht="24.75" customHeight="1" x14ac:dyDescent="0.2">
      <c r="A123" s="105"/>
    </row>
    <row r="124" spans="1:12" ht="24.75" customHeight="1" x14ac:dyDescent="0.2">
      <c r="A124" s="105"/>
    </row>
    <row r="125" spans="1:12" ht="24.75" customHeight="1" x14ac:dyDescent="0.2">
      <c r="A125" s="105"/>
    </row>
    <row r="126" spans="1:12" ht="24.75" customHeight="1" x14ac:dyDescent="0.2">
      <c r="A126" s="105"/>
    </row>
    <row r="127" spans="1:12" ht="24.75" customHeight="1" x14ac:dyDescent="0.2">
      <c r="A127" s="105"/>
    </row>
    <row r="128" spans="1:12" ht="24.75" customHeight="1" x14ac:dyDescent="0.2">
      <c r="A128" s="105"/>
    </row>
    <row r="129" spans="1:1" ht="24.75" customHeight="1" x14ac:dyDescent="0.2">
      <c r="A129" s="105"/>
    </row>
    <row r="130" spans="1:1" ht="24.75" customHeight="1" x14ac:dyDescent="0.2">
      <c r="A130" s="105"/>
    </row>
    <row r="131" spans="1:1" ht="24.75" customHeight="1" x14ac:dyDescent="0.2">
      <c r="A131" s="105"/>
    </row>
    <row r="132" spans="1:1" ht="24.75" customHeight="1" x14ac:dyDescent="0.2">
      <c r="A132" s="105"/>
    </row>
    <row r="133" spans="1:1" ht="24.75" customHeight="1" x14ac:dyDescent="0.2">
      <c r="A133" s="105"/>
    </row>
    <row r="134" spans="1:1" ht="24.75" customHeight="1" x14ac:dyDescent="0.2">
      <c r="A134" s="106"/>
    </row>
    <row r="135" spans="1:1" ht="24.75" customHeight="1" x14ac:dyDescent="0.2">
      <c r="A135" s="105"/>
    </row>
    <row r="136" spans="1:1" ht="24.75" customHeight="1" x14ac:dyDescent="0.2">
      <c r="A136" s="105"/>
    </row>
    <row r="137" spans="1:1" ht="24.75" customHeight="1" x14ac:dyDescent="0.2">
      <c r="A137" s="105"/>
    </row>
    <row r="138" spans="1:1" ht="24.75" customHeight="1" x14ac:dyDescent="0.2">
      <c r="A138" s="105"/>
    </row>
    <row r="139" spans="1:1" ht="24.75" customHeight="1" x14ac:dyDescent="0.2">
      <c r="A139" s="105"/>
    </row>
    <row r="140" spans="1:1" ht="24.75" customHeight="1" x14ac:dyDescent="0.2">
      <c r="A140" s="105"/>
    </row>
    <row r="141" spans="1:1" ht="24.75" customHeight="1" x14ac:dyDescent="0.2">
      <c r="A141" s="105"/>
    </row>
    <row r="142" spans="1:1" ht="24.75" customHeight="1" x14ac:dyDescent="0.2">
      <c r="A142" s="105"/>
    </row>
    <row r="143" spans="1:1" ht="24.75" customHeight="1" x14ac:dyDescent="0.2">
      <c r="A143" s="105"/>
    </row>
    <row r="144" spans="1:1" ht="24.75" customHeight="1" x14ac:dyDescent="0.2">
      <c r="A144" s="105"/>
    </row>
    <row r="145" spans="1:1" ht="24.75" customHeight="1" x14ac:dyDescent="0.2">
      <c r="A145" s="105"/>
    </row>
    <row r="146" spans="1:1" ht="24.75" customHeight="1" x14ac:dyDescent="0.2">
      <c r="A146" s="105"/>
    </row>
    <row r="147" spans="1:1" ht="24.75" customHeight="1" x14ac:dyDescent="0.2">
      <c r="A147" s="106"/>
    </row>
    <row r="148" spans="1:1" ht="24.75" customHeight="1" x14ac:dyDescent="0.2">
      <c r="A148" s="106"/>
    </row>
    <row r="149" spans="1:1" ht="24.75" customHeight="1" x14ac:dyDescent="0.2">
      <c r="A149" s="105"/>
    </row>
    <row r="150" spans="1:1" ht="24.75" customHeight="1" x14ac:dyDescent="0.2">
      <c r="A150" s="105"/>
    </row>
    <row r="151" spans="1:1" ht="24.75" customHeight="1" x14ac:dyDescent="0.2">
      <c r="A151" s="105"/>
    </row>
    <row r="152" spans="1:1" ht="24.75" customHeight="1" x14ac:dyDescent="0.2">
      <c r="A152" s="105"/>
    </row>
    <row r="153" spans="1:1" x14ac:dyDescent="0.2">
      <c r="A153" s="105"/>
    </row>
    <row r="154" spans="1:1" x14ac:dyDescent="0.2">
      <c r="A154" s="105"/>
    </row>
    <row r="155" spans="1:1" x14ac:dyDescent="0.2">
      <c r="A155" s="105"/>
    </row>
    <row r="156" spans="1:1" x14ac:dyDescent="0.2">
      <c r="A156" s="105"/>
    </row>
    <row r="157" spans="1:1" x14ac:dyDescent="0.2">
      <c r="A157" s="105"/>
    </row>
    <row r="158" spans="1:1" x14ac:dyDescent="0.2">
      <c r="A158" s="105"/>
    </row>
    <row r="159" spans="1:1" x14ac:dyDescent="0.2">
      <c r="A159" s="105"/>
    </row>
    <row r="160" spans="1:1" x14ac:dyDescent="0.2">
      <c r="A160" s="105"/>
    </row>
    <row r="161" spans="1:1" x14ac:dyDescent="0.2">
      <c r="A161" s="105"/>
    </row>
    <row r="162" spans="1:1" x14ac:dyDescent="0.2">
      <c r="A162" s="106"/>
    </row>
    <row r="163" spans="1:1" x14ac:dyDescent="0.2">
      <c r="A163" s="105"/>
    </row>
    <row r="164" spans="1:1" x14ac:dyDescent="0.2">
      <c r="A164" s="106"/>
    </row>
    <row r="165" spans="1:1" x14ac:dyDescent="0.2">
      <c r="A165" s="106"/>
    </row>
    <row r="166" spans="1:1" x14ac:dyDescent="0.2">
      <c r="A166" s="105"/>
    </row>
    <row r="167" spans="1:1" x14ac:dyDescent="0.2">
      <c r="A167" s="105"/>
    </row>
    <row r="168" spans="1:1" x14ac:dyDescent="0.2">
      <c r="A168" s="105"/>
    </row>
    <row r="169" spans="1:1" x14ac:dyDescent="0.2">
      <c r="A169" s="105"/>
    </row>
    <row r="170" spans="1:1" x14ac:dyDescent="0.2">
      <c r="A170" s="105"/>
    </row>
    <row r="171" spans="1:1" x14ac:dyDescent="0.2">
      <c r="A171" s="105"/>
    </row>
    <row r="172" spans="1:1" x14ac:dyDescent="0.2">
      <c r="A172" s="105"/>
    </row>
    <row r="173" spans="1:1" x14ac:dyDescent="0.2">
      <c r="A173" s="105"/>
    </row>
    <row r="174" spans="1:1" x14ac:dyDescent="0.2">
      <c r="A174" s="105"/>
    </row>
    <row r="175" spans="1:1" x14ac:dyDescent="0.2">
      <c r="A175" s="105"/>
    </row>
    <row r="176" spans="1:1" x14ac:dyDescent="0.2">
      <c r="A176" s="106"/>
    </row>
    <row r="177" spans="1:1" x14ac:dyDescent="0.2">
      <c r="A177" s="105"/>
    </row>
    <row r="178" spans="1:1" x14ac:dyDescent="0.2">
      <c r="A178" s="105"/>
    </row>
    <row r="179" spans="1:1" x14ac:dyDescent="0.2">
      <c r="A179" s="105"/>
    </row>
    <row r="180" spans="1:1" x14ac:dyDescent="0.2">
      <c r="A180" s="106"/>
    </row>
    <row r="181" spans="1:1" x14ac:dyDescent="0.2">
      <c r="A181" s="106"/>
    </row>
    <row r="182" spans="1:1" x14ac:dyDescent="0.2">
      <c r="A182" s="105"/>
    </row>
    <row r="183" spans="1:1" x14ac:dyDescent="0.2">
      <c r="A183" s="105"/>
    </row>
    <row r="184" spans="1:1" x14ac:dyDescent="0.2">
      <c r="A184" s="105"/>
    </row>
    <row r="185" spans="1:1" x14ac:dyDescent="0.2">
      <c r="A185" s="105"/>
    </row>
    <row r="186" spans="1:1" x14ac:dyDescent="0.2">
      <c r="A186" s="105"/>
    </row>
    <row r="187" spans="1:1" x14ac:dyDescent="0.2">
      <c r="A187" s="105"/>
    </row>
    <row r="188" spans="1:1" x14ac:dyDescent="0.2">
      <c r="A188" s="105"/>
    </row>
    <row r="189" spans="1:1" x14ac:dyDescent="0.2">
      <c r="A189" s="105"/>
    </row>
    <row r="190" spans="1:1" x14ac:dyDescent="0.2">
      <c r="A190" s="105"/>
    </row>
    <row r="191" spans="1:1" x14ac:dyDescent="0.2">
      <c r="A191" s="105"/>
    </row>
    <row r="192" spans="1:1" x14ac:dyDescent="0.2">
      <c r="A192" s="105"/>
    </row>
    <row r="193" spans="1:1" x14ac:dyDescent="0.2">
      <c r="A193" s="105"/>
    </row>
    <row r="194" spans="1:1" x14ac:dyDescent="0.2">
      <c r="A194" s="105"/>
    </row>
    <row r="195" spans="1:1" x14ac:dyDescent="0.2">
      <c r="A195" s="105"/>
    </row>
    <row r="196" spans="1:1" x14ac:dyDescent="0.2">
      <c r="A196" s="105"/>
    </row>
    <row r="197" spans="1:1" x14ac:dyDescent="0.2">
      <c r="A197" s="106"/>
    </row>
    <row r="198" spans="1:1" x14ac:dyDescent="0.2">
      <c r="A198" s="105"/>
    </row>
    <row r="199" spans="1:1" x14ac:dyDescent="0.2">
      <c r="A199" s="105"/>
    </row>
    <row r="200" spans="1:1" x14ac:dyDescent="0.2">
      <c r="A200" s="106"/>
    </row>
    <row r="201" spans="1:1" x14ac:dyDescent="0.2">
      <c r="A201" s="106"/>
    </row>
    <row r="202" spans="1:1" x14ac:dyDescent="0.2">
      <c r="A202" s="105"/>
    </row>
    <row r="203" spans="1:1" x14ac:dyDescent="0.2">
      <c r="A203" s="105"/>
    </row>
    <row r="204" spans="1:1" x14ac:dyDescent="0.2">
      <c r="A204" s="105"/>
    </row>
    <row r="205" spans="1:1" x14ac:dyDescent="0.2">
      <c r="A205" s="105"/>
    </row>
    <row r="206" spans="1:1" x14ac:dyDescent="0.2">
      <c r="A206" s="105"/>
    </row>
    <row r="207" spans="1:1" x14ac:dyDescent="0.2">
      <c r="A207" s="105"/>
    </row>
    <row r="208" spans="1:1" x14ac:dyDescent="0.2">
      <c r="A208" s="105"/>
    </row>
    <row r="209" spans="1:1" x14ac:dyDescent="0.2">
      <c r="A209" s="105"/>
    </row>
    <row r="210" spans="1:1" x14ac:dyDescent="0.2">
      <c r="A210" s="105"/>
    </row>
    <row r="211" spans="1:1" x14ac:dyDescent="0.2">
      <c r="A211" s="105"/>
    </row>
    <row r="212" spans="1:1" x14ac:dyDescent="0.2">
      <c r="A212" s="106"/>
    </row>
    <row r="213" spans="1:1" x14ac:dyDescent="0.2">
      <c r="A213" s="105"/>
    </row>
    <row r="214" spans="1:1" x14ac:dyDescent="0.2">
      <c r="A214" s="105"/>
    </row>
    <row r="215" spans="1:1" x14ac:dyDescent="0.2">
      <c r="A215" s="105"/>
    </row>
    <row r="216" spans="1:1" x14ac:dyDescent="0.2">
      <c r="A216" s="105"/>
    </row>
    <row r="217" spans="1:1" x14ac:dyDescent="0.2">
      <c r="A217" s="106"/>
    </row>
    <row r="218" spans="1:1" x14ac:dyDescent="0.2">
      <c r="A218" s="106"/>
    </row>
    <row r="219" spans="1:1" x14ac:dyDescent="0.2">
      <c r="A219" s="106"/>
    </row>
    <row r="220" spans="1:1" x14ac:dyDescent="0.2">
      <c r="A220" s="106"/>
    </row>
    <row r="221" spans="1:1" x14ac:dyDescent="0.2">
      <c r="A221" s="106"/>
    </row>
    <row r="222" spans="1:1" x14ac:dyDescent="0.2">
      <c r="A222" s="106"/>
    </row>
  </sheetData>
  <mergeCells count="6">
    <mergeCell ref="B1:L1"/>
    <mergeCell ref="B39:C39"/>
    <mergeCell ref="B3:L3"/>
    <mergeCell ref="A2:H2"/>
    <mergeCell ref="A5:L5"/>
    <mergeCell ref="A4:L4"/>
  </mergeCells>
  <phoneticPr fontId="0" type="noConversion"/>
  <printOptions horizontalCentered="1"/>
  <pageMargins left="0.19685039370078741" right="0.19685039370078741" top="0.59055118110236227" bottom="0.19685039370078741" header="0.47244094488188981" footer="0.19685039370078741"/>
  <pageSetup paperSize="9" scale="65" orientation="portrait" r:id="rId1"/>
  <headerFooter differentFirst="1" alignWithMargins="0">
    <oddFooter>&amp;C&amp;P</oddFooter>
  </headerFooter>
  <rowBreaks count="2" manualBreakCount="2">
    <brk id="38" max="16383" man="1"/>
    <brk id="76" max="11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4"/>
  <sheetViews>
    <sheetView view="pageBreakPreview" zoomScaleNormal="100" zoomScaleSheetLayoutView="100" workbookViewId="0">
      <pane xSplit="1" ySplit="7" topLeftCell="B57" activePane="bottomRight" state="frozen"/>
      <selection activeCell="E96" sqref="E96"/>
      <selection pane="topRight" activeCell="E96" sqref="E96"/>
      <selection pane="bottomLeft" activeCell="E96" sqref="E96"/>
      <selection pane="bottomRight" activeCell="A6" sqref="A6:H66"/>
    </sheetView>
  </sheetViews>
  <sheetFormatPr defaultRowHeight="12.75" x14ac:dyDescent="0.2"/>
  <cols>
    <col min="1" max="1" width="55.83203125" style="19" customWidth="1"/>
    <col min="2" max="2" width="15.6640625" style="18" customWidth="1"/>
    <col min="3" max="3" width="16.33203125" style="1345" customWidth="1"/>
    <col min="4" max="5" width="18" style="18" customWidth="1"/>
    <col min="6" max="7" width="18.33203125" style="18" customWidth="1"/>
    <col min="8" max="8" width="17.83203125" style="18" customWidth="1"/>
    <col min="9" max="9" width="11" style="18" customWidth="1"/>
    <col min="10" max="10" width="13.83203125" style="18" customWidth="1"/>
    <col min="11" max="250" width="9.33203125" style="18"/>
    <col min="251" max="251" width="47.1640625" style="18" customWidth="1"/>
    <col min="252" max="252" width="15.6640625" style="18" customWidth="1"/>
    <col min="253" max="253" width="16.33203125" style="18" customWidth="1"/>
    <col min="254" max="254" width="18" style="18" customWidth="1"/>
    <col min="255" max="255" width="16.6640625" style="18" customWidth="1"/>
    <col min="256" max="256" width="17.83203125" style="18" customWidth="1"/>
    <col min="257" max="258" width="12.83203125" style="18" customWidth="1"/>
    <col min="259" max="259" width="13.83203125" style="18" customWidth="1"/>
    <col min="260" max="506" width="9.33203125" style="18"/>
    <col min="507" max="507" width="47.1640625" style="18" customWidth="1"/>
    <col min="508" max="508" width="15.6640625" style="18" customWidth="1"/>
    <col min="509" max="509" width="16.33203125" style="18" customWidth="1"/>
    <col min="510" max="510" width="18" style="18" customWidth="1"/>
    <col min="511" max="511" width="16.6640625" style="18" customWidth="1"/>
    <col min="512" max="512" width="17.83203125" style="18" customWidth="1"/>
    <col min="513" max="514" width="12.83203125" style="18" customWidth="1"/>
    <col min="515" max="515" width="13.83203125" style="18" customWidth="1"/>
    <col min="516" max="762" width="9.33203125" style="18"/>
    <col min="763" max="763" width="47.1640625" style="18" customWidth="1"/>
    <col min="764" max="764" width="15.6640625" style="18" customWidth="1"/>
    <col min="765" max="765" width="16.33203125" style="18" customWidth="1"/>
    <col min="766" max="766" width="18" style="18" customWidth="1"/>
    <col min="767" max="767" width="16.6640625" style="18" customWidth="1"/>
    <col min="768" max="768" width="17.83203125" style="18" customWidth="1"/>
    <col min="769" max="770" width="12.83203125" style="18" customWidth="1"/>
    <col min="771" max="771" width="13.83203125" style="18" customWidth="1"/>
    <col min="772" max="1018" width="9.33203125" style="18"/>
    <col min="1019" max="1019" width="47.1640625" style="18" customWidth="1"/>
    <col min="1020" max="1020" width="15.6640625" style="18" customWidth="1"/>
    <col min="1021" max="1021" width="16.33203125" style="18" customWidth="1"/>
    <col min="1022" max="1022" width="18" style="18" customWidth="1"/>
    <col min="1023" max="1023" width="16.6640625" style="18" customWidth="1"/>
    <col min="1024" max="1024" width="17.83203125" style="18" customWidth="1"/>
    <col min="1025" max="1026" width="12.83203125" style="18" customWidth="1"/>
    <col min="1027" max="1027" width="13.83203125" style="18" customWidth="1"/>
    <col min="1028" max="1274" width="9.33203125" style="18"/>
    <col min="1275" max="1275" width="47.1640625" style="18" customWidth="1"/>
    <col min="1276" max="1276" width="15.6640625" style="18" customWidth="1"/>
    <col min="1277" max="1277" width="16.33203125" style="18" customWidth="1"/>
    <col min="1278" max="1278" width="18" style="18" customWidth="1"/>
    <col min="1279" max="1279" width="16.6640625" style="18" customWidth="1"/>
    <col min="1280" max="1280" width="17.83203125" style="18" customWidth="1"/>
    <col min="1281" max="1282" width="12.83203125" style="18" customWidth="1"/>
    <col min="1283" max="1283" width="13.83203125" style="18" customWidth="1"/>
    <col min="1284" max="1530" width="9.33203125" style="18"/>
    <col min="1531" max="1531" width="47.1640625" style="18" customWidth="1"/>
    <col min="1532" max="1532" width="15.6640625" style="18" customWidth="1"/>
    <col min="1533" max="1533" width="16.33203125" style="18" customWidth="1"/>
    <col min="1534" max="1534" width="18" style="18" customWidth="1"/>
    <col min="1535" max="1535" width="16.6640625" style="18" customWidth="1"/>
    <col min="1536" max="1536" width="17.83203125" style="18" customWidth="1"/>
    <col min="1537" max="1538" width="12.83203125" style="18" customWidth="1"/>
    <col min="1539" max="1539" width="13.83203125" style="18" customWidth="1"/>
    <col min="1540" max="1786" width="9.33203125" style="18"/>
    <col min="1787" max="1787" width="47.1640625" style="18" customWidth="1"/>
    <col min="1788" max="1788" width="15.6640625" style="18" customWidth="1"/>
    <col min="1789" max="1789" width="16.33203125" style="18" customWidth="1"/>
    <col min="1790" max="1790" width="18" style="18" customWidth="1"/>
    <col min="1791" max="1791" width="16.6640625" style="18" customWidth="1"/>
    <col min="1792" max="1792" width="17.83203125" style="18" customWidth="1"/>
    <col min="1793" max="1794" width="12.83203125" style="18" customWidth="1"/>
    <col min="1795" max="1795" width="13.83203125" style="18" customWidth="1"/>
    <col min="1796" max="2042" width="9.33203125" style="18"/>
    <col min="2043" max="2043" width="47.1640625" style="18" customWidth="1"/>
    <col min="2044" max="2044" width="15.6640625" style="18" customWidth="1"/>
    <col min="2045" max="2045" width="16.33203125" style="18" customWidth="1"/>
    <col min="2046" max="2046" width="18" style="18" customWidth="1"/>
    <col min="2047" max="2047" width="16.6640625" style="18" customWidth="1"/>
    <col min="2048" max="2048" width="17.83203125" style="18" customWidth="1"/>
    <col min="2049" max="2050" width="12.83203125" style="18" customWidth="1"/>
    <col min="2051" max="2051" width="13.83203125" style="18" customWidth="1"/>
    <col min="2052" max="2298" width="9.33203125" style="18"/>
    <col min="2299" max="2299" width="47.1640625" style="18" customWidth="1"/>
    <col min="2300" max="2300" width="15.6640625" style="18" customWidth="1"/>
    <col min="2301" max="2301" width="16.33203125" style="18" customWidth="1"/>
    <col min="2302" max="2302" width="18" style="18" customWidth="1"/>
    <col min="2303" max="2303" width="16.6640625" style="18" customWidth="1"/>
    <col min="2304" max="2304" width="17.83203125" style="18" customWidth="1"/>
    <col min="2305" max="2306" width="12.83203125" style="18" customWidth="1"/>
    <col min="2307" max="2307" width="13.83203125" style="18" customWidth="1"/>
    <col min="2308" max="2554" width="9.33203125" style="18"/>
    <col min="2555" max="2555" width="47.1640625" style="18" customWidth="1"/>
    <col min="2556" max="2556" width="15.6640625" style="18" customWidth="1"/>
    <col min="2557" max="2557" width="16.33203125" style="18" customWidth="1"/>
    <col min="2558" max="2558" width="18" style="18" customWidth="1"/>
    <col min="2559" max="2559" width="16.6640625" style="18" customWidth="1"/>
    <col min="2560" max="2560" width="17.83203125" style="18" customWidth="1"/>
    <col min="2561" max="2562" width="12.83203125" style="18" customWidth="1"/>
    <col min="2563" max="2563" width="13.83203125" style="18" customWidth="1"/>
    <col min="2564" max="2810" width="9.33203125" style="18"/>
    <col min="2811" max="2811" width="47.1640625" style="18" customWidth="1"/>
    <col min="2812" max="2812" width="15.6640625" style="18" customWidth="1"/>
    <col min="2813" max="2813" width="16.33203125" style="18" customWidth="1"/>
    <col min="2814" max="2814" width="18" style="18" customWidth="1"/>
    <col min="2815" max="2815" width="16.6640625" style="18" customWidth="1"/>
    <col min="2816" max="2816" width="17.83203125" style="18" customWidth="1"/>
    <col min="2817" max="2818" width="12.83203125" style="18" customWidth="1"/>
    <col min="2819" max="2819" width="13.83203125" style="18" customWidth="1"/>
    <col min="2820" max="3066" width="9.33203125" style="18"/>
    <col min="3067" max="3067" width="47.1640625" style="18" customWidth="1"/>
    <col min="3068" max="3068" width="15.6640625" style="18" customWidth="1"/>
    <col min="3069" max="3069" width="16.33203125" style="18" customWidth="1"/>
    <col min="3070" max="3070" width="18" style="18" customWidth="1"/>
    <col min="3071" max="3071" width="16.6640625" style="18" customWidth="1"/>
    <col min="3072" max="3072" width="17.83203125" style="18" customWidth="1"/>
    <col min="3073" max="3074" width="12.83203125" style="18" customWidth="1"/>
    <col min="3075" max="3075" width="13.83203125" style="18" customWidth="1"/>
    <col min="3076" max="3322" width="9.33203125" style="18"/>
    <col min="3323" max="3323" width="47.1640625" style="18" customWidth="1"/>
    <col min="3324" max="3324" width="15.6640625" style="18" customWidth="1"/>
    <col min="3325" max="3325" width="16.33203125" style="18" customWidth="1"/>
    <col min="3326" max="3326" width="18" style="18" customWidth="1"/>
    <col min="3327" max="3327" width="16.6640625" style="18" customWidth="1"/>
    <col min="3328" max="3328" width="17.83203125" style="18" customWidth="1"/>
    <col min="3329" max="3330" width="12.83203125" style="18" customWidth="1"/>
    <col min="3331" max="3331" width="13.83203125" style="18" customWidth="1"/>
    <col min="3332" max="3578" width="9.33203125" style="18"/>
    <col min="3579" max="3579" width="47.1640625" style="18" customWidth="1"/>
    <col min="3580" max="3580" width="15.6640625" style="18" customWidth="1"/>
    <col min="3581" max="3581" width="16.33203125" style="18" customWidth="1"/>
    <col min="3582" max="3582" width="18" style="18" customWidth="1"/>
    <col min="3583" max="3583" width="16.6640625" style="18" customWidth="1"/>
    <col min="3584" max="3584" width="17.83203125" style="18" customWidth="1"/>
    <col min="3585" max="3586" width="12.83203125" style="18" customWidth="1"/>
    <col min="3587" max="3587" width="13.83203125" style="18" customWidth="1"/>
    <col min="3588" max="3834" width="9.33203125" style="18"/>
    <col min="3835" max="3835" width="47.1640625" style="18" customWidth="1"/>
    <col min="3836" max="3836" width="15.6640625" style="18" customWidth="1"/>
    <col min="3837" max="3837" width="16.33203125" style="18" customWidth="1"/>
    <col min="3838" max="3838" width="18" style="18" customWidth="1"/>
    <col min="3839" max="3839" width="16.6640625" style="18" customWidth="1"/>
    <col min="3840" max="3840" width="17.83203125" style="18" customWidth="1"/>
    <col min="3841" max="3842" width="12.83203125" style="18" customWidth="1"/>
    <col min="3843" max="3843" width="13.83203125" style="18" customWidth="1"/>
    <col min="3844" max="4090" width="9.33203125" style="18"/>
    <col min="4091" max="4091" width="47.1640625" style="18" customWidth="1"/>
    <col min="4092" max="4092" width="15.6640625" style="18" customWidth="1"/>
    <col min="4093" max="4093" width="16.33203125" style="18" customWidth="1"/>
    <col min="4094" max="4094" width="18" style="18" customWidth="1"/>
    <col min="4095" max="4095" width="16.6640625" style="18" customWidth="1"/>
    <col min="4096" max="4096" width="17.83203125" style="18" customWidth="1"/>
    <col min="4097" max="4098" width="12.83203125" style="18" customWidth="1"/>
    <col min="4099" max="4099" width="13.83203125" style="18" customWidth="1"/>
    <col min="4100" max="4346" width="9.33203125" style="18"/>
    <col min="4347" max="4347" width="47.1640625" style="18" customWidth="1"/>
    <col min="4348" max="4348" width="15.6640625" style="18" customWidth="1"/>
    <col min="4349" max="4349" width="16.33203125" style="18" customWidth="1"/>
    <col min="4350" max="4350" width="18" style="18" customWidth="1"/>
    <col min="4351" max="4351" width="16.6640625" style="18" customWidth="1"/>
    <col min="4352" max="4352" width="17.83203125" style="18" customWidth="1"/>
    <col min="4353" max="4354" width="12.83203125" style="18" customWidth="1"/>
    <col min="4355" max="4355" width="13.83203125" style="18" customWidth="1"/>
    <col min="4356" max="4602" width="9.33203125" style="18"/>
    <col min="4603" max="4603" width="47.1640625" style="18" customWidth="1"/>
    <col min="4604" max="4604" width="15.6640625" style="18" customWidth="1"/>
    <col min="4605" max="4605" width="16.33203125" style="18" customWidth="1"/>
    <col min="4606" max="4606" width="18" style="18" customWidth="1"/>
    <col min="4607" max="4607" width="16.6640625" style="18" customWidth="1"/>
    <col min="4608" max="4608" width="17.83203125" style="18" customWidth="1"/>
    <col min="4609" max="4610" width="12.83203125" style="18" customWidth="1"/>
    <col min="4611" max="4611" width="13.83203125" style="18" customWidth="1"/>
    <col min="4612" max="4858" width="9.33203125" style="18"/>
    <col min="4859" max="4859" width="47.1640625" style="18" customWidth="1"/>
    <col min="4860" max="4860" width="15.6640625" style="18" customWidth="1"/>
    <col min="4861" max="4861" width="16.33203125" style="18" customWidth="1"/>
    <col min="4862" max="4862" width="18" style="18" customWidth="1"/>
    <col min="4863" max="4863" width="16.6640625" style="18" customWidth="1"/>
    <col min="4864" max="4864" width="17.83203125" style="18" customWidth="1"/>
    <col min="4865" max="4866" width="12.83203125" style="18" customWidth="1"/>
    <col min="4867" max="4867" width="13.83203125" style="18" customWidth="1"/>
    <col min="4868" max="5114" width="9.33203125" style="18"/>
    <col min="5115" max="5115" width="47.1640625" style="18" customWidth="1"/>
    <col min="5116" max="5116" width="15.6640625" style="18" customWidth="1"/>
    <col min="5117" max="5117" width="16.33203125" style="18" customWidth="1"/>
    <col min="5118" max="5118" width="18" style="18" customWidth="1"/>
    <col min="5119" max="5119" width="16.6640625" style="18" customWidth="1"/>
    <col min="5120" max="5120" width="17.83203125" style="18" customWidth="1"/>
    <col min="5121" max="5122" width="12.83203125" style="18" customWidth="1"/>
    <col min="5123" max="5123" width="13.83203125" style="18" customWidth="1"/>
    <col min="5124" max="5370" width="9.33203125" style="18"/>
    <col min="5371" max="5371" width="47.1640625" style="18" customWidth="1"/>
    <col min="5372" max="5372" width="15.6640625" style="18" customWidth="1"/>
    <col min="5373" max="5373" width="16.33203125" style="18" customWidth="1"/>
    <col min="5374" max="5374" width="18" style="18" customWidth="1"/>
    <col min="5375" max="5375" width="16.6640625" style="18" customWidth="1"/>
    <col min="5376" max="5376" width="17.83203125" style="18" customWidth="1"/>
    <col min="5377" max="5378" width="12.83203125" style="18" customWidth="1"/>
    <col min="5379" max="5379" width="13.83203125" style="18" customWidth="1"/>
    <col min="5380" max="5626" width="9.33203125" style="18"/>
    <col min="5627" max="5627" width="47.1640625" style="18" customWidth="1"/>
    <col min="5628" max="5628" width="15.6640625" style="18" customWidth="1"/>
    <col min="5629" max="5629" width="16.33203125" style="18" customWidth="1"/>
    <col min="5630" max="5630" width="18" style="18" customWidth="1"/>
    <col min="5631" max="5631" width="16.6640625" style="18" customWidth="1"/>
    <col min="5632" max="5632" width="17.83203125" style="18" customWidth="1"/>
    <col min="5633" max="5634" width="12.83203125" style="18" customWidth="1"/>
    <col min="5635" max="5635" width="13.83203125" style="18" customWidth="1"/>
    <col min="5636" max="5882" width="9.33203125" style="18"/>
    <col min="5883" max="5883" width="47.1640625" style="18" customWidth="1"/>
    <col min="5884" max="5884" width="15.6640625" style="18" customWidth="1"/>
    <col min="5885" max="5885" width="16.33203125" style="18" customWidth="1"/>
    <col min="5886" max="5886" width="18" style="18" customWidth="1"/>
    <col min="5887" max="5887" width="16.6640625" style="18" customWidth="1"/>
    <col min="5888" max="5888" width="17.83203125" style="18" customWidth="1"/>
    <col min="5889" max="5890" width="12.83203125" style="18" customWidth="1"/>
    <col min="5891" max="5891" width="13.83203125" style="18" customWidth="1"/>
    <col min="5892" max="6138" width="9.33203125" style="18"/>
    <col min="6139" max="6139" width="47.1640625" style="18" customWidth="1"/>
    <col min="6140" max="6140" width="15.6640625" style="18" customWidth="1"/>
    <col min="6141" max="6141" width="16.33203125" style="18" customWidth="1"/>
    <col min="6142" max="6142" width="18" style="18" customWidth="1"/>
    <col min="6143" max="6143" width="16.6640625" style="18" customWidth="1"/>
    <col min="6144" max="6144" width="17.83203125" style="18" customWidth="1"/>
    <col min="6145" max="6146" width="12.83203125" style="18" customWidth="1"/>
    <col min="6147" max="6147" width="13.83203125" style="18" customWidth="1"/>
    <col min="6148" max="6394" width="9.33203125" style="18"/>
    <col min="6395" max="6395" width="47.1640625" style="18" customWidth="1"/>
    <col min="6396" max="6396" width="15.6640625" style="18" customWidth="1"/>
    <col min="6397" max="6397" width="16.33203125" style="18" customWidth="1"/>
    <col min="6398" max="6398" width="18" style="18" customWidth="1"/>
    <col min="6399" max="6399" width="16.6640625" style="18" customWidth="1"/>
    <col min="6400" max="6400" width="17.83203125" style="18" customWidth="1"/>
    <col min="6401" max="6402" width="12.83203125" style="18" customWidth="1"/>
    <col min="6403" max="6403" width="13.83203125" style="18" customWidth="1"/>
    <col min="6404" max="6650" width="9.33203125" style="18"/>
    <col min="6651" max="6651" width="47.1640625" style="18" customWidth="1"/>
    <col min="6652" max="6652" width="15.6640625" style="18" customWidth="1"/>
    <col min="6653" max="6653" width="16.33203125" style="18" customWidth="1"/>
    <col min="6654" max="6654" width="18" style="18" customWidth="1"/>
    <col min="6655" max="6655" width="16.6640625" style="18" customWidth="1"/>
    <col min="6656" max="6656" width="17.83203125" style="18" customWidth="1"/>
    <col min="6657" max="6658" width="12.83203125" style="18" customWidth="1"/>
    <col min="6659" max="6659" width="13.83203125" style="18" customWidth="1"/>
    <col min="6660" max="6906" width="9.33203125" style="18"/>
    <col min="6907" max="6907" width="47.1640625" style="18" customWidth="1"/>
    <col min="6908" max="6908" width="15.6640625" style="18" customWidth="1"/>
    <col min="6909" max="6909" width="16.33203125" style="18" customWidth="1"/>
    <col min="6910" max="6910" width="18" style="18" customWidth="1"/>
    <col min="6911" max="6911" width="16.6640625" style="18" customWidth="1"/>
    <col min="6912" max="6912" width="17.83203125" style="18" customWidth="1"/>
    <col min="6913" max="6914" width="12.83203125" style="18" customWidth="1"/>
    <col min="6915" max="6915" width="13.83203125" style="18" customWidth="1"/>
    <col min="6916" max="7162" width="9.33203125" style="18"/>
    <col min="7163" max="7163" width="47.1640625" style="18" customWidth="1"/>
    <col min="7164" max="7164" width="15.6640625" style="18" customWidth="1"/>
    <col min="7165" max="7165" width="16.33203125" style="18" customWidth="1"/>
    <col min="7166" max="7166" width="18" style="18" customWidth="1"/>
    <col min="7167" max="7167" width="16.6640625" style="18" customWidth="1"/>
    <col min="7168" max="7168" width="17.83203125" style="18" customWidth="1"/>
    <col min="7169" max="7170" width="12.83203125" style="18" customWidth="1"/>
    <col min="7171" max="7171" width="13.83203125" style="18" customWidth="1"/>
    <col min="7172" max="7418" width="9.33203125" style="18"/>
    <col min="7419" max="7419" width="47.1640625" style="18" customWidth="1"/>
    <col min="7420" max="7420" width="15.6640625" style="18" customWidth="1"/>
    <col min="7421" max="7421" width="16.33203125" style="18" customWidth="1"/>
    <col min="7422" max="7422" width="18" style="18" customWidth="1"/>
    <col min="7423" max="7423" width="16.6640625" style="18" customWidth="1"/>
    <col min="7424" max="7424" width="17.83203125" style="18" customWidth="1"/>
    <col min="7425" max="7426" width="12.83203125" style="18" customWidth="1"/>
    <col min="7427" max="7427" width="13.83203125" style="18" customWidth="1"/>
    <col min="7428" max="7674" width="9.33203125" style="18"/>
    <col min="7675" max="7675" width="47.1640625" style="18" customWidth="1"/>
    <col min="7676" max="7676" width="15.6640625" style="18" customWidth="1"/>
    <col min="7677" max="7677" width="16.33203125" style="18" customWidth="1"/>
    <col min="7678" max="7678" width="18" style="18" customWidth="1"/>
    <col min="7679" max="7679" width="16.6640625" style="18" customWidth="1"/>
    <col min="7680" max="7680" width="17.83203125" style="18" customWidth="1"/>
    <col min="7681" max="7682" width="12.83203125" style="18" customWidth="1"/>
    <col min="7683" max="7683" width="13.83203125" style="18" customWidth="1"/>
    <col min="7684" max="7930" width="9.33203125" style="18"/>
    <col min="7931" max="7931" width="47.1640625" style="18" customWidth="1"/>
    <col min="7932" max="7932" width="15.6640625" style="18" customWidth="1"/>
    <col min="7933" max="7933" width="16.33203125" style="18" customWidth="1"/>
    <col min="7934" max="7934" width="18" style="18" customWidth="1"/>
    <col min="7935" max="7935" width="16.6640625" style="18" customWidth="1"/>
    <col min="7936" max="7936" width="17.83203125" style="18" customWidth="1"/>
    <col min="7937" max="7938" width="12.83203125" style="18" customWidth="1"/>
    <col min="7939" max="7939" width="13.83203125" style="18" customWidth="1"/>
    <col min="7940" max="8186" width="9.33203125" style="18"/>
    <col min="8187" max="8187" width="47.1640625" style="18" customWidth="1"/>
    <col min="8188" max="8188" width="15.6640625" style="18" customWidth="1"/>
    <col min="8189" max="8189" width="16.33203125" style="18" customWidth="1"/>
    <col min="8190" max="8190" width="18" style="18" customWidth="1"/>
    <col min="8191" max="8191" width="16.6640625" style="18" customWidth="1"/>
    <col min="8192" max="8192" width="17.83203125" style="18" customWidth="1"/>
    <col min="8193" max="8194" width="12.83203125" style="18" customWidth="1"/>
    <col min="8195" max="8195" width="13.83203125" style="18" customWidth="1"/>
    <col min="8196" max="8442" width="9.33203125" style="18"/>
    <col min="8443" max="8443" width="47.1640625" style="18" customWidth="1"/>
    <col min="8444" max="8444" width="15.6640625" style="18" customWidth="1"/>
    <col min="8445" max="8445" width="16.33203125" style="18" customWidth="1"/>
    <col min="8446" max="8446" width="18" style="18" customWidth="1"/>
    <col min="8447" max="8447" width="16.6640625" style="18" customWidth="1"/>
    <col min="8448" max="8448" width="17.83203125" style="18" customWidth="1"/>
    <col min="8449" max="8450" width="12.83203125" style="18" customWidth="1"/>
    <col min="8451" max="8451" width="13.83203125" style="18" customWidth="1"/>
    <col min="8452" max="8698" width="9.33203125" style="18"/>
    <col min="8699" max="8699" width="47.1640625" style="18" customWidth="1"/>
    <col min="8700" max="8700" width="15.6640625" style="18" customWidth="1"/>
    <col min="8701" max="8701" width="16.33203125" style="18" customWidth="1"/>
    <col min="8702" max="8702" width="18" style="18" customWidth="1"/>
    <col min="8703" max="8703" width="16.6640625" style="18" customWidth="1"/>
    <col min="8704" max="8704" width="17.83203125" style="18" customWidth="1"/>
    <col min="8705" max="8706" width="12.83203125" style="18" customWidth="1"/>
    <col min="8707" max="8707" width="13.83203125" style="18" customWidth="1"/>
    <col min="8708" max="8954" width="9.33203125" style="18"/>
    <col min="8955" max="8955" width="47.1640625" style="18" customWidth="1"/>
    <col min="8956" max="8956" width="15.6640625" style="18" customWidth="1"/>
    <col min="8957" max="8957" width="16.33203125" style="18" customWidth="1"/>
    <col min="8958" max="8958" width="18" style="18" customWidth="1"/>
    <col min="8959" max="8959" width="16.6640625" style="18" customWidth="1"/>
    <col min="8960" max="8960" width="17.83203125" style="18" customWidth="1"/>
    <col min="8961" max="8962" width="12.83203125" style="18" customWidth="1"/>
    <col min="8963" max="8963" width="13.83203125" style="18" customWidth="1"/>
    <col min="8964" max="9210" width="9.33203125" style="18"/>
    <col min="9211" max="9211" width="47.1640625" style="18" customWidth="1"/>
    <col min="9212" max="9212" width="15.6640625" style="18" customWidth="1"/>
    <col min="9213" max="9213" width="16.33203125" style="18" customWidth="1"/>
    <col min="9214" max="9214" width="18" style="18" customWidth="1"/>
    <col min="9215" max="9215" width="16.6640625" style="18" customWidth="1"/>
    <col min="9216" max="9216" width="17.83203125" style="18" customWidth="1"/>
    <col min="9217" max="9218" width="12.83203125" style="18" customWidth="1"/>
    <col min="9219" max="9219" width="13.83203125" style="18" customWidth="1"/>
    <col min="9220" max="9466" width="9.33203125" style="18"/>
    <col min="9467" max="9467" width="47.1640625" style="18" customWidth="1"/>
    <col min="9468" max="9468" width="15.6640625" style="18" customWidth="1"/>
    <col min="9469" max="9469" width="16.33203125" style="18" customWidth="1"/>
    <col min="9470" max="9470" width="18" style="18" customWidth="1"/>
    <col min="9471" max="9471" width="16.6640625" style="18" customWidth="1"/>
    <col min="9472" max="9472" width="17.83203125" style="18" customWidth="1"/>
    <col min="9473" max="9474" width="12.83203125" style="18" customWidth="1"/>
    <col min="9475" max="9475" width="13.83203125" style="18" customWidth="1"/>
    <col min="9476" max="9722" width="9.33203125" style="18"/>
    <col min="9723" max="9723" width="47.1640625" style="18" customWidth="1"/>
    <col min="9724" max="9724" width="15.6640625" style="18" customWidth="1"/>
    <col min="9725" max="9725" width="16.33203125" style="18" customWidth="1"/>
    <col min="9726" max="9726" width="18" style="18" customWidth="1"/>
    <col min="9727" max="9727" width="16.6640625" style="18" customWidth="1"/>
    <col min="9728" max="9728" width="17.83203125" style="18" customWidth="1"/>
    <col min="9729" max="9730" width="12.83203125" style="18" customWidth="1"/>
    <col min="9731" max="9731" width="13.83203125" style="18" customWidth="1"/>
    <col min="9732" max="9978" width="9.33203125" style="18"/>
    <col min="9979" max="9979" width="47.1640625" style="18" customWidth="1"/>
    <col min="9980" max="9980" width="15.6640625" style="18" customWidth="1"/>
    <col min="9981" max="9981" width="16.33203125" style="18" customWidth="1"/>
    <col min="9982" max="9982" width="18" style="18" customWidth="1"/>
    <col min="9983" max="9983" width="16.6640625" style="18" customWidth="1"/>
    <col min="9984" max="9984" width="17.83203125" style="18" customWidth="1"/>
    <col min="9985" max="9986" width="12.83203125" style="18" customWidth="1"/>
    <col min="9987" max="9987" width="13.83203125" style="18" customWidth="1"/>
    <col min="9988" max="10234" width="9.33203125" style="18"/>
    <col min="10235" max="10235" width="47.1640625" style="18" customWidth="1"/>
    <col min="10236" max="10236" width="15.6640625" style="18" customWidth="1"/>
    <col min="10237" max="10237" width="16.33203125" style="18" customWidth="1"/>
    <col min="10238" max="10238" width="18" style="18" customWidth="1"/>
    <col min="10239" max="10239" width="16.6640625" style="18" customWidth="1"/>
    <col min="10240" max="10240" width="17.83203125" style="18" customWidth="1"/>
    <col min="10241" max="10242" width="12.83203125" style="18" customWidth="1"/>
    <col min="10243" max="10243" width="13.83203125" style="18" customWidth="1"/>
    <col min="10244" max="10490" width="9.33203125" style="18"/>
    <col min="10491" max="10491" width="47.1640625" style="18" customWidth="1"/>
    <col min="10492" max="10492" width="15.6640625" style="18" customWidth="1"/>
    <col min="10493" max="10493" width="16.33203125" style="18" customWidth="1"/>
    <col min="10494" max="10494" width="18" style="18" customWidth="1"/>
    <col min="10495" max="10495" width="16.6640625" style="18" customWidth="1"/>
    <col min="10496" max="10496" width="17.83203125" style="18" customWidth="1"/>
    <col min="10497" max="10498" width="12.83203125" style="18" customWidth="1"/>
    <col min="10499" max="10499" width="13.83203125" style="18" customWidth="1"/>
    <col min="10500" max="10746" width="9.33203125" style="18"/>
    <col min="10747" max="10747" width="47.1640625" style="18" customWidth="1"/>
    <col min="10748" max="10748" width="15.6640625" style="18" customWidth="1"/>
    <col min="10749" max="10749" width="16.33203125" style="18" customWidth="1"/>
    <col min="10750" max="10750" width="18" style="18" customWidth="1"/>
    <col min="10751" max="10751" width="16.6640625" style="18" customWidth="1"/>
    <col min="10752" max="10752" width="17.83203125" style="18" customWidth="1"/>
    <col min="10753" max="10754" width="12.83203125" style="18" customWidth="1"/>
    <col min="10755" max="10755" width="13.83203125" style="18" customWidth="1"/>
    <col min="10756" max="11002" width="9.33203125" style="18"/>
    <col min="11003" max="11003" width="47.1640625" style="18" customWidth="1"/>
    <col min="11004" max="11004" width="15.6640625" style="18" customWidth="1"/>
    <col min="11005" max="11005" width="16.33203125" style="18" customWidth="1"/>
    <col min="11006" max="11006" width="18" style="18" customWidth="1"/>
    <col min="11007" max="11007" width="16.6640625" style="18" customWidth="1"/>
    <col min="11008" max="11008" width="17.83203125" style="18" customWidth="1"/>
    <col min="11009" max="11010" width="12.83203125" style="18" customWidth="1"/>
    <col min="11011" max="11011" width="13.83203125" style="18" customWidth="1"/>
    <col min="11012" max="11258" width="9.33203125" style="18"/>
    <col min="11259" max="11259" width="47.1640625" style="18" customWidth="1"/>
    <col min="11260" max="11260" width="15.6640625" style="18" customWidth="1"/>
    <col min="11261" max="11261" width="16.33203125" style="18" customWidth="1"/>
    <col min="11262" max="11262" width="18" style="18" customWidth="1"/>
    <col min="11263" max="11263" width="16.6640625" style="18" customWidth="1"/>
    <col min="11264" max="11264" width="17.83203125" style="18" customWidth="1"/>
    <col min="11265" max="11266" width="12.83203125" style="18" customWidth="1"/>
    <col min="11267" max="11267" width="13.83203125" style="18" customWidth="1"/>
    <col min="11268" max="11514" width="9.33203125" style="18"/>
    <col min="11515" max="11515" width="47.1640625" style="18" customWidth="1"/>
    <col min="11516" max="11516" width="15.6640625" style="18" customWidth="1"/>
    <col min="11517" max="11517" width="16.33203125" style="18" customWidth="1"/>
    <col min="11518" max="11518" width="18" style="18" customWidth="1"/>
    <col min="11519" max="11519" width="16.6640625" style="18" customWidth="1"/>
    <col min="11520" max="11520" width="17.83203125" style="18" customWidth="1"/>
    <col min="11521" max="11522" width="12.83203125" style="18" customWidth="1"/>
    <col min="11523" max="11523" width="13.83203125" style="18" customWidth="1"/>
    <col min="11524" max="11770" width="9.33203125" style="18"/>
    <col min="11771" max="11771" width="47.1640625" style="18" customWidth="1"/>
    <col min="11772" max="11772" width="15.6640625" style="18" customWidth="1"/>
    <col min="11773" max="11773" width="16.33203125" style="18" customWidth="1"/>
    <col min="11774" max="11774" width="18" style="18" customWidth="1"/>
    <col min="11775" max="11775" width="16.6640625" style="18" customWidth="1"/>
    <col min="11776" max="11776" width="17.83203125" style="18" customWidth="1"/>
    <col min="11777" max="11778" width="12.83203125" style="18" customWidth="1"/>
    <col min="11779" max="11779" width="13.83203125" style="18" customWidth="1"/>
    <col min="11780" max="12026" width="9.33203125" style="18"/>
    <col min="12027" max="12027" width="47.1640625" style="18" customWidth="1"/>
    <col min="12028" max="12028" width="15.6640625" style="18" customWidth="1"/>
    <col min="12029" max="12029" width="16.33203125" style="18" customWidth="1"/>
    <col min="12030" max="12030" width="18" style="18" customWidth="1"/>
    <col min="12031" max="12031" width="16.6640625" style="18" customWidth="1"/>
    <col min="12032" max="12032" width="17.83203125" style="18" customWidth="1"/>
    <col min="12033" max="12034" width="12.83203125" style="18" customWidth="1"/>
    <col min="12035" max="12035" width="13.83203125" style="18" customWidth="1"/>
    <col min="12036" max="12282" width="9.33203125" style="18"/>
    <col min="12283" max="12283" width="47.1640625" style="18" customWidth="1"/>
    <col min="12284" max="12284" width="15.6640625" style="18" customWidth="1"/>
    <col min="12285" max="12285" width="16.33203125" style="18" customWidth="1"/>
    <col min="12286" max="12286" width="18" style="18" customWidth="1"/>
    <col min="12287" max="12287" width="16.6640625" style="18" customWidth="1"/>
    <col min="12288" max="12288" width="17.83203125" style="18" customWidth="1"/>
    <col min="12289" max="12290" width="12.83203125" style="18" customWidth="1"/>
    <col min="12291" max="12291" width="13.83203125" style="18" customWidth="1"/>
    <col min="12292" max="12538" width="9.33203125" style="18"/>
    <col min="12539" max="12539" width="47.1640625" style="18" customWidth="1"/>
    <col min="12540" max="12540" width="15.6640625" style="18" customWidth="1"/>
    <col min="12541" max="12541" width="16.33203125" style="18" customWidth="1"/>
    <col min="12542" max="12542" width="18" style="18" customWidth="1"/>
    <col min="12543" max="12543" width="16.6640625" style="18" customWidth="1"/>
    <col min="12544" max="12544" width="17.83203125" style="18" customWidth="1"/>
    <col min="12545" max="12546" width="12.83203125" style="18" customWidth="1"/>
    <col min="12547" max="12547" width="13.83203125" style="18" customWidth="1"/>
    <col min="12548" max="12794" width="9.33203125" style="18"/>
    <col min="12795" max="12795" width="47.1640625" style="18" customWidth="1"/>
    <col min="12796" max="12796" width="15.6640625" style="18" customWidth="1"/>
    <col min="12797" max="12797" width="16.33203125" style="18" customWidth="1"/>
    <col min="12798" max="12798" width="18" style="18" customWidth="1"/>
    <col min="12799" max="12799" width="16.6640625" style="18" customWidth="1"/>
    <col min="12800" max="12800" width="17.83203125" style="18" customWidth="1"/>
    <col min="12801" max="12802" width="12.83203125" style="18" customWidth="1"/>
    <col min="12803" max="12803" width="13.83203125" style="18" customWidth="1"/>
    <col min="12804" max="13050" width="9.33203125" style="18"/>
    <col min="13051" max="13051" width="47.1640625" style="18" customWidth="1"/>
    <col min="13052" max="13052" width="15.6640625" style="18" customWidth="1"/>
    <col min="13053" max="13053" width="16.33203125" style="18" customWidth="1"/>
    <col min="13054" max="13054" width="18" style="18" customWidth="1"/>
    <col min="13055" max="13055" width="16.6640625" style="18" customWidth="1"/>
    <col min="13056" max="13056" width="17.83203125" style="18" customWidth="1"/>
    <col min="13057" max="13058" width="12.83203125" style="18" customWidth="1"/>
    <col min="13059" max="13059" width="13.83203125" style="18" customWidth="1"/>
    <col min="13060" max="13306" width="9.33203125" style="18"/>
    <col min="13307" max="13307" width="47.1640625" style="18" customWidth="1"/>
    <col min="13308" max="13308" width="15.6640625" style="18" customWidth="1"/>
    <col min="13309" max="13309" width="16.33203125" style="18" customWidth="1"/>
    <col min="13310" max="13310" width="18" style="18" customWidth="1"/>
    <col min="13311" max="13311" width="16.6640625" style="18" customWidth="1"/>
    <col min="13312" max="13312" width="17.83203125" style="18" customWidth="1"/>
    <col min="13313" max="13314" width="12.83203125" style="18" customWidth="1"/>
    <col min="13315" max="13315" width="13.83203125" style="18" customWidth="1"/>
    <col min="13316" max="13562" width="9.33203125" style="18"/>
    <col min="13563" max="13563" width="47.1640625" style="18" customWidth="1"/>
    <col min="13564" max="13564" width="15.6640625" style="18" customWidth="1"/>
    <col min="13565" max="13565" width="16.33203125" style="18" customWidth="1"/>
    <col min="13566" max="13566" width="18" style="18" customWidth="1"/>
    <col min="13567" max="13567" width="16.6640625" style="18" customWidth="1"/>
    <col min="13568" max="13568" width="17.83203125" style="18" customWidth="1"/>
    <col min="13569" max="13570" width="12.83203125" style="18" customWidth="1"/>
    <col min="13571" max="13571" width="13.83203125" style="18" customWidth="1"/>
    <col min="13572" max="13818" width="9.33203125" style="18"/>
    <col min="13819" max="13819" width="47.1640625" style="18" customWidth="1"/>
    <col min="13820" max="13820" width="15.6640625" style="18" customWidth="1"/>
    <col min="13821" max="13821" width="16.33203125" style="18" customWidth="1"/>
    <col min="13822" max="13822" width="18" style="18" customWidth="1"/>
    <col min="13823" max="13823" width="16.6640625" style="18" customWidth="1"/>
    <col min="13824" max="13824" width="17.83203125" style="18" customWidth="1"/>
    <col min="13825" max="13826" width="12.83203125" style="18" customWidth="1"/>
    <col min="13827" max="13827" width="13.83203125" style="18" customWidth="1"/>
    <col min="13828" max="14074" width="9.33203125" style="18"/>
    <col min="14075" max="14075" width="47.1640625" style="18" customWidth="1"/>
    <col min="14076" max="14076" width="15.6640625" style="18" customWidth="1"/>
    <col min="14077" max="14077" width="16.33203125" style="18" customWidth="1"/>
    <col min="14078" max="14078" width="18" style="18" customWidth="1"/>
    <col min="14079" max="14079" width="16.6640625" style="18" customWidth="1"/>
    <col min="14080" max="14080" width="17.83203125" style="18" customWidth="1"/>
    <col min="14081" max="14082" width="12.83203125" style="18" customWidth="1"/>
    <col min="14083" max="14083" width="13.83203125" style="18" customWidth="1"/>
    <col min="14084" max="14330" width="9.33203125" style="18"/>
    <col min="14331" max="14331" width="47.1640625" style="18" customWidth="1"/>
    <col min="14332" max="14332" width="15.6640625" style="18" customWidth="1"/>
    <col min="14333" max="14333" width="16.33203125" style="18" customWidth="1"/>
    <col min="14334" max="14334" width="18" style="18" customWidth="1"/>
    <col min="14335" max="14335" width="16.6640625" style="18" customWidth="1"/>
    <col min="14336" max="14336" width="17.83203125" style="18" customWidth="1"/>
    <col min="14337" max="14338" width="12.83203125" style="18" customWidth="1"/>
    <col min="14339" max="14339" width="13.83203125" style="18" customWidth="1"/>
    <col min="14340" max="14586" width="9.33203125" style="18"/>
    <col min="14587" max="14587" width="47.1640625" style="18" customWidth="1"/>
    <col min="14588" max="14588" width="15.6640625" style="18" customWidth="1"/>
    <col min="14589" max="14589" width="16.33203125" style="18" customWidth="1"/>
    <col min="14590" max="14590" width="18" style="18" customWidth="1"/>
    <col min="14591" max="14591" width="16.6640625" style="18" customWidth="1"/>
    <col min="14592" max="14592" width="17.83203125" style="18" customWidth="1"/>
    <col min="14593" max="14594" width="12.83203125" style="18" customWidth="1"/>
    <col min="14595" max="14595" width="13.83203125" style="18" customWidth="1"/>
    <col min="14596" max="14842" width="9.33203125" style="18"/>
    <col min="14843" max="14843" width="47.1640625" style="18" customWidth="1"/>
    <col min="14844" max="14844" width="15.6640625" style="18" customWidth="1"/>
    <col min="14845" max="14845" width="16.33203125" style="18" customWidth="1"/>
    <col min="14846" max="14846" width="18" style="18" customWidth="1"/>
    <col min="14847" max="14847" width="16.6640625" style="18" customWidth="1"/>
    <col min="14848" max="14848" width="17.83203125" style="18" customWidth="1"/>
    <col min="14849" max="14850" width="12.83203125" style="18" customWidth="1"/>
    <col min="14851" max="14851" width="13.83203125" style="18" customWidth="1"/>
    <col min="14852" max="15098" width="9.33203125" style="18"/>
    <col min="15099" max="15099" width="47.1640625" style="18" customWidth="1"/>
    <col min="15100" max="15100" width="15.6640625" style="18" customWidth="1"/>
    <col min="15101" max="15101" width="16.33203125" style="18" customWidth="1"/>
    <col min="15102" max="15102" width="18" style="18" customWidth="1"/>
    <col min="15103" max="15103" width="16.6640625" style="18" customWidth="1"/>
    <col min="15104" max="15104" width="17.83203125" style="18" customWidth="1"/>
    <col min="15105" max="15106" width="12.83203125" style="18" customWidth="1"/>
    <col min="15107" max="15107" width="13.83203125" style="18" customWidth="1"/>
    <col min="15108" max="15354" width="9.33203125" style="18"/>
    <col min="15355" max="15355" width="47.1640625" style="18" customWidth="1"/>
    <col min="15356" max="15356" width="15.6640625" style="18" customWidth="1"/>
    <col min="15357" max="15357" width="16.33203125" style="18" customWidth="1"/>
    <col min="15358" max="15358" width="18" style="18" customWidth="1"/>
    <col min="15359" max="15359" width="16.6640625" style="18" customWidth="1"/>
    <col min="15360" max="15360" width="17.83203125" style="18" customWidth="1"/>
    <col min="15361" max="15362" width="12.83203125" style="18" customWidth="1"/>
    <col min="15363" max="15363" width="13.83203125" style="18" customWidth="1"/>
    <col min="15364" max="15610" width="9.33203125" style="18"/>
    <col min="15611" max="15611" width="47.1640625" style="18" customWidth="1"/>
    <col min="15612" max="15612" width="15.6640625" style="18" customWidth="1"/>
    <col min="15613" max="15613" width="16.33203125" style="18" customWidth="1"/>
    <col min="15614" max="15614" width="18" style="18" customWidth="1"/>
    <col min="15615" max="15615" width="16.6640625" style="18" customWidth="1"/>
    <col min="15616" max="15616" width="17.83203125" style="18" customWidth="1"/>
    <col min="15617" max="15618" width="12.83203125" style="18" customWidth="1"/>
    <col min="15619" max="15619" width="13.83203125" style="18" customWidth="1"/>
    <col min="15620" max="15866" width="9.33203125" style="18"/>
    <col min="15867" max="15867" width="47.1640625" style="18" customWidth="1"/>
    <col min="15868" max="15868" width="15.6640625" style="18" customWidth="1"/>
    <col min="15869" max="15869" width="16.33203125" style="18" customWidth="1"/>
    <col min="15870" max="15870" width="18" style="18" customWidth="1"/>
    <col min="15871" max="15871" width="16.6640625" style="18" customWidth="1"/>
    <col min="15872" max="15872" width="17.83203125" style="18" customWidth="1"/>
    <col min="15873" max="15874" width="12.83203125" style="18" customWidth="1"/>
    <col min="15875" max="15875" width="13.83203125" style="18" customWidth="1"/>
    <col min="15876" max="16122" width="9.33203125" style="18"/>
    <col min="16123" max="16123" width="47.1640625" style="18" customWidth="1"/>
    <col min="16124" max="16124" width="15.6640625" style="18" customWidth="1"/>
    <col min="16125" max="16125" width="16.33203125" style="18" customWidth="1"/>
    <col min="16126" max="16126" width="18" style="18" customWidth="1"/>
    <col min="16127" max="16127" width="16.6640625" style="18" customWidth="1"/>
    <col min="16128" max="16128" width="17.83203125" style="18" customWidth="1"/>
    <col min="16129" max="16130" width="12.83203125" style="18" customWidth="1"/>
    <col min="16131" max="16131" width="13.83203125" style="18" customWidth="1"/>
    <col min="16132" max="16384" width="9.33203125" style="18"/>
  </cols>
  <sheetData>
    <row r="1" spans="1:14" ht="15.75" x14ac:dyDescent="0.2">
      <c r="A1" s="1831" t="s">
        <v>798</v>
      </c>
      <c r="B1" s="1831"/>
      <c r="C1" s="1831"/>
      <c r="D1" s="1831"/>
      <c r="E1" s="1831"/>
      <c r="F1" s="1831"/>
      <c r="G1" s="1831"/>
      <c r="H1" s="1831"/>
      <c r="I1" s="357"/>
    </row>
    <row r="2" spans="1:14" ht="14.25" customHeight="1" x14ac:dyDescent="0.2">
      <c r="A2" s="1831" t="s">
        <v>736</v>
      </c>
      <c r="B2" s="1831"/>
      <c r="C2" s="1831"/>
      <c r="D2" s="1831"/>
      <c r="E2" s="1831"/>
      <c r="F2" s="1831"/>
      <c r="G2" s="1831"/>
      <c r="H2" s="1831"/>
      <c r="I2" s="357"/>
      <c r="J2" s="357"/>
      <c r="K2" s="536"/>
      <c r="L2" s="536"/>
      <c r="M2" s="536"/>
      <c r="N2" s="536"/>
    </row>
    <row r="3" spans="1:14" ht="21.75" customHeight="1" x14ac:dyDescent="0.2">
      <c r="H3" s="363"/>
    </row>
    <row r="4" spans="1:14" ht="25.5" customHeight="1" x14ac:dyDescent="0.2">
      <c r="A4" s="1830" t="s">
        <v>405</v>
      </c>
      <c r="B4" s="1830"/>
      <c r="C4" s="1830"/>
      <c r="D4" s="1830"/>
      <c r="E4" s="1830"/>
      <c r="F4" s="1830"/>
      <c r="G4" s="1830"/>
      <c r="H4" s="1830"/>
    </row>
    <row r="5" spans="1:14" ht="22.7" customHeight="1" thickBot="1" x14ac:dyDescent="0.25">
      <c r="H5" s="364" t="s">
        <v>362</v>
      </c>
    </row>
    <row r="6" spans="1:14" s="22" customFormat="1" ht="62.45" customHeight="1" thickBot="1" x14ac:dyDescent="0.25">
      <c r="A6" s="297" t="s">
        <v>406</v>
      </c>
      <c r="B6" s="298" t="s">
        <v>407</v>
      </c>
      <c r="C6" s="1346" t="s">
        <v>408</v>
      </c>
      <c r="D6" s="298" t="s">
        <v>675</v>
      </c>
      <c r="E6" s="298" t="str">
        <f>'15.felh.felúj.'!C6</f>
        <v>2023. évi eredeti előirányzat
2/2023. (II.14.)</v>
      </c>
      <c r="F6" s="298" t="str">
        <f>'15.felh.felúj.'!D6</f>
        <v>Módosított előirányzat a 14/2023.  (VI.29.)  rendelet szerint</v>
      </c>
      <c r="G6" s="298" t="str">
        <f>'15.felh.felúj.'!E6</f>
        <v>Módosított előirányzat a 18/2023. (IX.26.)  rendelet szerint</v>
      </c>
      <c r="H6" s="299" t="s">
        <v>676</v>
      </c>
    </row>
    <row r="7" spans="1:14" ht="15" customHeight="1" x14ac:dyDescent="0.2">
      <c r="A7" s="1336" t="s">
        <v>297</v>
      </c>
      <c r="B7" s="1337" t="s">
        <v>298</v>
      </c>
      <c r="C7" s="1347" t="s">
        <v>299</v>
      </c>
      <c r="D7" s="1337" t="s">
        <v>300</v>
      </c>
      <c r="E7" s="1337" t="s">
        <v>301</v>
      </c>
      <c r="F7" s="1337" t="s">
        <v>388</v>
      </c>
      <c r="G7" s="1337" t="s">
        <v>424</v>
      </c>
      <c r="H7" s="416" t="s">
        <v>735</v>
      </c>
    </row>
    <row r="8" spans="1:14" ht="30.2" customHeight="1" x14ac:dyDescent="0.2">
      <c r="A8" s="1338" t="s">
        <v>409</v>
      </c>
      <c r="B8" s="1339">
        <f>D8+F8</f>
        <v>0</v>
      </c>
      <c r="C8" s="1348"/>
      <c r="D8" s="1340"/>
      <c r="E8" s="1340"/>
      <c r="F8" s="415"/>
      <c r="G8" s="415"/>
      <c r="H8" s="417">
        <f>B8-D8-F8</f>
        <v>0</v>
      </c>
    </row>
    <row r="9" spans="1:14" ht="27" customHeight="1" x14ac:dyDescent="0.2">
      <c r="A9" s="829" t="str">
        <f>'15.felh.felúj.'!B8</f>
        <v>Tárgyi eszközök beszerzése</v>
      </c>
      <c r="B9" s="366">
        <f>D9+G9+H9</f>
        <v>2500000</v>
      </c>
      <c r="C9" s="1349" t="s">
        <v>704</v>
      </c>
      <c r="D9" s="305"/>
      <c r="E9" s="305">
        <f>'15.felh.felúj.'!C8</f>
        <v>1500000</v>
      </c>
      <c r="F9" s="305">
        <f>'15.felh.felúj.'!D8</f>
        <v>1500000</v>
      </c>
      <c r="G9" s="305">
        <f>'15.felh.felúj.'!E8</f>
        <v>2500000</v>
      </c>
      <c r="H9" s="417"/>
    </row>
    <row r="10" spans="1:14" ht="27" customHeight="1" x14ac:dyDescent="0.2">
      <c r="A10" s="829" t="str">
        <f>'15.felh.felúj.'!B9</f>
        <v>Műszaki tervezés (beruházás)</v>
      </c>
      <c r="B10" s="366">
        <f t="shared" ref="B10:B23" si="0">D10+G10+H10</f>
        <v>36142585</v>
      </c>
      <c r="C10" s="1349" t="s">
        <v>715</v>
      </c>
      <c r="D10" s="305">
        <v>5442585</v>
      </c>
      <c r="E10" s="305">
        <f>'15.felh.felúj.'!C9</f>
        <v>30700000</v>
      </c>
      <c r="F10" s="305">
        <f>'15.felh.felúj.'!D9</f>
        <v>30700000</v>
      </c>
      <c r="G10" s="305">
        <f>'15.felh.felúj.'!E9</f>
        <v>30700000</v>
      </c>
      <c r="H10" s="417"/>
    </row>
    <row r="11" spans="1:14" ht="27" customHeight="1" x14ac:dyDescent="0.2">
      <c r="A11" s="829" t="str">
        <f>'15.felh.felúj.'!B10</f>
        <v>Ezüsthíd Gondozóházzal szemben pihenőpark kialakítása</v>
      </c>
      <c r="B11" s="366">
        <f t="shared" si="0"/>
        <v>3736600</v>
      </c>
      <c r="C11" s="1349" t="s">
        <v>712</v>
      </c>
      <c r="D11" s="305">
        <v>584200</v>
      </c>
      <c r="E11" s="305">
        <f>'15.felh.felúj.'!C10</f>
        <v>152400</v>
      </c>
      <c r="F11" s="305">
        <f>'15.felh.felúj.'!D10</f>
        <v>3152400</v>
      </c>
      <c r="G11" s="305">
        <f>'15.felh.felúj.'!E10</f>
        <v>3152400</v>
      </c>
      <c r="H11" s="417"/>
    </row>
    <row r="12" spans="1:14" ht="27" customHeight="1" x14ac:dyDescent="0.2">
      <c r="A12" s="829" t="str">
        <f>'15.felh.felúj.'!B11</f>
        <v>Informatikai infrastruktúra fejlesztése</v>
      </c>
      <c r="B12" s="366">
        <f t="shared" si="0"/>
        <v>40717882</v>
      </c>
      <c r="C12" s="1349" t="s">
        <v>712</v>
      </c>
      <c r="D12" s="305"/>
      <c r="E12" s="305">
        <f>'15.felh.felúj.'!C11</f>
        <v>45000000</v>
      </c>
      <c r="F12" s="305">
        <f>'15.felh.felúj.'!D11</f>
        <v>45000000</v>
      </c>
      <c r="G12" s="305">
        <f>'15.felh.felúj.'!E11</f>
        <v>40717882</v>
      </c>
      <c r="H12" s="417"/>
    </row>
    <row r="13" spans="1:14" ht="27" customHeight="1" x14ac:dyDescent="0.2">
      <c r="A13" s="829" t="str">
        <f>'15.felh.felúj.'!B12</f>
        <v>Játszótéri elemek cseréje</v>
      </c>
      <c r="B13" s="366">
        <f t="shared" si="0"/>
        <v>15000000</v>
      </c>
      <c r="C13" s="1349" t="s">
        <v>704</v>
      </c>
      <c r="D13" s="305"/>
      <c r="E13" s="305">
        <f>'15.felh.felúj.'!C12</f>
        <v>5000000</v>
      </c>
      <c r="F13" s="305">
        <f>'15.felh.felúj.'!D12</f>
        <v>15000000</v>
      </c>
      <c r="G13" s="305">
        <f>'15.felh.felúj.'!E12</f>
        <v>15000000</v>
      </c>
      <c r="H13" s="417"/>
    </row>
    <row r="14" spans="1:14" ht="27" customHeight="1" x14ac:dyDescent="0.2">
      <c r="A14" s="829" t="str">
        <f>'15.felh.felúj.'!B13</f>
        <v xml:space="preserve">Tiszaújvárosi Városgazda Nonprofit Kft. részére történő eszközbeszerzések </v>
      </c>
      <c r="B14" s="366">
        <f t="shared" si="0"/>
        <v>15510000</v>
      </c>
      <c r="C14" s="1349" t="s">
        <v>712</v>
      </c>
      <c r="D14" s="305"/>
      <c r="E14" s="305">
        <f>'15.felh.felúj.'!C13</f>
        <v>12010000</v>
      </c>
      <c r="F14" s="305">
        <f>'15.felh.felúj.'!D13</f>
        <v>15510000</v>
      </c>
      <c r="G14" s="305">
        <f>'15.felh.felúj.'!E13</f>
        <v>15510000</v>
      </c>
      <c r="H14" s="417"/>
    </row>
    <row r="15" spans="1:14" ht="41.25" customHeight="1" x14ac:dyDescent="0.2">
      <c r="A15" s="829" t="str">
        <f>'15.felh.felúj.'!B14</f>
        <v>Szent István út melletti közterületen kameraoszlopok és térfigyelő kamerák elhelyezése, régebbi kamerahely optikai kábellel történő hálózatba kötése</v>
      </c>
      <c r="B15" s="366">
        <f t="shared" si="0"/>
        <v>32549118</v>
      </c>
      <c r="C15" s="1349" t="s">
        <v>712</v>
      </c>
      <c r="D15" s="305"/>
      <c r="E15" s="305">
        <f>'15.felh.felúj.'!C14</f>
        <v>28943500</v>
      </c>
      <c r="F15" s="305">
        <f>'15.felh.felúj.'!D14</f>
        <v>28943500</v>
      </c>
      <c r="G15" s="305">
        <f>'15.felh.felúj.'!E14</f>
        <v>32549118</v>
      </c>
      <c r="H15" s="417"/>
      <c r="J15" s="18" t="s">
        <v>385</v>
      </c>
    </row>
    <row r="16" spans="1:14" ht="27" customHeight="1" x14ac:dyDescent="0.2">
      <c r="A16" s="829" t="str">
        <f>'15.felh.felúj.'!B15</f>
        <v>Széchenyi út mindkét oldalán parkoló építése</v>
      </c>
      <c r="B16" s="366">
        <f t="shared" si="0"/>
        <v>13693419</v>
      </c>
      <c r="C16" s="1349" t="s">
        <v>704</v>
      </c>
      <c r="D16" s="305"/>
      <c r="E16" s="305">
        <f>'15.felh.felúj.'!C15</f>
        <v>14000000</v>
      </c>
      <c r="F16" s="305">
        <f>'15.felh.felúj.'!D15</f>
        <v>13488305</v>
      </c>
      <c r="G16" s="305">
        <f>'15.felh.felúj.'!E15</f>
        <v>13693419</v>
      </c>
      <c r="H16" s="417"/>
    </row>
    <row r="17" spans="1:8" ht="27" customHeight="1" x14ac:dyDescent="0.2">
      <c r="A17" s="829" t="str">
        <f>'15.felh.felúj.'!B16</f>
        <v>Rendezvényszekrények 3x200 Amperrel történő betáplálásának végleges kialakítása</v>
      </c>
      <c r="B17" s="366">
        <f t="shared" si="0"/>
        <v>6000000</v>
      </c>
      <c r="C17" s="1349" t="s">
        <v>704</v>
      </c>
      <c r="D17" s="305"/>
      <c r="E17" s="305">
        <f>'15.felh.felúj.'!C16</f>
        <v>0</v>
      </c>
      <c r="F17" s="305">
        <f>'15.felh.felúj.'!D16</f>
        <v>6000000</v>
      </c>
      <c r="G17" s="305">
        <f>'15.felh.felúj.'!E16</f>
        <v>6000000</v>
      </c>
      <c r="H17" s="417"/>
    </row>
    <row r="18" spans="1:8" ht="27" customHeight="1" x14ac:dyDescent="0.2">
      <c r="A18" s="829" t="str">
        <f>'15.felh.felúj.'!B17</f>
        <v>Árpád út 14. mögötti parkolóba csapadékvíz elnyelő akna beépítése</v>
      </c>
      <c r="B18" s="366">
        <f t="shared" si="0"/>
        <v>1257917</v>
      </c>
      <c r="C18" s="1349" t="s">
        <v>704</v>
      </c>
      <c r="D18" s="305"/>
      <c r="E18" s="305">
        <f>'15.felh.felúj.'!C17</f>
        <v>0</v>
      </c>
      <c r="F18" s="305">
        <f>'15.felh.felúj.'!D17</f>
        <v>2000000</v>
      </c>
      <c r="G18" s="305">
        <f>'15.felh.felúj.'!E17</f>
        <v>1257917</v>
      </c>
      <c r="H18" s="417"/>
    </row>
    <row r="19" spans="1:8" ht="27" customHeight="1" x14ac:dyDescent="0.2">
      <c r="A19" s="829" t="str">
        <f>'15.felh.felúj.'!B18</f>
        <v>Deák téri uszodába szivattyú beszerzése</v>
      </c>
      <c r="B19" s="366">
        <f t="shared" si="0"/>
        <v>539378</v>
      </c>
      <c r="C19" s="1349" t="s">
        <v>704</v>
      </c>
      <c r="D19" s="305"/>
      <c r="E19" s="305">
        <f>'15.felh.felúj.'!C18</f>
        <v>0</v>
      </c>
      <c r="F19" s="305">
        <f>'15.felh.felúj.'!D18</f>
        <v>539378</v>
      </c>
      <c r="G19" s="305">
        <f>'15.felh.felúj.'!E18</f>
        <v>539378</v>
      </c>
      <c r="H19" s="417"/>
    </row>
    <row r="20" spans="1:8" ht="27" customHeight="1" x14ac:dyDescent="0.2">
      <c r="A20" s="829" t="str">
        <f>'15.felh.felúj.'!B19</f>
        <v>Kültéri fitnesz eszközökhöz kihelyezendő információs táblák beszerzése</v>
      </c>
      <c r="B20" s="366">
        <f t="shared" si="0"/>
        <v>2575052</v>
      </c>
      <c r="C20" s="1349" t="s">
        <v>704</v>
      </c>
      <c r="D20" s="305"/>
      <c r="E20" s="305">
        <f>'15.felh.felúj.'!C19</f>
        <v>0</v>
      </c>
      <c r="F20" s="305">
        <f>'15.felh.felúj.'!D19</f>
        <v>2575052</v>
      </c>
      <c r="G20" s="305">
        <f>'15.felh.felúj.'!E19</f>
        <v>2575052</v>
      </c>
      <c r="H20" s="417"/>
    </row>
    <row r="21" spans="1:8" ht="27" customHeight="1" x14ac:dyDescent="0.2">
      <c r="A21" s="829" t="str">
        <f>'15.felh.felúj.'!B20</f>
        <v>Közterület-felügyelők részére hordozható testkamera és kiegészítők</v>
      </c>
      <c r="B21" s="366">
        <f t="shared" si="0"/>
        <v>2150000</v>
      </c>
      <c r="C21" s="1349" t="s">
        <v>704</v>
      </c>
      <c r="D21" s="305"/>
      <c r="E21" s="305">
        <f>'15.felh.felúj.'!C20</f>
        <v>0</v>
      </c>
      <c r="F21" s="305">
        <f>'15.felh.felúj.'!D20</f>
        <v>2150000</v>
      </c>
      <c r="G21" s="305">
        <f>'15.felh.felúj.'!E20</f>
        <v>2150000</v>
      </c>
      <c r="H21" s="417"/>
    </row>
    <row r="22" spans="1:8" ht="27" customHeight="1" x14ac:dyDescent="0.2">
      <c r="A22" s="829" t="str">
        <f>'15.felh.felúj.'!B21</f>
        <v>Lévai-Vörösmarty összekötő út építése</v>
      </c>
      <c r="B22" s="366">
        <f t="shared" si="0"/>
        <v>56894300</v>
      </c>
      <c r="C22" s="1349" t="s">
        <v>704</v>
      </c>
      <c r="D22" s="305"/>
      <c r="E22" s="305">
        <f>'15.felh.felúj.'!C21</f>
        <v>0</v>
      </c>
      <c r="F22" s="305">
        <f>'15.felh.felúj.'!D21</f>
        <v>56894300</v>
      </c>
      <c r="G22" s="305">
        <f>'15.felh.felúj.'!E21</f>
        <v>56894300</v>
      </c>
      <c r="H22" s="417"/>
    </row>
    <row r="23" spans="1:8" ht="27" customHeight="1" x14ac:dyDescent="0.2">
      <c r="A23" s="829" t="str">
        <f>'15.felh.felúj.'!B22</f>
        <v>Tiszaújvárosi Református Temetőben kandelláberek cseréje</v>
      </c>
      <c r="B23" s="366">
        <f t="shared" si="0"/>
        <v>3000000</v>
      </c>
      <c r="C23" s="1349" t="s">
        <v>704</v>
      </c>
      <c r="D23" s="305"/>
      <c r="E23" s="305">
        <f>'15.felh.felúj.'!C22</f>
        <v>0</v>
      </c>
      <c r="F23" s="305">
        <f>'15.felh.felúj.'!D22</f>
        <v>3000000</v>
      </c>
      <c r="G23" s="305">
        <f>'15.felh.felúj.'!E22</f>
        <v>3000000</v>
      </c>
      <c r="H23" s="417"/>
    </row>
    <row r="24" spans="1:8" ht="14.25" customHeight="1" x14ac:dyDescent="0.2">
      <c r="A24" s="829"/>
      <c r="B24" s="366"/>
      <c r="C24" s="1349"/>
      <c r="D24" s="305"/>
      <c r="E24" s="305"/>
      <c r="F24" s="305"/>
      <c r="G24" s="305"/>
      <c r="H24" s="308"/>
    </row>
    <row r="25" spans="1:8" ht="33" customHeight="1" x14ac:dyDescent="0.2">
      <c r="A25" s="1338" t="s">
        <v>410</v>
      </c>
      <c r="B25" s="366"/>
      <c r="C25" s="1349"/>
      <c r="D25" s="305"/>
      <c r="E25" s="305"/>
      <c r="F25" s="366"/>
      <c r="G25" s="366"/>
      <c r="H25" s="308"/>
    </row>
    <row r="26" spans="1:8" ht="27" customHeight="1" x14ac:dyDescent="0.2">
      <c r="A26" s="829" t="str">
        <f>'15.felh.felúj.'!B41</f>
        <v>Tárgyi eszközök beszerzése</v>
      </c>
      <c r="B26" s="366">
        <f t="shared" ref="B26:B29" si="1">D26+G26+H26</f>
        <v>6201164</v>
      </c>
      <c r="C26" s="1349" t="s">
        <v>704</v>
      </c>
      <c r="D26" s="305"/>
      <c r="E26" s="305">
        <f>'15.felh.felúj.'!C41</f>
        <v>2701164</v>
      </c>
      <c r="F26" s="305">
        <f>'15.felh.felúj.'!D41</f>
        <v>6201164</v>
      </c>
      <c r="G26" s="305">
        <f>'15.felh.felúj.'!E41</f>
        <v>6201164</v>
      </c>
      <c r="H26" s="308"/>
    </row>
    <row r="27" spans="1:8" ht="27" customHeight="1" x14ac:dyDescent="0.2">
      <c r="A27" s="829" t="str">
        <f>'15.felh.felúj.'!B42</f>
        <v>Számítástechnikai tárgyi eszköz beszerzése</v>
      </c>
      <c r="B27" s="366">
        <f t="shared" si="1"/>
        <v>500000</v>
      </c>
      <c r="C27" s="1349" t="s">
        <v>704</v>
      </c>
      <c r="D27" s="305"/>
      <c r="E27" s="305">
        <f>'15.felh.felúj.'!C42</f>
        <v>500000</v>
      </c>
      <c r="F27" s="305">
        <f>'15.felh.felúj.'!D42</f>
        <v>500000</v>
      </c>
      <c r="G27" s="305">
        <f>'15.felh.felúj.'!E42</f>
        <v>500000</v>
      </c>
      <c r="H27" s="308"/>
    </row>
    <row r="28" spans="1:8" ht="27" customHeight="1" x14ac:dyDescent="0.2">
      <c r="A28" s="829" t="str">
        <f>'15.felh.felúj.'!B43</f>
        <v>Informatikai hardver, szoftver beszerzések</v>
      </c>
      <c r="B28" s="366">
        <f t="shared" si="1"/>
        <v>2000000</v>
      </c>
      <c r="C28" s="1349" t="s">
        <v>704</v>
      </c>
      <c r="D28" s="305"/>
      <c r="E28" s="305">
        <f>'15.felh.felúj.'!C43</f>
        <v>2500000</v>
      </c>
      <c r="F28" s="305">
        <f>'15.felh.felúj.'!D43</f>
        <v>2000000</v>
      </c>
      <c r="G28" s="305">
        <f>'15.felh.felúj.'!E43</f>
        <v>2000000</v>
      </c>
      <c r="H28" s="308"/>
    </row>
    <row r="29" spans="1:8" ht="27" customHeight="1" x14ac:dyDescent="0.2">
      <c r="A29" s="829" t="str">
        <f>'15.felh.felúj.'!B44</f>
        <v>Közterület-felügyelet részére eszközök beszerzése</v>
      </c>
      <c r="B29" s="366">
        <f t="shared" si="1"/>
        <v>350000</v>
      </c>
      <c r="C29" s="1349" t="s">
        <v>704</v>
      </c>
      <c r="D29" s="305"/>
      <c r="E29" s="305">
        <f>'15.felh.felúj.'!C44</f>
        <v>350000</v>
      </c>
      <c r="F29" s="305">
        <f>'15.felh.felúj.'!D44</f>
        <v>350000</v>
      </c>
      <c r="G29" s="305">
        <f>'15.felh.felúj.'!E44</f>
        <v>350000</v>
      </c>
      <c r="H29" s="308"/>
    </row>
    <row r="30" spans="1:8" ht="14.25" customHeight="1" x14ac:dyDescent="0.2">
      <c r="A30" s="829"/>
      <c r="B30" s="366"/>
      <c r="C30" s="1349"/>
      <c r="D30" s="305"/>
      <c r="E30" s="305"/>
      <c r="F30" s="388"/>
      <c r="G30" s="388"/>
      <c r="H30" s="308"/>
    </row>
    <row r="31" spans="1:8" ht="33" customHeight="1" x14ac:dyDescent="0.2">
      <c r="A31" s="1338" t="s">
        <v>411</v>
      </c>
      <c r="B31" s="366"/>
      <c r="C31" s="1349"/>
      <c r="D31" s="305"/>
      <c r="E31" s="305"/>
      <c r="F31" s="366"/>
      <c r="G31" s="366"/>
      <c r="H31" s="308"/>
    </row>
    <row r="32" spans="1:8" ht="24.75" hidden="1" customHeight="1" x14ac:dyDescent="0.2">
      <c r="A32" s="830" t="str">
        <f>'15.felh.felúj.'!B53</f>
        <v>Immateriális javak beszerzése, létesítése</v>
      </c>
      <c r="B32" s="366">
        <f t="shared" ref="B32:B33" si="2">D32+F32+H32</f>
        <v>0</v>
      </c>
      <c r="C32" s="1349"/>
      <c r="D32" s="307"/>
      <c r="E32" s="307"/>
      <c r="F32" s="366">
        <f>'15.felh.felúj.'!C53</f>
        <v>0</v>
      </c>
      <c r="G32" s="366"/>
      <c r="H32" s="1341"/>
    </row>
    <row r="33" spans="1:8" ht="33" hidden="1" customHeight="1" x14ac:dyDescent="0.2">
      <c r="A33" s="830" t="str">
        <f>'15.felh.felúj.'!B54</f>
        <v>Kisértékű ügyviteli, informatikai eszközök beszerzése, létesítése</v>
      </c>
      <c r="B33" s="366">
        <f t="shared" si="2"/>
        <v>0</v>
      </c>
      <c r="C33" s="1349"/>
      <c r="D33" s="307"/>
      <c r="E33" s="307"/>
      <c r="F33" s="366">
        <f>'15.felh.felúj.'!C54</f>
        <v>0</v>
      </c>
      <c r="G33" s="366"/>
      <c r="H33" s="1341"/>
    </row>
    <row r="34" spans="1:8" ht="30.75" customHeight="1" x14ac:dyDescent="0.2">
      <c r="A34" s="830" t="str">
        <f>'15.felh.felúj.'!B55</f>
        <v>Váratlan meghibásodások miatt szükséges eszközök beszerzése</v>
      </c>
      <c r="B34" s="366">
        <f t="shared" ref="B34:B38" si="3">D34+G34+H34</f>
        <v>3343320</v>
      </c>
      <c r="C34" s="1349" t="s">
        <v>704</v>
      </c>
      <c r="D34" s="307"/>
      <c r="E34" s="307">
        <f>'15.felh.felúj.'!C55</f>
        <v>5000000</v>
      </c>
      <c r="F34" s="307">
        <f>'15.felh.felúj.'!D55</f>
        <v>2802116</v>
      </c>
      <c r="G34" s="307">
        <f>'15.felh.felúj.'!E55</f>
        <v>3343320</v>
      </c>
      <c r="H34" s="1341"/>
    </row>
    <row r="35" spans="1:8" ht="30.75" customHeight="1" x14ac:dyDescent="0.2">
      <c r="A35" s="830" t="str">
        <f>'15.felh.felúj.'!B56</f>
        <v>Tárgyi eszközök beszerzése</v>
      </c>
      <c r="B35" s="366">
        <f t="shared" si="3"/>
        <v>3378200</v>
      </c>
      <c r="C35" s="1349" t="s">
        <v>704</v>
      </c>
      <c r="D35" s="307"/>
      <c r="E35" s="307">
        <f>'15.felh.felúj.'!C56</f>
        <v>0</v>
      </c>
      <c r="F35" s="307">
        <f>'15.felh.felúj.'!D56</f>
        <v>3378200</v>
      </c>
      <c r="G35" s="307">
        <f>'15.felh.felúj.'!E56</f>
        <v>3378200</v>
      </c>
      <c r="H35" s="1341"/>
    </row>
    <row r="36" spans="1:8" ht="30.75" hidden="1" customHeight="1" x14ac:dyDescent="0.2">
      <c r="A36" s="830">
        <f>'15.felh.felúj.'!B57</f>
        <v>0</v>
      </c>
      <c r="B36" s="366">
        <f t="shared" si="3"/>
        <v>0</v>
      </c>
      <c r="C36" s="1349" t="s">
        <v>704</v>
      </c>
      <c r="D36" s="307"/>
      <c r="E36" s="307">
        <f>'15.felh.felúj.'!C57</f>
        <v>0</v>
      </c>
      <c r="F36" s="307">
        <f>'15.felh.felúj.'!D57</f>
        <v>0</v>
      </c>
      <c r="G36" s="307">
        <f>'15.felh.felúj.'!E57</f>
        <v>0</v>
      </c>
      <c r="H36" s="1341"/>
    </row>
    <row r="37" spans="1:8" ht="30.75" hidden="1" customHeight="1" x14ac:dyDescent="0.2">
      <c r="A37" s="830">
        <f>'15.felh.felúj.'!B58</f>
        <v>0</v>
      </c>
      <c r="B37" s="366">
        <f t="shared" si="3"/>
        <v>0</v>
      </c>
      <c r="C37" s="1349" t="s">
        <v>704</v>
      </c>
      <c r="D37" s="307"/>
      <c r="E37" s="307">
        <f>'15.felh.felúj.'!C58</f>
        <v>0</v>
      </c>
      <c r="F37" s="307">
        <f>'15.felh.felúj.'!D58</f>
        <v>0</v>
      </c>
      <c r="G37" s="307">
        <f>'15.felh.felúj.'!E58</f>
        <v>0</v>
      </c>
      <c r="H37" s="1341"/>
    </row>
    <row r="38" spans="1:8" ht="30.75" customHeight="1" x14ac:dyDescent="0.2">
      <c r="A38" s="830" t="str">
        <f>'15.felh.felúj.'!B59</f>
        <v>Hamvas Béla Könyvtár épületében energiatakarékos kazáncsere</v>
      </c>
      <c r="B38" s="366">
        <f t="shared" si="3"/>
        <v>11619200</v>
      </c>
      <c r="C38" s="1349" t="s">
        <v>704</v>
      </c>
      <c r="D38" s="307"/>
      <c r="E38" s="307">
        <f>'15.felh.felúj.'!C59</f>
        <v>0</v>
      </c>
      <c r="F38" s="307">
        <f>'15.felh.felúj.'!D59</f>
        <v>7000000</v>
      </c>
      <c r="G38" s="307">
        <f>'15.felh.felúj.'!E59</f>
        <v>11619200</v>
      </c>
      <c r="H38" s="1341"/>
    </row>
    <row r="39" spans="1:8" ht="21.75" customHeight="1" x14ac:dyDescent="0.2">
      <c r="A39" s="830"/>
      <c r="B39" s="366"/>
      <c r="C39" s="1349"/>
      <c r="D39" s="307"/>
      <c r="E39" s="307"/>
      <c r="F39" s="366"/>
      <c r="G39" s="366"/>
      <c r="H39" s="1341"/>
    </row>
    <row r="40" spans="1:8" ht="30.2" customHeight="1" x14ac:dyDescent="0.2">
      <c r="A40" s="1338" t="s">
        <v>412</v>
      </c>
      <c r="B40" s="366"/>
      <c r="C40" s="1350"/>
      <c r="D40" s="307"/>
      <c r="E40" s="307"/>
      <c r="F40" s="366"/>
      <c r="G40" s="366"/>
      <c r="H40" s="308"/>
    </row>
    <row r="41" spans="1:8" ht="27" customHeight="1" x14ac:dyDescent="0.2">
      <c r="A41" s="830" t="str">
        <f>+'15.felh.felúj.'!B70</f>
        <v>Tárgyi eszközök beszerzése</v>
      </c>
      <c r="B41" s="366">
        <f t="shared" ref="B41:B42" si="4">D41+G41+H41</f>
        <v>1484760</v>
      </c>
      <c r="C41" s="1349" t="s">
        <v>704</v>
      </c>
      <c r="D41" s="307"/>
      <c r="E41" s="307">
        <f>'15.felh.felúj.'!C70</f>
        <v>1500000</v>
      </c>
      <c r="F41" s="307">
        <f>'15.felh.felúj.'!D70</f>
        <v>1484760</v>
      </c>
      <c r="G41" s="307">
        <f>'15.felh.felúj.'!E70</f>
        <v>1484760</v>
      </c>
      <c r="H41" s="308"/>
    </row>
    <row r="42" spans="1:8" ht="27" customHeight="1" x14ac:dyDescent="0.2">
      <c r="A42" s="830" t="str">
        <f>+'15.felh.felúj.'!B71</f>
        <v>Informatikai eszközök beszerzése</v>
      </c>
      <c r="B42" s="366">
        <f t="shared" si="4"/>
        <v>15240</v>
      </c>
      <c r="C42" s="1349" t="s">
        <v>704</v>
      </c>
      <c r="D42" s="307"/>
      <c r="E42" s="307">
        <f>'15.felh.felúj.'!C71</f>
        <v>0</v>
      </c>
      <c r="F42" s="307">
        <f>'15.felh.felúj.'!D71</f>
        <v>15240</v>
      </c>
      <c r="G42" s="307">
        <f>'15.felh.felúj.'!E71</f>
        <v>15240</v>
      </c>
      <c r="H42" s="308"/>
    </row>
    <row r="43" spans="1:8" x14ac:dyDescent="0.2">
      <c r="A43" s="830"/>
      <c r="B43" s="366"/>
      <c r="C43" s="1350"/>
      <c r="D43" s="307"/>
      <c r="E43" s="307"/>
      <c r="F43" s="366"/>
      <c r="G43" s="366"/>
      <c r="H43" s="308"/>
    </row>
    <row r="44" spans="1:8" ht="30.2" customHeight="1" x14ac:dyDescent="0.2">
      <c r="A44" s="1338" t="s">
        <v>413</v>
      </c>
      <c r="B44" s="366"/>
      <c r="C44" s="1349"/>
      <c r="D44" s="305"/>
      <c r="E44" s="305"/>
      <c r="F44" s="366"/>
      <c r="G44" s="366"/>
      <c r="H44" s="308"/>
    </row>
    <row r="45" spans="1:8" ht="30.2" customHeight="1" x14ac:dyDescent="0.2">
      <c r="A45" s="979" t="str">
        <f>+'15.felh.felúj.'!B78</f>
        <v>Immateriális javak beszerzése</v>
      </c>
      <c r="B45" s="366">
        <f t="shared" ref="B45:B47" si="5">D45+G45+H45</f>
        <v>31750</v>
      </c>
      <c r="C45" s="1349" t="s">
        <v>704</v>
      </c>
      <c r="D45" s="305"/>
      <c r="E45" s="305">
        <f>'15.felh.felúj.'!C78</f>
        <v>0</v>
      </c>
      <c r="F45" s="305">
        <f>'15.felh.felúj.'!D78</f>
        <v>31750</v>
      </c>
      <c r="G45" s="305">
        <f>'15.felh.felúj.'!E78</f>
        <v>31750</v>
      </c>
      <c r="H45" s="308"/>
    </row>
    <row r="46" spans="1:8" ht="30.2" hidden="1" customHeight="1" x14ac:dyDescent="0.2">
      <c r="A46" s="979" t="str">
        <f>+'15.felh.felúj.'!B79</f>
        <v>Informatikai eszközök beszerzése</v>
      </c>
      <c r="B46" s="366">
        <f t="shared" si="5"/>
        <v>0</v>
      </c>
      <c r="C46" s="1349" t="s">
        <v>704</v>
      </c>
      <c r="D46" s="305"/>
      <c r="E46" s="305">
        <f>'15.felh.felúj.'!C79</f>
        <v>0</v>
      </c>
      <c r="F46" s="305">
        <f>'15.felh.felúj.'!D79</f>
        <v>0</v>
      </c>
      <c r="G46" s="305">
        <f>'15.felh.felúj.'!E79</f>
        <v>0</v>
      </c>
      <c r="H46" s="308"/>
    </row>
    <row r="47" spans="1:8" ht="24" customHeight="1" x14ac:dyDescent="0.2">
      <c r="A47" s="979" t="str">
        <f>+'15.felh.felúj.'!B80</f>
        <v>Tárgyi eszközök beszerzése</v>
      </c>
      <c r="B47" s="366">
        <f t="shared" si="5"/>
        <v>773814</v>
      </c>
      <c r="C47" s="1349" t="s">
        <v>704</v>
      </c>
      <c r="D47" s="305"/>
      <c r="E47" s="305">
        <f>'15.felh.felúj.'!C80</f>
        <v>300000</v>
      </c>
      <c r="F47" s="305">
        <f>'15.felh.felúj.'!D80</f>
        <v>779631</v>
      </c>
      <c r="G47" s="305">
        <f>'15.felh.felúj.'!E80</f>
        <v>773814</v>
      </c>
      <c r="H47" s="308"/>
    </row>
    <row r="48" spans="1:8" x14ac:dyDescent="0.2">
      <c r="A48" s="979"/>
      <c r="B48" s="366"/>
      <c r="C48" s="1349"/>
      <c r="D48" s="305"/>
      <c r="E48" s="305"/>
      <c r="F48" s="366"/>
      <c r="G48" s="366"/>
      <c r="H48" s="308"/>
    </row>
    <row r="49" spans="1:10" ht="30.2" customHeight="1" x14ac:dyDescent="0.2">
      <c r="A49" s="1338" t="s">
        <v>495</v>
      </c>
      <c r="B49" s="366"/>
      <c r="C49" s="1349"/>
      <c r="D49" s="305"/>
      <c r="E49" s="305"/>
      <c r="F49" s="366"/>
      <c r="G49" s="366"/>
      <c r="H49" s="308"/>
    </row>
    <row r="50" spans="1:10" ht="27" customHeight="1" x14ac:dyDescent="0.2">
      <c r="A50" s="829" t="str">
        <f>+'15.felh.felúj.'!B88</f>
        <v>Informatikai eszközök beszerzése</v>
      </c>
      <c r="B50" s="366">
        <f t="shared" ref="B50:B52" si="6">D50+G50+H50</f>
        <v>735703</v>
      </c>
      <c r="C50" s="1349" t="s">
        <v>704</v>
      </c>
      <c r="D50" s="305"/>
      <c r="E50" s="305">
        <f>'15.felh.felúj.'!C88</f>
        <v>1176343</v>
      </c>
      <c r="F50" s="305">
        <f>'15.felh.felúj.'!D88</f>
        <v>735703</v>
      </c>
      <c r="G50" s="305">
        <f>'15.felh.felúj.'!E88</f>
        <v>735703</v>
      </c>
      <c r="H50" s="308"/>
    </row>
    <row r="51" spans="1:10" ht="27" customHeight="1" x14ac:dyDescent="0.2">
      <c r="A51" s="829" t="str">
        <f>+'15.felh.felúj.'!B89</f>
        <v>Tárgyi eszközök beszerzése</v>
      </c>
      <c r="B51" s="366">
        <f t="shared" si="6"/>
        <v>4464297</v>
      </c>
      <c r="C51" s="1349" t="s">
        <v>704</v>
      </c>
      <c r="D51" s="305"/>
      <c r="E51" s="305">
        <f>'15.felh.felúj.'!C89</f>
        <v>2223657</v>
      </c>
      <c r="F51" s="305">
        <f>'15.felh.felúj.'!D89</f>
        <v>2664297</v>
      </c>
      <c r="G51" s="305">
        <f>'15.felh.felúj.'!E89</f>
        <v>4464297</v>
      </c>
      <c r="H51" s="308"/>
    </row>
    <row r="52" spans="1:10" ht="25.5" customHeight="1" x14ac:dyDescent="0.2">
      <c r="A52" s="829" t="str">
        <f>+'15.felh.felúj.'!B90</f>
        <v>Techikai eszközök és hangszer beszerzése</v>
      </c>
      <c r="B52" s="366">
        <f t="shared" si="6"/>
        <v>1476000</v>
      </c>
      <c r="C52" s="1349" t="s">
        <v>704</v>
      </c>
      <c r="D52" s="305"/>
      <c r="E52" s="305">
        <f>'15.felh.felúj.'!C90</f>
        <v>0</v>
      </c>
      <c r="F52" s="305">
        <f>'15.felh.felúj.'!D90</f>
        <v>1476000</v>
      </c>
      <c r="G52" s="305">
        <f>'15.felh.felúj.'!E90</f>
        <v>1476000</v>
      </c>
      <c r="H52" s="308"/>
    </row>
    <row r="53" spans="1:10" ht="25.5" customHeight="1" x14ac:dyDescent="0.2">
      <c r="A53" s="829" t="str">
        <f>+'15.felh.felúj.'!B91</f>
        <v xml:space="preserve">Dokumentumok beszerzése </v>
      </c>
      <c r="B53" s="366">
        <f t="shared" ref="B53" si="7">D53+G53+H53</f>
        <v>1500000</v>
      </c>
      <c r="C53" s="1349" t="s">
        <v>704</v>
      </c>
      <c r="D53" s="305"/>
      <c r="E53" s="305">
        <f>'15.felh.felúj.'!C91</f>
        <v>0</v>
      </c>
      <c r="F53" s="305">
        <f>'15.felh.felúj.'!D91</f>
        <v>0</v>
      </c>
      <c r="G53" s="305">
        <f>'15.felh.felúj.'!E91</f>
        <v>1500000</v>
      </c>
      <c r="H53" s="308"/>
    </row>
    <row r="54" spans="1:10" ht="14.25" customHeight="1" x14ac:dyDescent="0.2">
      <c r="A54" s="829"/>
      <c r="B54" s="366"/>
      <c r="C54" s="1349"/>
      <c r="D54" s="305"/>
      <c r="E54" s="305"/>
      <c r="F54" s="311"/>
      <c r="G54" s="311"/>
      <c r="H54" s="308"/>
    </row>
    <row r="55" spans="1:10" ht="30.2" customHeight="1" x14ac:dyDescent="0.2">
      <c r="A55" s="1338" t="s">
        <v>414</v>
      </c>
      <c r="B55" s="366"/>
      <c r="C55" s="1349"/>
      <c r="D55" s="305"/>
      <c r="E55" s="305"/>
      <c r="F55" s="366"/>
      <c r="G55" s="366"/>
      <c r="H55" s="308"/>
      <c r="J55" s="18" t="s">
        <v>385</v>
      </c>
    </row>
    <row r="56" spans="1:10" ht="30.2" customHeight="1" x14ac:dyDescent="0.2">
      <c r="A56" s="1342" t="str">
        <f>'15.felh.felúj.'!B98</f>
        <v>Informatikai eszközök beszerzése</v>
      </c>
      <c r="B56" s="366">
        <f t="shared" ref="B56:B63" si="8">D56+G56+H56</f>
        <v>2303000</v>
      </c>
      <c r="C56" s="1349" t="s">
        <v>704</v>
      </c>
      <c r="D56" s="305"/>
      <c r="E56" s="305">
        <f>'15.felh.felúj.'!C98</f>
        <v>0</v>
      </c>
      <c r="F56" s="305">
        <f>'15.felh.felúj.'!D98</f>
        <v>0</v>
      </c>
      <c r="G56" s="305">
        <f>'15.felh.felúj.'!E98</f>
        <v>2303000</v>
      </c>
      <c r="H56" s="308"/>
    </row>
    <row r="57" spans="1:10" ht="30.2" customHeight="1" x14ac:dyDescent="0.2">
      <c r="A57" s="1342" t="str">
        <f>'15.felh.felúj.'!B99</f>
        <v>Egyéb tárgyi eszközök beszerzése</v>
      </c>
      <c r="B57" s="366">
        <f t="shared" si="8"/>
        <v>122174</v>
      </c>
      <c r="C57" s="1349" t="s">
        <v>712</v>
      </c>
      <c r="D57" s="305"/>
      <c r="E57" s="305">
        <f>'15.felh.felúj.'!C99</f>
        <v>0</v>
      </c>
      <c r="F57" s="305">
        <f>'15.felh.felúj.'!D99</f>
        <v>297434</v>
      </c>
      <c r="G57" s="305">
        <f>'15.felh.felúj.'!E99</f>
        <v>122174</v>
      </c>
      <c r="H57" s="308"/>
    </row>
    <row r="58" spans="1:10" ht="30.2" hidden="1" customHeight="1" x14ac:dyDescent="0.2">
      <c r="A58" s="1342" t="str">
        <f>'15.felh.felúj.'!B100</f>
        <v>Tárgyi eszköz beszerzés</v>
      </c>
      <c r="B58" s="366">
        <f t="shared" si="8"/>
        <v>0</v>
      </c>
      <c r="C58" s="1349" t="s">
        <v>762</v>
      </c>
      <c r="D58" s="305"/>
      <c r="E58" s="305">
        <f>'15.felh.felúj.'!C100</f>
        <v>0</v>
      </c>
      <c r="F58" s="305">
        <f>'15.felh.felúj.'!D100</f>
        <v>0</v>
      </c>
      <c r="G58" s="305">
        <f>'15.felh.felúj.'!E100</f>
        <v>0</v>
      </c>
      <c r="H58" s="308"/>
    </row>
    <row r="59" spans="1:10" ht="41.25" customHeight="1" x14ac:dyDescent="0.2">
      <c r="A59" s="1342" t="str">
        <f>'15.felh.felúj.'!B101</f>
        <v>EFOP-2.2.19-17-2017-00039 kódszámú pályázat keretében eszközök beszerzése</v>
      </c>
      <c r="B59" s="366">
        <f t="shared" si="8"/>
        <v>155136713</v>
      </c>
      <c r="C59" s="1349" t="s">
        <v>712</v>
      </c>
      <c r="D59" s="305"/>
      <c r="E59" s="305">
        <f>'15.felh.felúj.'!C101</f>
        <v>155467150</v>
      </c>
      <c r="F59" s="305">
        <f>'15.felh.felúj.'!D101</f>
        <v>155467150</v>
      </c>
      <c r="G59" s="305">
        <f>'15.felh.felúj.'!E101</f>
        <v>155136713</v>
      </c>
      <c r="H59" s="308"/>
    </row>
    <row r="60" spans="1:10" ht="24.75" customHeight="1" x14ac:dyDescent="0.2">
      <c r="A60" s="1342" t="str">
        <f>'15.felh.felúj.'!B102</f>
        <v>Arthroszkópos toronyhoz eszközök beszerzése</v>
      </c>
      <c r="B60" s="366">
        <f>D60+G60+H60</f>
        <v>1465646</v>
      </c>
      <c r="C60" s="1349" t="s">
        <v>704</v>
      </c>
      <c r="D60" s="305"/>
      <c r="E60" s="305">
        <f>'15.felh.felúj.'!C102</f>
        <v>0</v>
      </c>
      <c r="F60" s="305">
        <f>'15.felh.felúj.'!D102</f>
        <v>1465646</v>
      </c>
      <c r="G60" s="305">
        <f>'15.felh.felúj.'!E102</f>
        <v>1465646</v>
      </c>
      <c r="H60" s="308"/>
    </row>
    <row r="61" spans="1:10" ht="30.2" customHeight="1" x14ac:dyDescent="0.2">
      <c r="A61" s="1342" t="str">
        <f>'15.felh.felúj.'!B103</f>
        <v>Váratlan meghibásodások miatt szükséges eszközök beszerzése</v>
      </c>
      <c r="B61" s="366">
        <f t="shared" si="8"/>
        <v>1550112</v>
      </c>
      <c r="C61" s="1349" t="s">
        <v>704</v>
      </c>
      <c r="D61" s="305"/>
      <c r="E61" s="305">
        <f>'15.felh.felúj.'!C103</f>
        <v>2500000</v>
      </c>
      <c r="F61" s="305">
        <f>'15.felh.felúj.'!D103</f>
        <v>2677852</v>
      </c>
      <c r="G61" s="305">
        <f>'15.felh.felúj.'!E103</f>
        <v>1550112</v>
      </c>
      <c r="H61" s="308"/>
    </row>
    <row r="62" spans="1:10" ht="30.2" customHeight="1" x14ac:dyDescent="0.2">
      <c r="A62" s="1342" t="str">
        <f>'15.felh.felúj.'!B104</f>
        <v>Nőgyógyászati ultrahang készülék beszerzése</v>
      </c>
      <c r="B62" s="366">
        <f t="shared" si="8"/>
        <v>15218437</v>
      </c>
      <c r="C62" s="1349" t="s">
        <v>704</v>
      </c>
      <c r="D62" s="305"/>
      <c r="E62" s="305">
        <f>'15.felh.felúj.'!C104</f>
        <v>0</v>
      </c>
      <c r="F62" s="305">
        <f>'15.felh.felúj.'!D104</f>
        <v>14888000</v>
      </c>
      <c r="G62" s="305">
        <f>'15.felh.felúj.'!E104</f>
        <v>15218437</v>
      </c>
      <c r="H62" s="308"/>
    </row>
    <row r="63" spans="1:10" ht="30.2" customHeight="1" x14ac:dyDescent="0.2">
      <c r="A63" s="1342" t="str">
        <f>'15.felh.felúj.'!B105</f>
        <v>Caracalla Thalasso kád</v>
      </c>
      <c r="B63" s="366">
        <f t="shared" si="8"/>
        <v>8000000</v>
      </c>
      <c r="C63" s="1349" t="s">
        <v>704</v>
      </c>
      <c r="D63" s="305"/>
      <c r="E63" s="305">
        <f>'15.felh.felúj.'!C105</f>
        <v>0</v>
      </c>
      <c r="F63" s="305">
        <f>'15.felh.felúj.'!D105</f>
        <v>0</v>
      </c>
      <c r="G63" s="305">
        <f>'15.felh.felúj.'!E105</f>
        <v>8000000</v>
      </c>
      <c r="H63" s="308"/>
    </row>
    <row r="64" spans="1:10" ht="24" customHeight="1" x14ac:dyDescent="0.2">
      <c r="A64" s="1342"/>
      <c r="B64" s="366"/>
      <c r="C64" s="1349"/>
      <c r="D64" s="305"/>
      <c r="E64" s="305"/>
      <c r="F64" s="366"/>
      <c r="G64" s="366"/>
      <c r="H64" s="308"/>
    </row>
    <row r="65" spans="1:8" ht="13.5" thickBot="1" x14ac:dyDescent="0.25">
      <c r="A65" s="1343"/>
      <c r="B65" s="301"/>
      <c r="C65" s="1351"/>
      <c r="D65" s="301"/>
      <c r="E65" s="301"/>
      <c r="F65" s="301"/>
      <c r="G65" s="301"/>
      <c r="H65" s="1344"/>
    </row>
    <row r="66" spans="1:8" s="203" customFormat="1" ht="24" customHeight="1" thickBot="1" x14ac:dyDescent="0.25">
      <c r="A66" s="302" t="s">
        <v>415</v>
      </c>
      <c r="B66" s="303">
        <f>SUM(B9:B65)</f>
        <v>453935781</v>
      </c>
      <c r="C66" s="1352"/>
      <c r="D66" s="303">
        <f>SUM(D9:D65)</f>
        <v>6026785</v>
      </c>
      <c r="E66" s="303">
        <f>SUM(E9:E65)</f>
        <v>311524214</v>
      </c>
      <c r="F66" s="303">
        <f>SUM(F9:F65)</f>
        <v>430667878</v>
      </c>
      <c r="G66" s="303">
        <f>SUM(G9:G65)</f>
        <v>447908996</v>
      </c>
      <c r="H66" s="1408">
        <f>SUM(H9:H65)</f>
        <v>0</v>
      </c>
    </row>
    <row r="67" spans="1:8" x14ac:dyDescent="0.2">
      <c r="H67" s="537" t="s">
        <v>734</v>
      </c>
    </row>
    <row r="70" spans="1:8" x14ac:dyDescent="0.2">
      <c r="E70" s="18">
        <f>'15.felh.felúj.'!C7+'15.felh.felúj.'!C112</f>
        <v>311524214</v>
      </c>
      <c r="F70" s="18">
        <f>'15.felh.felúj.'!D7+'15.felh.felúj.'!D112</f>
        <v>430667878</v>
      </c>
      <c r="G70" s="18">
        <f>'15.felh.felúj.'!E7+'15.felh.felúj.'!E112</f>
        <v>447908996</v>
      </c>
    </row>
    <row r="72" spans="1:8" x14ac:dyDescent="0.2">
      <c r="E72" s="18" t="b">
        <f>E66=E70</f>
        <v>1</v>
      </c>
      <c r="F72" s="18" t="b">
        <f t="shared" ref="F72:G72" si="9">F66=F70</f>
        <v>1</v>
      </c>
      <c r="G72" s="18" t="b">
        <f t="shared" si="9"/>
        <v>1</v>
      </c>
    </row>
    <row r="74" spans="1:8" x14ac:dyDescent="0.2">
      <c r="G74" s="18">
        <f>+G70-G66</f>
        <v>0</v>
      </c>
    </row>
  </sheetData>
  <mergeCells count="3">
    <mergeCell ref="A4:H4"/>
    <mergeCell ref="A2:H2"/>
    <mergeCell ref="A1:H1"/>
  </mergeCells>
  <printOptions horizontalCentered="1"/>
  <pageMargins left="0" right="0" top="0.59055118110236227" bottom="0.39370078740157483" header="0.70866141732283472" footer="0.19685039370078741"/>
  <pageSetup paperSize="9" scale="70" orientation="landscape" r:id="rId1"/>
  <headerFooter alignWithMargins="0">
    <oddHeader xml:space="preserve">&amp;R&amp;"Times New Roman,Félkövér dőlt"&amp;11
</oddHeader>
    <oddFooter>&amp;C&amp;P</oddFooter>
  </headerFooter>
  <rowBreaks count="2" manualBreakCount="2">
    <brk id="23" max="5" man="1"/>
    <brk id="43" max="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view="pageBreakPreview" zoomScaleNormal="100" zoomScaleSheetLayoutView="100" workbookViewId="0">
      <pane xSplit="1" ySplit="7" topLeftCell="B11" activePane="bottomRight" state="frozen"/>
      <selection activeCell="E96" sqref="E96"/>
      <selection pane="topRight" activeCell="E96" sqref="E96"/>
      <selection pane="bottomLeft" activeCell="E96" sqref="E96"/>
      <selection pane="bottomRight" activeCell="N32" sqref="N32"/>
    </sheetView>
  </sheetViews>
  <sheetFormatPr defaultRowHeight="12.75" x14ac:dyDescent="0.2"/>
  <cols>
    <col min="1" max="1" width="60.6640625" style="19" customWidth="1"/>
    <col min="2" max="2" width="15.6640625" style="18" customWidth="1"/>
    <col min="3" max="3" width="16.33203125" style="1345" customWidth="1"/>
    <col min="4" max="6" width="15.83203125" style="18" customWidth="1"/>
    <col min="7" max="7" width="20.33203125" style="18" customWidth="1"/>
    <col min="8" max="8" width="16.83203125" style="18" customWidth="1"/>
    <col min="9" max="9" width="15.83203125" style="18" customWidth="1"/>
    <col min="10" max="10" width="12.83203125" style="18" customWidth="1"/>
    <col min="11" max="11" width="13.83203125" style="18" customWidth="1"/>
    <col min="12" max="256" width="9.33203125" style="18"/>
    <col min="257" max="257" width="60.6640625" style="18" customWidth="1"/>
    <col min="258" max="258" width="15.6640625" style="18" customWidth="1"/>
    <col min="259" max="259" width="16.33203125" style="18" customWidth="1"/>
    <col min="260" max="260" width="15.83203125" style="18" customWidth="1"/>
    <col min="261" max="261" width="16.6640625" style="18" customWidth="1"/>
    <col min="262" max="262" width="16.83203125" style="18" customWidth="1"/>
    <col min="263" max="264" width="12.83203125" style="18" customWidth="1"/>
    <col min="265" max="265" width="13.83203125" style="18" customWidth="1"/>
    <col min="266" max="512" width="9.33203125" style="18"/>
    <col min="513" max="513" width="60.6640625" style="18" customWidth="1"/>
    <col min="514" max="514" width="15.6640625" style="18" customWidth="1"/>
    <col min="515" max="515" width="16.33203125" style="18" customWidth="1"/>
    <col min="516" max="516" width="15.83203125" style="18" customWidth="1"/>
    <col min="517" max="517" width="16.6640625" style="18" customWidth="1"/>
    <col min="518" max="518" width="16.83203125" style="18" customWidth="1"/>
    <col min="519" max="520" width="12.83203125" style="18" customWidth="1"/>
    <col min="521" max="521" width="13.83203125" style="18" customWidth="1"/>
    <col min="522" max="768" width="9.33203125" style="18"/>
    <col min="769" max="769" width="60.6640625" style="18" customWidth="1"/>
    <col min="770" max="770" width="15.6640625" style="18" customWidth="1"/>
    <col min="771" max="771" width="16.33203125" style="18" customWidth="1"/>
    <col min="772" max="772" width="15.83203125" style="18" customWidth="1"/>
    <col min="773" max="773" width="16.6640625" style="18" customWidth="1"/>
    <col min="774" max="774" width="16.83203125" style="18" customWidth="1"/>
    <col min="775" max="776" width="12.83203125" style="18" customWidth="1"/>
    <col min="777" max="777" width="13.83203125" style="18" customWidth="1"/>
    <col min="778" max="1024" width="9.33203125" style="18"/>
    <col min="1025" max="1025" width="60.6640625" style="18" customWidth="1"/>
    <col min="1026" max="1026" width="15.6640625" style="18" customWidth="1"/>
    <col min="1027" max="1027" width="16.33203125" style="18" customWidth="1"/>
    <col min="1028" max="1028" width="15.83203125" style="18" customWidth="1"/>
    <col min="1029" max="1029" width="16.6640625" style="18" customWidth="1"/>
    <col min="1030" max="1030" width="16.83203125" style="18" customWidth="1"/>
    <col min="1031" max="1032" width="12.83203125" style="18" customWidth="1"/>
    <col min="1033" max="1033" width="13.83203125" style="18" customWidth="1"/>
    <col min="1034" max="1280" width="9.33203125" style="18"/>
    <col min="1281" max="1281" width="60.6640625" style="18" customWidth="1"/>
    <col min="1282" max="1282" width="15.6640625" style="18" customWidth="1"/>
    <col min="1283" max="1283" width="16.33203125" style="18" customWidth="1"/>
    <col min="1284" max="1284" width="15.83203125" style="18" customWidth="1"/>
    <col min="1285" max="1285" width="16.6640625" style="18" customWidth="1"/>
    <col min="1286" max="1286" width="16.83203125" style="18" customWidth="1"/>
    <col min="1287" max="1288" width="12.83203125" style="18" customWidth="1"/>
    <col min="1289" max="1289" width="13.83203125" style="18" customWidth="1"/>
    <col min="1290" max="1536" width="9.33203125" style="18"/>
    <col min="1537" max="1537" width="60.6640625" style="18" customWidth="1"/>
    <col min="1538" max="1538" width="15.6640625" style="18" customWidth="1"/>
    <col min="1539" max="1539" width="16.33203125" style="18" customWidth="1"/>
    <col min="1540" max="1540" width="15.83203125" style="18" customWidth="1"/>
    <col min="1541" max="1541" width="16.6640625" style="18" customWidth="1"/>
    <col min="1542" max="1542" width="16.83203125" style="18" customWidth="1"/>
    <col min="1543" max="1544" width="12.83203125" style="18" customWidth="1"/>
    <col min="1545" max="1545" width="13.83203125" style="18" customWidth="1"/>
    <col min="1546" max="1792" width="9.33203125" style="18"/>
    <col min="1793" max="1793" width="60.6640625" style="18" customWidth="1"/>
    <col min="1794" max="1794" width="15.6640625" style="18" customWidth="1"/>
    <col min="1795" max="1795" width="16.33203125" style="18" customWidth="1"/>
    <col min="1796" max="1796" width="15.83203125" style="18" customWidth="1"/>
    <col min="1797" max="1797" width="16.6640625" style="18" customWidth="1"/>
    <col min="1798" max="1798" width="16.83203125" style="18" customWidth="1"/>
    <col min="1799" max="1800" width="12.83203125" style="18" customWidth="1"/>
    <col min="1801" max="1801" width="13.83203125" style="18" customWidth="1"/>
    <col min="1802" max="2048" width="9.33203125" style="18"/>
    <col min="2049" max="2049" width="60.6640625" style="18" customWidth="1"/>
    <col min="2050" max="2050" width="15.6640625" style="18" customWidth="1"/>
    <col min="2051" max="2051" width="16.33203125" style="18" customWidth="1"/>
    <col min="2052" max="2052" width="15.83203125" style="18" customWidth="1"/>
    <col min="2053" max="2053" width="16.6640625" style="18" customWidth="1"/>
    <col min="2054" max="2054" width="16.83203125" style="18" customWidth="1"/>
    <col min="2055" max="2056" width="12.83203125" style="18" customWidth="1"/>
    <col min="2057" max="2057" width="13.83203125" style="18" customWidth="1"/>
    <col min="2058" max="2304" width="9.33203125" style="18"/>
    <col min="2305" max="2305" width="60.6640625" style="18" customWidth="1"/>
    <col min="2306" max="2306" width="15.6640625" style="18" customWidth="1"/>
    <col min="2307" max="2307" width="16.33203125" style="18" customWidth="1"/>
    <col min="2308" max="2308" width="15.83203125" style="18" customWidth="1"/>
    <col min="2309" max="2309" width="16.6640625" style="18" customWidth="1"/>
    <col min="2310" max="2310" width="16.83203125" style="18" customWidth="1"/>
    <col min="2311" max="2312" width="12.83203125" style="18" customWidth="1"/>
    <col min="2313" max="2313" width="13.83203125" style="18" customWidth="1"/>
    <col min="2314" max="2560" width="9.33203125" style="18"/>
    <col min="2561" max="2561" width="60.6640625" style="18" customWidth="1"/>
    <col min="2562" max="2562" width="15.6640625" style="18" customWidth="1"/>
    <col min="2563" max="2563" width="16.33203125" style="18" customWidth="1"/>
    <col min="2564" max="2564" width="15.83203125" style="18" customWidth="1"/>
    <col min="2565" max="2565" width="16.6640625" style="18" customWidth="1"/>
    <col min="2566" max="2566" width="16.83203125" style="18" customWidth="1"/>
    <col min="2567" max="2568" width="12.83203125" style="18" customWidth="1"/>
    <col min="2569" max="2569" width="13.83203125" style="18" customWidth="1"/>
    <col min="2570" max="2816" width="9.33203125" style="18"/>
    <col min="2817" max="2817" width="60.6640625" style="18" customWidth="1"/>
    <col min="2818" max="2818" width="15.6640625" style="18" customWidth="1"/>
    <col min="2819" max="2819" width="16.33203125" style="18" customWidth="1"/>
    <col min="2820" max="2820" width="15.83203125" style="18" customWidth="1"/>
    <col min="2821" max="2821" width="16.6640625" style="18" customWidth="1"/>
    <col min="2822" max="2822" width="16.83203125" style="18" customWidth="1"/>
    <col min="2823" max="2824" width="12.83203125" style="18" customWidth="1"/>
    <col min="2825" max="2825" width="13.83203125" style="18" customWidth="1"/>
    <col min="2826" max="3072" width="9.33203125" style="18"/>
    <col min="3073" max="3073" width="60.6640625" style="18" customWidth="1"/>
    <col min="3074" max="3074" width="15.6640625" style="18" customWidth="1"/>
    <col min="3075" max="3075" width="16.33203125" style="18" customWidth="1"/>
    <col min="3076" max="3076" width="15.83203125" style="18" customWidth="1"/>
    <col min="3077" max="3077" width="16.6640625" style="18" customWidth="1"/>
    <col min="3078" max="3078" width="16.83203125" style="18" customWidth="1"/>
    <col min="3079" max="3080" width="12.83203125" style="18" customWidth="1"/>
    <col min="3081" max="3081" width="13.83203125" style="18" customWidth="1"/>
    <col min="3082" max="3328" width="9.33203125" style="18"/>
    <col min="3329" max="3329" width="60.6640625" style="18" customWidth="1"/>
    <col min="3330" max="3330" width="15.6640625" style="18" customWidth="1"/>
    <col min="3331" max="3331" width="16.33203125" style="18" customWidth="1"/>
    <col min="3332" max="3332" width="15.83203125" style="18" customWidth="1"/>
    <col min="3333" max="3333" width="16.6640625" style="18" customWidth="1"/>
    <col min="3334" max="3334" width="16.83203125" style="18" customWidth="1"/>
    <col min="3335" max="3336" width="12.83203125" style="18" customWidth="1"/>
    <col min="3337" max="3337" width="13.83203125" style="18" customWidth="1"/>
    <col min="3338" max="3584" width="9.33203125" style="18"/>
    <col min="3585" max="3585" width="60.6640625" style="18" customWidth="1"/>
    <col min="3586" max="3586" width="15.6640625" style="18" customWidth="1"/>
    <col min="3587" max="3587" width="16.33203125" style="18" customWidth="1"/>
    <col min="3588" max="3588" width="15.83203125" style="18" customWidth="1"/>
    <col min="3589" max="3589" width="16.6640625" style="18" customWidth="1"/>
    <col min="3590" max="3590" width="16.83203125" style="18" customWidth="1"/>
    <col min="3591" max="3592" width="12.83203125" style="18" customWidth="1"/>
    <col min="3593" max="3593" width="13.83203125" style="18" customWidth="1"/>
    <col min="3594" max="3840" width="9.33203125" style="18"/>
    <col min="3841" max="3841" width="60.6640625" style="18" customWidth="1"/>
    <col min="3842" max="3842" width="15.6640625" style="18" customWidth="1"/>
    <col min="3843" max="3843" width="16.33203125" style="18" customWidth="1"/>
    <col min="3844" max="3844" width="15.83203125" style="18" customWidth="1"/>
    <col min="3845" max="3845" width="16.6640625" style="18" customWidth="1"/>
    <col min="3846" max="3846" width="16.83203125" style="18" customWidth="1"/>
    <col min="3847" max="3848" width="12.83203125" style="18" customWidth="1"/>
    <col min="3849" max="3849" width="13.83203125" style="18" customWidth="1"/>
    <col min="3850" max="4096" width="9.33203125" style="18"/>
    <col min="4097" max="4097" width="60.6640625" style="18" customWidth="1"/>
    <col min="4098" max="4098" width="15.6640625" style="18" customWidth="1"/>
    <col min="4099" max="4099" width="16.33203125" style="18" customWidth="1"/>
    <col min="4100" max="4100" width="15.83203125" style="18" customWidth="1"/>
    <col min="4101" max="4101" width="16.6640625" style="18" customWidth="1"/>
    <col min="4102" max="4102" width="16.83203125" style="18" customWidth="1"/>
    <col min="4103" max="4104" width="12.83203125" style="18" customWidth="1"/>
    <col min="4105" max="4105" width="13.83203125" style="18" customWidth="1"/>
    <col min="4106" max="4352" width="9.33203125" style="18"/>
    <col min="4353" max="4353" width="60.6640625" style="18" customWidth="1"/>
    <col min="4354" max="4354" width="15.6640625" style="18" customWidth="1"/>
    <col min="4355" max="4355" width="16.33203125" style="18" customWidth="1"/>
    <col min="4356" max="4356" width="15.83203125" style="18" customWidth="1"/>
    <col min="4357" max="4357" width="16.6640625" style="18" customWidth="1"/>
    <col min="4358" max="4358" width="16.83203125" style="18" customWidth="1"/>
    <col min="4359" max="4360" width="12.83203125" style="18" customWidth="1"/>
    <col min="4361" max="4361" width="13.83203125" style="18" customWidth="1"/>
    <col min="4362" max="4608" width="9.33203125" style="18"/>
    <col min="4609" max="4609" width="60.6640625" style="18" customWidth="1"/>
    <col min="4610" max="4610" width="15.6640625" style="18" customWidth="1"/>
    <col min="4611" max="4611" width="16.33203125" style="18" customWidth="1"/>
    <col min="4612" max="4612" width="15.83203125" style="18" customWidth="1"/>
    <col min="4613" max="4613" width="16.6640625" style="18" customWidth="1"/>
    <col min="4614" max="4614" width="16.83203125" style="18" customWidth="1"/>
    <col min="4615" max="4616" width="12.83203125" style="18" customWidth="1"/>
    <col min="4617" max="4617" width="13.83203125" style="18" customWidth="1"/>
    <col min="4618" max="4864" width="9.33203125" style="18"/>
    <col min="4865" max="4865" width="60.6640625" style="18" customWidth="1"/>
    <col min="4866" max="4866" width="15.6640625" style="18" customWidth="1"/>
    <col min="4867" max="4867" width="16.33203125" style="18" customWidth="1"/>
    <col min="4868" max="4868" width="15.83203125" style="18" customWidth="1"/>
    <col min="4869" max="4869" width="16.6640625" style="18" customWidth="1"/>
    <col min="4870" max="4870" width="16.83203125" style="18" customWidth="1"/>
    <col min="4871" max="4872" width="12.83203125" style="18" customWidth="1"/>
    <col min="4873" max="4873" width="13.83203125" style="18" customWidth="1"/>
    <col min="4874" max="5120" width="9.33203125" style="18"/>
    <col min="5121" max="5121" width="60.6640625" style="18" customWidth="1"/>
    <col min="5122" max="5122" width="15.6640625" style="18" customWidth="1"/>
    <col min="5123" max="5123" width="16.33203125" style="18" customWidth="1"/>
    <col min="5124" max="5124" width="15.83203125" style="18" customWidth="1"/>
    <col min="5125" max="5125" width="16.6640625" style="18" customWidth="1"/>
    <col min="5126" max="5126" width="16.83203125" style="18" customWidth="1"/>
    <col min="5127" max="5128" width="12.83203125" style="18" customWidth="1"/>
    <col min="5129" max="5129" width="13.83203125" style="18" customWidth="1"/>
    <col min="5130" max="5376" width="9.33203125" style="18"/>
    <col min="5377" max="5377" width="60.6640625" style="18" customWidth="1"/>
    <col min="5378" max="5378" width="15.6640625" style="18" customWidth="1"/>
    <col min="5379" max="5379" width="16.33203125" style="18" customWidth="1"/>
    <col min="5380" max="5380" width="15.83203125" style="18" customWidth="1"/>
    <col min="5381" max="5381" width="16.6640625" style="18" customWidth="1"/>
    <col min="5382" max="5382" width="16.83203125" style="18" customWidth="1"/>
    <col min="5383" max="5384" width="12.83203125" style="18" customWidth="1"/>
    <col min="5385" max="5385" width="13.83203125" style="18" customWidth="1"/>
    <col min="5386" max="5632" width="9.33203125" style="18"/>
    <col min="5633" max="5633" width="60.6640625" style="18" customWidth="1"/>
    <col min="5634" max="5634" width="15.6640625" style="18" customWidth="1"/>
    <col min="5635" max="5635" width="16.33203125" style="18" customWidth="1"/>
    <col min="5636" max="5636" width="15.83203125" style="18" customWidth="1"/>
    <col min="5637" max="5637" width="16.6640625" style="18" customWidth="1"/>
    <col min="5638" max="5638" width="16.83203125" style="18" customWidth="1"/>
    <col min="5639" max="5640" width="12.83203125" style="18" customWidth="1"/>
    <col min="5641" max="5641" width="13.83203125" style="18" customWidth="1"/>
    <col min="5642" max="5888" width="9.33203125" style="18"/>
    <col min="5889" max="5889" width="60.6640625" style="18" customWidth="1"/>
    <col min="5890" max="5890" width="15.6640625" style="18" customWidth="1"/>
    <col min="5891" max="5891" width="16.33203125" style="18" customWidth="1"/>
    <col min="5892" max="5892" width="15.83203125" style="18" customWidth="1"/>
    <col min="5893" max="5893" width="16.6640625" style="18" customWidth="1"/>
    <col min="5894" max="5894" width="16.83203125" style="18" customWidth="1"/>
    <col min="5895" max="5896" width="12.83203125" style="18" customWidth="1"/>
    <col min="5897" max="5897" width="13.83203125" style="18" customWidth="1"/>
    <col min="5898" max="6144" width="9.33203125" style="18"/>
    <col min="6145" max="6145" width="60.6640625" style="18" customWidth="1"/>
    <col min="6146" max="6146" width="15.6640625" style="18" customWidth="1"/>
    <col min="6147" max="6147" width="16.33203125" style="18" customWidth="1"/>
    <col min="6148" max="6148" width="15.83203125" style="18" customWidth="1"/>
    <col min="6149" max="6149" width="16.6640625" style="18" customWidth="1"/>
    <col min="6150" max="6150" width="16.83203125" style="18" customWidth="1"/>
    <col min="6151" max="6152" width="12.83203125" style="18" customWidth="1"/>
    <col min="6153" max="6153" width="13.83203125" style="18" customWidth="1"/>
    <col min="6154" max="6400" width="9.33203125" style="18"/>
    <col min="6401" max="6401" width="60.6640625" style="18" customWidth="1"/>
    <col min="6402" max="6402" width="15.6640625" style="18" customWidth="1"/>
    <col min="6403" max="6403" width="16.33203125" style="18" customWidth="1"/>
    <col min="6404" max="6404" width="15.83203125" style="18" customWidth="1"/>
    <col min="6405" max="6405" width="16.6640625" style="18" customWidth="1"/>
    <col min="6406" max="6406" width="16.83203125" style="18" customWidth="1"/>
    <col min="6407" max="6408" width="12.83203125" style="18" customWidth="1"/>
    <col min="6409" max="6409" width="13.83203125" style="18" customWidth="1"/>
    <col min="6410" max="6656" width="9.33203125" style="18"/>
    <col min="6657" max="6657" width="60.6640625" style="18" customWidth="1"/>
    <col min="6658" max="6658" width="15.6640625" style="18" customWidth="1"/>
    <col min="6659" max="6659" width="16.33203125" style="18" customWidth="1"/>
    <col min="6660" max="6660" width="15.83203125" style="18" customWidth="1"/>
    <col min="6661" max="6661" width="16.6640625" style="18" customWidth="1"/>
    <col min="6662" max="6662" width="16.83203125" style="18" customWidth="1"/>
    <col min="6663" max="6664" width="12.83203125" style="18" customWidth="1"/>
    <col min="6665" max="6665" width="13.83203125" style="18" customWidth="1"/>
    <col min="6666" max="6912" width="9.33203125" style="18"/>
    <col min="6913" max="6913" width="60.6640625" style="18" customWidth="1"/>
    <col min="6914" max="6914" width="15.6640625" style="18" customWidth="1"/>
    <col min="6915" max="6915" width="16.33203125" style="18" customWidth="1"/>
    <col min="6916" max="6916" width="15.83203125" style="18" customWidth="1"/>
    <col min="6917" max="6917" width="16.6640625" style="18" customWidth="1"/>
    <col min="6918" max="6918" width="16.83203125" style="18" customWidth="1"/>
    <col min="6919" max="6920" width="12.83203125" style="18" customWidth="1"/>
    <col min="6921" max="6921" width="13.83203125" style="18" customWidth="1"/>
    <col min="6922" max="7168" width="9.33203125" style="18"/>
    <col min="7169" max="7169" width="60.6640625" style="18" customWidth="1"/>
    <col min="7170" max="7170" width="15.6640625" style="18" customWidth="1"/>
    <col min="7171" max="7171" width="16.33203125" style="18" customWidth="1"/>
    <col min="7172" max="7172" width="15.83203125" style="18" customWidth="1"/>
    <col min="7173" max="7173" width="16.6640625" style="18" customWidth="1"/>
    <col min="7174" max="7174" width="16.83203125" style="18" customWidth="1"/>
    <col min="7175" max="7176" width="12.83203125" style="18" customWidth="1"/>
    <col min="7177" max="7177" width="13.83203125" style="18" customWidth="1"/>
    <col min="7178" max="7424" width="9.33203125" style="18"/>
    <col min="7425" max="7425" width="60.6640625" style="18" customWidth="1"/>
    <col min="7426" max="7426" width="15.6640625" style="18" customWidth="1"/>
    <col min="7427" max="7427" width="16.33203125" style="18" customWidth="1"/>
    <col min="7428" max="7428" width="15.83203125" style="18" customWidth="1"/>
    <col min="7429" max="7429" width="16.6640625" style="18" customWidth="1"/>
    <col min="7430" max="7430" width="16.83203125" style="18" customWidth="1"/>
    <col min="7431" max="7432" width="12.83203125" style="18" customWidth="1"/>
    <col min="7433" max="7433" width="13.83203125" style="18" customWidth="1"/>
    <col min="7434" max="7680" width="9.33203125" style="18"/>
    <col min="7681" max="7681" width="60.6640625" style="18" customWidth="1"/>
    <col min="7682" max="7682" width="15.6640625" style="18" customWidth="1"/>
    <col min="7683" max="7683" width="16.33203125" style="18" customWidth="1"/>
    <col min="7684" max="7684" width="15.83203125" style="18" customWidth="1"/>
    <col min="7685" max="7685" width="16.6640625" style="18" customWidth="1"/>
    <col min="7686" max="7686" width="16.83203125" style="18" customWidth="1"/>
    <col min="7687" max="7688" width="12.83203125" style="18" customWidth="1"/>
    <col min="7689" max="7689" width="13.83203125" style="18" customWidth="1"/>
    <col min="7690" max="7936" width="9.33203125" style="18"/>
    <col min="7937" max="7937" width="60.6640625" style="18" customWidth="1"/>
    <col min="7938" max="7938" width="15.6640625" style="18" customWidth="1"/>
    <col min="7939" max="7939" width="16.33203125" style="18" customWidth="1"/>
    <col min="7940" max="7940" width="15.83203125" style="18" customWidth="1"/>
    <col min="7941" max="7941" width="16.6640625" style="18" customWidth="1"/>
    <col min="7942" max="7942" width="16.83203125" style="18" customWidth="1"/>
    <col min="7943" max="7944" width="12.83203125" style="18" customWidth="1"/>
    <col min="7945" max="7945" width="13.83203125" style="18" customWidth="1"/>
    <col min="7946" max="8192" width="9.33203125" style="18"/>
    <col min="8193" max="8193" width="60.6640625" style="18" customWidth="1"/>
    <col min="8194" max="8194" width="15.6640625" style="18" customWidth="1"/>
    <col min="8195" max="8195" width="16.33203125" style="18" customWidth="1"/>
    <col min="8196" max="8196" width="15.83203125" style="18" customWidth="1"/>
    <col min="8197" max="8197" width="16.6640625" style="18" customWidth="1"/>
    <col min="8198" max="8198" width="16.83203125" style="18" customWidth="1"/>
    <col min="8199" max="8200" width="12.83203125" style="18" customWidth="1"/>
    <col min="8201" max="8201" width="13.83203125" style="18" customWidth="1"/>
    <col min="8202" max="8448" width="9.33203125" style="18"/>
    <col min="8449" max="8449" width="60.6640625" style="18" customWidth="1"/>
    <col min="8450" max="8450" width="15.6640625" style="18" customWidth="1"/>
    <col min="8451" max="8451" width="16.33203125" style="18" customWidth="1"/>
    <col min="8452" max="8452" width="15.83203125" style="18" customWidth="1"/>
    <col min="8453" max="8453" width="16.6640625" style="18" customWidth="1"/>
    <col min="8454" max="8454" width="16.83203125" style="18" customWidth="1"/>
    <col min="8455" max="8456" width="12.83203125" style="18" customWidth="1"/>
    <col min="8457" max="8457" width="13.83203125" style="18" customWidth="1"/>
    <col min="8458" max="8704" width="9.33203125" style="18"/>
    <col min="8705" max="8705" width="60.6640625" style="18" customWidth="1"/>
    <col min="8706" max="8706" width="15.6640625" style="18" customWidth="1"/>
    <col min="8707" max="8707" width="16.33203125" style="18" customWidth="1"/>
    <col min="8708" max="8708" width="15.83203125" style="18" customWidth="1"/>
    <col min="8709" max="8709" width="16.6640625" style="18" customWidth="1"/>
    <col min="8710" max="8710" width="16.83203125" style="18" customWidth="1"/>
    <col min="8711" max="8712" width="12.83203125" style="18" customWidth="1"/>
    <col min="8713" max="8713" width="13.83203125" style="18" customWidth="1"/>
    <col min="8714" max="8960" width="9.33203125" style="18"/>
    <col min="8961" max="8961" width="60.6640625" style="18" customWidth="1"/>
    <col min="8962" max="8962" width="15.6640625" style="18" customWidth="1"/>
    <col min="8963" max="8963" width="16.33203125" style="18" customWidth="1"/>
    <col min="8964" max="8964" width="15.83203125" style="18" customWidth="1"/>
    <col min="8965" max="8965" width="16.6640625" style="18" customWidth="1"/>
    <col min="8966" max="8966" width="16.83203125" style="18" customWidth="1"/>
    <col min="8967" max="8968" width="12.83203125" style="18" customWidth="1"/>
    <col min="8969" max="8969" width="13.83203125" style="18" customWidth="1"/>
    <col min="8970" max="9216" width="9.33203125" style="18"/>
    <col min="9217" max="9217" width="60.6640625" style="18" customWidth="1"/>
    <col min="9218" max="9218" width="15.6640625" style="18" customWidth="1"/>
    <col min="9219" max="9219" width="16.33203125" style="18" customWidth="1"/>
    <col min="9220" max="9220" width="15.83203125" style="18" customWidth="1"/>
    <col min="9221" max="9221" width="16.6640625" style="18" customWidth="1"/>
    <col min="9222" max="9222" width="16.83203125" style="18" customWidth="1"/>
    <col min="9223" max="9224" width="12.83203125" style="18" customWidth="1"/>
    <col min="9225" max="9225" width="13.83203125" style="18" customWidth="1"/>
    <col min="9226" max="9472" width="9.33203125" style="18"/>
    <col min="9473" max="9473" width="60.6640625" style="18" customWidth="1"/>
    <col min="9474" max="9474" width="15.6640625" style="18" customWidth="1"/>
    <col min="9475" max="9475" width="16.33203125" style="18" customWidth="1"/>
    <col min="9476" max="9476" width="15.83203125" style="18" customWidth="1"/>
    <col min="9477" max="9477" width="16.6640625" style="18" customWidth="1"/>
    <col min="9478" max="9478" width="16.83203125" style="18" customWidth="1"/>
    <col min="9479" max="9480" width="12.83203125" style="18" customWidth="1"/>
    <col min="9481" max="9481" width="13.83203125" style="18" customWidth="1"/>
    <col min="9482" max="9728" width="9.33203125" style="18"/>
    <col min="9729" max="9729" width="60.6640625" style="18" customWidth="1"/>
    <col min="9730" max="9730" width="15.6640625" style="18" customWidth="1"/>
    <col min="9731" max="9731" width="16.33203125" style="18" customWidth="1"/>
    <col min="9732" max="9732" width="15.83203125" style="18" customWidth="1"/>
    <col min="9733" max="9733" width="16.6640625" style="18" customWidth="1"/>
    <col min="9734" max="9734" width="16.83203125" style="18" customWidth="1"/>
    <col min="9735" max="9736" width="12.83203125" style="18" customWidth="1"/>
    <col min="9737" max="9737" width="13.83203125" style="18" customWidth="1"/>
    <col min="9738" max="9984" width="9.33203125" style="18"/>
    <col min="9985" max="9985" width="60.6640625" style="18" customWidth="1"/>
    <col min="9986" max="9986" width="15.6640625" style="18" customWidth="1"/>
    <col min="9987" max="9987" width="16.33203125" style="18" customWidth="1"/>
    <col min="9988" max="9988" width="15.83203125" style="18" customWidth="1"/>
    <col min="9989" max="9989" width="16.6640625" style="18" customWidth="1"/>
    <col min="9990" max="9990" width="16.83203125" style="18" customWidth="1"/>
    <col min="9991" max="9992" width="12.83203125" style="18" customWidth="1"/>
    <col min="9993" max="9993" width="13.83203125" style="18" customWidth="1"/>
    <col min="9994" max="10240" width="9.33203125" style="18"/>
    <col min="10241" max="10241" width="60.6640625" style="18" customWidth="1"/>
    <col min="10242" max="10242" width="15.6640625" style="18" customWidth="1"/>
    <col min="10243" max="10243" width="16.33203125" style="18" customWidth="1"/>
    <col min="10244" max="10244" width="15.83203125" style="18" customWidth="1"/>
    <col min="10245" max="10245" width="16.6640625" style="18" customWidth="1"/>
    <col min="10246" max="10246" width="16.83203125" style="18" customWidth="1"/>
    <col min="10247" max="10248" width="12.83203125" style="18" customWidth="1"/>
    <col min="10249" max="10249" width="13.83203125" style="18" customWidth="1"/>
    <col min="10250" max="10496" width="9.33203125" style="18"/>
    <col min="10497" max="10497" width="60.6640625" style="18" customWidth="1"/>
    <col min="10498" max="10498" width="15.6640625" style="18" customWidth="1"/>
    <col min="10499" max="10499" width="16.33203125" style="18" customWidth="1"/>
    <col min="10500" max="10500" width="15.83203125" style="18" customWidth="1"/>
    <col min="10501" max="10501" width="16.6640625" style="18" customWidth="1"/>
    <col min="10502" max="10502" width="16.83203125" style="18" customWidth="1"/>
    <col min="10503" max="10504" width="12.83203125" style="18" customWidth="1"/>
    <col min="10505" max="10505" width="13.83203125" style="18" customWidth="1"/>
    <col min="10506" max="10752" width="9.33203125" style="18"/>
    <col min="10753" max="10753" width="60.6640625" style="18" customWidth="1"/>
    <col min="10754" max="10754" width="15.6640625" style="18" customWidth="1"/>
    <col min="10755" max="10755" width="16.33203125" style="18" customWidth="1"/>
    <col min="10756" max="10756" width="15.83203125" style="18" customWidth="1"/>
    <col min="10757" max="10757" width="16.6640625" style="18" customWidth="1"/>
    <col min="10758" max="10758" width="16.83203125" style="18" customWidth="1"/>
    <col min="10759" max="10760" width="12.83203125" style="18" customWidth="1"/>
    <col min="10761" max="10761" width="13.83203125" style="18" customWidth="1"/>
    <col min="10762" max="11008" width="9.33203125" style="18"/>
    <col min="11009" max="11009" width="60.6640625" style="18" customWidth="1"/>
    <col min="11010" max="11010" width="15.6640625" style="18" customWidth="1"/>
    <col min="11011" max="11011" width="16.33203125" style="18" customWidth="1"/>
    <col min="11012" max="11012" width="15.83203125" style="18" customWidth="1"/>
    <col min="11013" max="11013" width="16.6640625" style="18" customWidth="1"/>
    <col min="11014" max="11014" width="16.83203125" style="18" customWidth="1"/>
    <col min="11015" max="11016" width="12.83203125" style="18" customWidth="1"/>
    <col min="11017" max="11017" width="13.83203125" style="18" customWidth="1"/>
    <col min="11018" max="11264" width="9.33203125" style="18"/>
    <col min="11265" max="11265" width="60.6640625" style="18" customWidth="1"/>
    <col min="11266" max="11266" width="15.6640625" style="18" customWidth="1"/>
    <col min="11267" max="11267" width="16.33203125" style="18" customWidth="1"/>
    <col min="11268" max="11268" width="15.83203125" style="18" customWidth="1"/>
    <col min="11269" max="11269" width="16.6640625" style="18" customWidth="1"/>
    <col min="11270" max="11270" width="16.83203125" style="18" customWidth="1"/>
    <col min="11271" max="11272" width="12.83203125" style="18" customWidth="1"/>
    <col min="11273" max="11273" width="13.83203125" style="18" customWidth="1"/>
    <col min="11274" max="11520" width="9.33203125" style="18"/>
    <col min="11521" max="11521" width="60.6640625" style="18" customWidth="1"/>
    <col min="11522" max="11522" width="15.6640625" style="18" customWidth="1"/>
    <col min="11523" max="11523" width="16.33203125" style="18" customWidth="1"/>
    <col min="11524" max="11524" width="15.83203125" style="18" customWidth="1"/>
    <col min="11525" max="11525" width="16.6640625" style="18" customWidth="1"/>
    <col min="11526" max="11526" width="16.83203125" style="18" customWidth="1"/>
    <col min="11527" max="11528" width="12.83203125" style="18" customWidth="1"/>
    <col min="11529" max="11529" width="13.83203125" style="18" customWidth="1"/>
    <col min="11530" max="11776" width="9.33203125" style="18"/>
    <col min="11777" max="11777" width="60.6640625" style="18" customWidth="1"/>
    <col min="11778" max="11778" width="15.6640625" style="18" customWidth="1"/>
    <col min="11779" max="11779" width="16.33203125" style="18" customWidth="1"/>
    <col min="11780" max="11780" width="15.83203125" style="18" customWidth="1"/>
    <col min="11781" max="11781" width="16.6640625" style="18" customWidth="1"/>
    <col min="11782" max="11782" width="16.83203125" style="18" customWidth="1"/>
    <col min="11783" max="11784" width="12.83203125" style="18" customWidth="1"/>
    <col min="11785" max="11785" width="13.83203125" style="18" customWidth="1"/>
    <col min="11786" max="12032" width="9.33203125" style="18"/>
    <col min="12033" max="12033" width="60.6640625" style="18" customWidth="1"/>
    <col min="12034" max="12034" width="15.6640625" style="18" customWidth="1"/>
    <col min="12035" max="12035" width="16.33203125" style="18" customWidth="1"/>
    <col min="12036" max="12036" width="15.83203125" style="18" customWidth="1"/>
    <col min="12037" max="12037" width="16.6640625" style="18" customWidth="1"/>
    <col min="12038" max="12038" width="16.83203125" style="18" customWidth="1"/>
    <col min="12039" max="12040" width="12.83203125" style="18" customWidth="1"/>
    <col min="12041" max="12041" width="13.83203125" style="18" customWidth="1"/>
    <col min="12042" max="12288" width="9.33203125" style="18"/>
    <col min="12289" max="12289" width="60.6640625" style="18" customWidth="1"/>
    <col min="12290" max="12290" width="15.6640625" style="18" customWidth="1"/>
    <col min="12291" max="12291" width="16.33203125" style="18" customWidth="1"/>
    <col min="12292" max="12292" width="15.83203125" style="18" customWidth="1"/>
    <col min="12293" max="12293" width="16.6640625" style="18" customWidth="1"/>
    <col min="12294" max="12294" width="16.83203125" style="18" customWidth="1"/>
    <col min="12295" max="12296" width="12.83203125" style="18" customWidth="1"/>
    <col min="12297" max="12297" width="13.83203125" style="18" customWidth="1"/>
    <col min="12298" max="12544" width="9.33203125" style="18"/>
    <col min="12545" max="12545" width="60.6640625" style="18" customWidth="1"/>
    <col min="12546" max="12546" width="15.6640625" style="18" customWidth="1"/>
    <col min="12547" max="12547" width="16.33203125" style="18" customWidth="1"/>
    <col min="12548" max="12548" width="15.83203125" style="18" customWidth="1"/>
    <col min="12549" max="12549" width="16.6640625" style="18" customWidth="1"/>
    <col min="12550" max="12550" width="16.83203125" style="18" customWidth="1"/>
    <col min="12551" max="12552" width="12.83203125" style="18" customWidth="1"/>
    <col min="12553" max="12553" width="13.83203125" style="18" customWidth="1"/>
    <col min="12554" max="12800" width="9.33203125" style="18"/>
    <col min="12801" max="12801" width="60.6640625" style="18" customWidth="1"/>
    <col min="12802" max="12802" width="15.6640625" style="18" customWidth="1"/>
    <col min="12803" max="12803" width="16.33203125" style="18" customWidth="1"/>
    <col min="12804" max="12804" width="15.83203125" style="18" customWidth="1"/>
    <col min="12805" max="12805" width="16.6640625" style="18" customWidth="1"/>
    <col min="12806" max="12806" width="16.83203125" style="18" customWidth="1"/>
    <col min="12807" max="12808" width="12.83203125" style="18" customWidth="1"/>
    <col min="12809" max="12809" width="13.83203125" style="18" customWidth="1"/>
    <col min="12810" max="13056" width="9.33203125" style="18"/>
    <col min="13057" max="13057" width="60.6640625" style="18" customWidth="1"/>
    <col min="13058" max="13058" width="15.6640625" style="18" customWidth="1"/>
    <col min="13059" max="13059" width="16.33203125" style="18" customWidth="1"/>
    <col min="13060" max="13060" width="15.83203125" style="18" customWidth="1"/>
    <col min="13061" max="13061" width="16.6640625" style="18" customWidth="1"/>
    <col min="13062" max="13062" width="16.83203125" style="18" customWidth="1"/>
    <col min="13063" max="13064" width="12.83203125" style="18" customWidth="1"/>
    <col min="13065" max="13065" width="13.83203125" style="18" customWidth="1"/>
    <col min="13066" max="13312" width="9.33203125" style="18"/>
    <col min="13313" max="13313" width="60.6640625" style="18" customWidth="1"/>
    <col min="13314" max="13314" width="15.6640625" style="18" customWidth="1"/>
    <col min="13315" max="13315" width="16.33203125" style="18" customWidth="1"/>
    <col min="13316" max="13316" width="15.83203125" style="18" customWidth="1"/>
    <col min="13317" max="13317" width="16.6640625" style="18" customWidth="1"/>
    <col min="13318" max="13318" width="16.83203125" style="18" customWidth="1"/>
    <col min="13319" max="13320" width="12.83203125" style="18" customWidth="1"/>
    <col min="13321" max="13321" width="13.83203125" style="18" customWidth="1"/>
    <col min="13322" max="13568" width="9.33203125" style="18"/>
    <col min="13569" max="13569" width="60.6640625" style="18" customWidth="1"/>
    <col min="13570" max="13570" width="15.6640625" style="18" customWidth="1"/>
    <col min="13571" max="13571" width="16.33203125" style="18" customWidth="1"/>
    <col min="13572" max="13572" width="15.83203125" style="18" customWidth="1"/>
    <col min="13573" max="13573" width="16.6640625" style="18" customWidth="1"/>
    <col min="13574" max="13574" width="16.83203125" style="18" customWidth="1"/>
    <col min="13575" max="13576" width="12.83203125" style="18" customWidth="1"/>
    <col min="13577" max="13577" width="13.83203125" style="18" customWidth="1"/>
    <col min="13578" max="13824" width="9.33203125" style="18"/>
    <col min="13825" max="13825" width="60.6640625" style="18" customWidth="1"/>
    <col min="13826" max="13826" width="15.6640625" style="18" customWidth="1"/>
    <col min="13827" max="13827" width="16.33203125" style="18" customWidth="1"/>
    <col min="13828" max="13828" width="15.83203125" style="18" customWidth="1"/>
    <col min="13829" max="13829" width="16.6640625" style="18" customWidth="1"/>
    <col min="13830" max="13830" width="16.83203125" style="18" customWidth="1"/>
    <col min="13831" max="13832" width="12.83203125" style="18" customWidth="1"/>
    <col min="13833" max="13833" width="13.83203125" style="18" customWidth="1"/>
    <col min="13834" max="14080" width="9.33203125" style="18"/>
    <col min="14081" max="14081" width="60.6640625" style="18" customWidth="1"/>
    <col min="14082" max="14082" width="15.6640625" style="18" customWidth="1"/>
    <col min="14083" max="14083" width="16.33203125" style="18" customWidth="1"/>
    <col min="14084" max="14084" width="15.83203125" style="18" customWidth="1"/>
    <col min="14085" max="14085" width="16.6640625" style="18" customWidth="1"/>
    <col min="14086" max="14086" width="16.83203125" style="18" customWidth="1"/>
    <col min="14087" max="14088" width="12.83203125" style="18" customWidth="1"/>
    <col min="14089" max="14089" width="13.83203125" style="18" customWidth="1"/>
    <col min="14090" max="14336" width="9.33203125" style="18"/>
    <col min="14337" max="14337" width="60.6640625" style="18" customWidth="1"/>
    <col min="14338" max="14338" width="15.6640625" style="18" customWidth="1"/>
    <col min="14339" max="14339" width="16.33203125" style="18" customWidth="1"/>
    <col min="14340" max="14340" width="15.83203125" style="18" customWidth="1"/>
    <col min="14341" max="14341" width="16.6640625" style="18" customWidth="1"/>
    <col min="14342" max="14342" width="16.83203125" style="18" customWidth="1"/>
    <col min="14343" max="14344" width="12.83203125" style="18" customWidth="1"/>
    <col min="14345" max="14345" width="13.83203125" style="18" customWidth="1"/>
    <col min="14346" max="14592" width="9.33203125" style="18"/>
    <col min="14593" max="14593" width="60.6640625" style="18" customWidth="1"/>
    <col min="14594" max="14594" width="15.6640625" style="18" customWidth="1"/>
    <col min="14595" max="14595" width="16.33203125" style="18" customWidth="1"/>
    <col min="14596" max="14596" width="15.83203125" style="18" customWidth="1"/>
    <col min="14597" max="14597" width="16.6640625" style="18" customWidth="1"/>
    <col min="14598" max="14598" width="16.83203125" style="18" customWidth="1"/>
    <col min="14599" max="14600" width="12.83203125" style="18" customWidth="1"/>
    <col min="14601" max="14601" width="13.83203125" style="18" customWidth="1"/>
    <col min="14602" max="14848" width="9.33203125" style="18"/>
    <col min="14849" max="14849" width="60.6640625" style="18" customWidth="1"/>
    <col min="14850" max="14850" width="15.6640625" style="18" customWidth="1"/>
    <col min="14851" max="14851" width="16.33203125" style="18" customWidth="1"/>
    <col min="14852" max="14852" width="15.83203125" style="18" customWidth="1"/>
    <col min="14853" max="14853" width="16.6640625" style="18" customWidth="1"/>
    <col min="14854" max="14854" width="16.83203125" style="18" customWidth="1"/>
    <col min="14855" max="14856" width="12.83203125" style="18" customWidth="1"/>
    <col min="14857" max="14857" width="13.83203125" style="18" customWidth="1"/>
    <col min="14858" max="15104" width="9.33203125" style="18"/>
    <col min="15105" max="15105" width="60.6640625" style="18" customWidth="1"/>
    <col min="15106" max="15106" width="15.6640625" style="18" customWidth="1"/>
    <col min="15107" max="15107" width="16.33203125" style="18" customWidth="1"/>
    <col min="15108" max="15108" width="15.83203125" style="18" customWidth="1"/>
    <col min="15109" max="15109" width="16.6640625" style="18" customWidth="1"/>
    <col min="15110" max="15110" width="16.83203125" style="18" customWidth="1"/>
    <col min="15111" max="15112" width="12.83203125" style="18" customWidth="1"/>
    <col min="15113" max="15113" width="13.83203125" style="18" customWidth="1"/>
    <col min="15114" max="15360" width="9.33203125" style="18"/>
    <col min="15361" max="15361" width="60.6640625" style="18" customWidth="1"/>
    <col min="15362" max="15362" width="15.6640625" style="18" customWidth="1"/>
    <col min="15363" max="15363" width="16.33203125" style="18" customWidth="1"/>
    <col min="15364" max="15364" width="15.83203125" style="18" customWidth="1"/>
    <col min="15365" max="15365" width="16.6640625" style="18" customWidth="1"/>
    <col min="15366" max="15366" width="16.83203125" style="18" customWidth="1"/>
    <col min="15367" max="15368" width="12.83203125" style="18" customWidth="1"/>
    <col min="15369" max="15369" width="13.83203125" style="18" customWidth="1"/>
    <col min="15370" max="15616" width="9.33203125" style="18"/>
    <col min="15617" max="15617" width="60.6640625" style="18" customWidth="1"/>
    <col min="15618" max="15618" width="15.6640625" style="18" customWidth="1"/>
    <col min="15619" max="15619" width="16.33203125" style="18" customWidth="1"/>
    <col min="15620" max="15620" width="15.83203125" style="18" customWidth="1"/>
    <col min="15621" max="15621" width="16.6640625" style="18" customWidth="1"/>
    <col min="15622" max="15622" width="16.83203125" style="18" customWidth="1"/>
    <col min="15623" max="15624" width="12.83203125" style="18" customWidth="1"/>
    <col min="15625" max="15625" width="13.83203125" style="18" customWidth="1"/>
    <col min="15626" max="15872" width="9.33203125" style="18"/>
    <col min="15873" max="15873" width="60.6640625" style="18" customWidth="1"/>
    <col min="15874" max="15874" width="15.6640625" style="18" customWidth="1"/>
    <col min="15875" max="15875" width="16.33203125" style="18" customWidth="1"/>
    <col min="15876" max="15876" width="15.83203125" style="18" customWidth="1"/>
    <col min="15877" max="15877" width="16.6640625" style="18" customWidth="1"/>
    <col min="15878" max="15878" width="16.83203125" style="18" customWidth="1"/>
    <col min="15879" max="15880" width="12.83203125" style="18" customWidth="1"/>
    <col min="15881" max="15881" width="13.83203125" style="18" customWidth="1"/>
    <col min="15882" max="16128" width="9.33203125" style="18"/>
    <col min="16129" max="16129" width="60.6640625" style="18" customWidth="1"/>
    <col min="16130" max="16130" width="15.6640625" style="18" customWidth="1"/>
    <col min="16131" max="16131" width="16.33203125" style="18" customWidth="1"/>
    <col min="16132" max="16132" width="15.83203125" style="18" customWidth="1"/>
    <col min="16133" max="16133" width="16.6640625" style="18" customWidth="1"/>
    <col min="16134" max="16134" width="16.83203125" style="18" customWidth="1"/>
    <col min="16135" max="16136" width="12.83203125" style="18" customWidth="1"/>
    <col min="16137" max="16137" width="13.83203125" style="18" customWidth="1"/>
    <col min="16138" max="16384" width="9.33203125" style="18"/>
  </cols>
  <sheetData>
    <row r="1" spans="1:14" s="1077" customFormat="1" x14ac:dyDescent="0.2">
      <c r="A1" s="1831" t="s">
        <v>799</v>
      </c>
      <c r="B1" s="1831"/>
      <c r="C1" s="1831"/>
      <c r="D1" s="1831"/>
      <c r="E1" s="1831"/>
      <c r="F1" s="1831"/>
      <c r="G1" s="1831"/>
      <c r="H1" s="1831"/>
    </row>
    <row r="2" spans="1:14" s="1077" customFormat="1" ht="14.25" customHeight="1" x14ac:dyDescent="0.2">
      <c r="A2" s="1831" t="s">
        <v>737</v>
      </c>
      <c r="B2" s="1831"/>
      <c r="C2" s="1831"/>
      <c r="D2" s="1831"/>
      <c r="E2" s="1831"/>
      <c r="F2" s="1831"/>
      <c r="G2" s="1831"/>
      <c r="H2" s="1831"/>
      <c r="I2" s="1078"/>
      <c r="J2" s="1078"/>
      <c r="K2" s="1078"/>
      <c r="L2" s="1078"/>
      <c r="M2" s="1078"/>
      <c r="N2" s="1078"/>
    </row>
    <row r="3" spans="1:14" ht="18.75" customHeight="1" x14ac:dyDescent="0.2">
      <c r="H3" s="363"/>
    </row>
    <row r="4" spans="1:14" ht="25.5" customHeight="1" x14ac:dyDescent="0.2">
      <c r="A4" s="1830" t="s">
        <v>416</v>
      </c>
      <c r="B4" s="1830"/>
      <c r="C4" s="1830"/>
      <c r="D4" s="1830"/>
      <c r="E4" s="1830"/>
      <c r="F4" s="1830"/>
      <c r="G4" s="1830"/>
      <c r="H4" s="1830"/>
    </row>
    <row r="5" spans="1:14" ht="17.45" customHeight="1" thickBot="1" x14ac:dyDescent="0.25">
      <c r="H5" s="364" t="s">
        <v>362</v>
      </c>
    </row>
    <row r="6" spans="1:14" s="22" customFormat="1" ht="64.5" thickBot="1" x14ac:dyDescent="0.25">
      <c r="A6" s="297" t="s">
        <v>417</v>
      </c>
      <c r="B6" s="298" t="s">
        <v>407</v>
      </c>
      <c r="C6" s="1346" t="s">
        <v>408</v>
      </c>
      <c r="D6" s="298" t="s">
        <v>677</v>
      </c>
      <c r="E6" s="298" t="str">
        <f>'16.beruh.'!E6</f>
        <v>2023. évi eredeti előirányzat
2/2023. (II.14.)</v>
      </c>
      <c r="F6" s="298" t="str">
        <f>'16.beruh.'!F6</f>
        <v>Módosított előirányzat a 14/2023.  (VI.29.)  rendelet szerint</v>
      </c>
      <c r="G6" s="298" t="str">
        <f>'16.beruh.'!G6</f>
        <v>Módosított előirányzat a 18/2023. (IX.26.)  rendelet szerint</v>
      </c>
      <c r="H6" s="299" t="s">
        <v>678</v>
      </c>
    </row>
    <row r="7" spans="1:14" s="304" customFormat="1" ht="15" customHeight="1" x14ac:dyDescent="0.2">
      <c r="A7" s="1336" t="s">
        <v>297</v>
      </c>
      <c r="B7" s="1337" t="s">
        <v>298</v>
      </c>
      <c r="C7" s="1347" t="s">
        <v>299</v>
      </c>
      <c r="D7" s="1337" t="s">
        <v>300</v>
      </c>
      <c r="E7" s="1337" t="s">
        <v>301</v>
      </c>
      <c r="F7" s="1337" t="s">
        <v>388</v>
      </c>
      <c r="G7" s="1337" t="s">
        <v>424</v>
      </c>
      <c r="H7" s="416" t="s">
        <v>735</v>
      </c>
    </row>
    <row r="8" spans="1:14" s="304" customFormat="1" ht="30.2" customHeight="1" x14ac:dyDescent="0.2">
      <c r="A8" s="1409" t="s">
        <v>418</v>
      </c>
      <c r="B8" s="305"/>
      <c r="C8" s="1349"/>
      <c r="D8" s="305"/>
      <c r="E8" s="305"/>
      <c r="F8" s="305"/>
      <c r="G8" s="305"/>
      <c r="H8" s="308">
        <f>B8-D8-G8</f>
        <v>0</v>
      </c>
    </row>
    <row r="9" spans="1:14" s="304" customFormat="1" ht="27" customHeight="1" x14ac:dyDescent="0.2">
      <c r="A9" s="365" t="str">
        <f>'15.felh.felúj.'!B25</f>
        <v>Műszaki tervezés (felújítás)</v>
      </c>
      <c r="B9" s="305">
        <f>D9+G9+H9</f>
        <v>17021600</v>
      </c>
      <c r="C9" s="1349" t="s">
        <v>715</v>
      </c>
      <c r="D9" s="305">
        <v>7721600</v>
      </c>
      <c r="E9" s="305">
        <f>'15.felh.felúj.'!C25</f>
        <v>9300000</v>
      </c>
      <c r="F9" s="305">
        <f>'15.felh.felúj.'!D25</f>
        <v>9300000</v>
      </c>
      <c r="G9" s="305">
        <f>'15.felh.felúj.'!E25</f>
        <v>9300000</v>
      </c>
      <c r="H9" s="308"/>
    </row>
    <row r="10" spans="1:14" s="304" customFormat="1" ht="27" customHeight="1" x14ac:dyDescent="0.2">
      <c r="A10" s="365" t="str">
        <f>'15.felh.felúj.'!B26</f>
        <v>Városközponti tó rézsűvédelme</v>
      </c>
      <c r="B10" s="305">
        <f t="shared" ref="B10:B18" si="0">D10+G10+H10</f>
        <v>11557000</v>
      </c>
      <c r="C10" s="1349" t="s">
        <v>715</v>
      </c>
      <c r="D10" s="305">
        <v>6096000</v>
      </c>
      <c r="E10" s="305">
        <f>'15.felh.felúj.'!C26</f>
        <v>5461000</v>
      </c>
      <c r="F10" s="305">
        <f>'15.felh.felúj.'!D26</f>
        <v>5461000</v>
      </c>
      <c r="G10" s="305">
        <f>'15.felh.felúj.'!E26</f>
        <v>5461000</v>
      </c>
      <c r="H10" s="308"/>
    </row>
    <row r="11" spans="1:14" s="304" customFormat="1" ht="27" customHeight="1" x14ac:dyDescent="0.2">
      <c r="A11" s="365" t="str">
        <f>'15.felh.felúj.'!B27</f>
        <v>Ivóvíz közmű felújítások</v>
      </c>
      <c r="B11" s="305">
        <f t="shared" si="0"/>
        <v>144790690</v>
      </c>
      <c r="C11" s="1349" t="s">
        <v>712</v>
      </c>
      <c r="D11" s="305"/>
      <c r="E11" s="305">
        <f>'15.felh.felúj.'!C27</f>
        <v>144790690</v>
      </c>
      <c r="F11" s="305">
        <f>'15.felh.felúj.'!D27</f>
        <v>144790690</v>
      </c>
      <c r="G11" s="305">
        <f>'15.felh.felúj.'!E27</f>
        <v>144790690</v>
      </c>
      <c r="H11" s="308"/>
    </row>
    <row r="12" spans="1:14" s="304" customFormat="1" ht="27" customHeight="1" x14ac:dyDescent="0.2">
      <c r="A12" s="365" t="str">
        <f>'15.felh.felúj.'!B28</f>
        <v>Szennyvíz közmű felújítások</v>
      </c>
      <c r="B12" s="305">
        <f t="shared" si="0"/>
        <v>236729953</v>
      </c>
      <c r="C12" s="1349" t="s">
        <v>712</v>
      </c>
      <c r="D12" s="305"/>
      <c r="E12" s="305">
        <f>'15.felh.felúj.'!C28</f>
        <v>236729953</v>
      </c>
      <c r="F12" s="305">
        <f>'15.felh.felúj.'!D28</f>
        <v>236729953</v>
      </c>
      <c r="G12" s="305">
        <f>'15.felh.felúj.'!E28</f>
        <v>236729953</v>
      </c>
      <c r="H12" s="308"/>
    </row>
    <row r="13" spans="1:14" s="304" customFormat="1" ht="27" customHeight="1" x14ac:dyDescent="0.2">
      <c r="A13" s="365" t="str">
        <f>'15.felh.felúj.'!B29</f>
        <v>Tanuszoda alagsori helyiségeinek felújítása</v>
      </c>
      <c r="B13" s="305">
        <f t="shared" ref="B13:B15" si="1">D13+G13+H13</f>
        <v>9960622</v>
      </c>
      <c r="C13" s="1349" t="s">
        <v>712</v>
      </c>
      <c r="D13" s="305"/>
      <c r="E13" s="305">
        <f>'15.felh.felúj.'!C29</f>
        <v>10000000</v>
      </c>
      <c r="F13" s="305">
        <f>'15.felh.felúj.'!D29</f>
        <v>9960622</v>
      </c>
      <c r="G13" s="305">
        <f>'15.felh.felúj.'!E29</f>
        <v>9960622</v>
      </c>
      <c r="H13" s="308"/>
    </row>
    <row r="14" spans="1:14" s="304" customFormat="1" ht="27" customHeight="1" x14ac:dyDescent="0.2">
      <c r="A14" s="365" t="str">
        <f>'15.felh.felúj.'!B30</f>
        <v>Zúzalékos földút felújítása Szemere és Kőszegi Gy. úton</v>
      </c>
      <c r="B14" s="305">
        <f t="shared" ref="B14" si="2">D14+G14+H14</f>
        <v>5257419</v>
      </c>
      <c r="C14" s="1349" t="s">
        <v>704</v>
      </c>
      <c r="D14" s="305"/>
      <c r="E14" s="305">
        <f>'15.felh.felúj.'!C30</f>
        <v>6000000</v>
      </c>
      <c r="F14" s="305">
        <f>'15.felh.felúj.'!D30</f>
        <v>6000000</v>
      </c>
      <c r="G14" s="305">
        <f>'15.felh.felúj.'!E30</f>
        <v>5257419</v>
      </c>
      <c r="H14" s="308"/>
    </row>
    <row r="15" spans="1:14" s="304" customFormat="1" ht="27" customHeight="1" x14ac:dyDescent="0.2">
      <c r="A15" s="365" t="str">
        <f>'15.felh.felúj.'!B31</f>
        <v>Technikai távfelügyelet reknstrukciója</v>
      </c>
      <c r="B15" s="305">
        <f t="shared" si="1"/>
        <v>3038948</v>
      </c>
      <c r="C15" s="1349" t="s">
        <v>712</v>
      </c>
      <c r="D15" s="305"/>
      <c r="E15" s="305">
        <f>'15.felh.felúj.'!C31</f>
        <v>3038948</v>
      </c>
      <c r="F15" s="305">
        <f>'15.felh.felúj.'!D31</f>
        <v>3038948</v>
      </c>
      <c r="G15" s="305">
        <f>'15.felh.felúj.'!E31</f>
        <v>3038948</v>
      </c>
      <c r="H15" s="308"/>
    </row>
    <row r="16" spans="1:14" s="304" customFormat="1" ht="27" customHeight="1" x14ac:dyDescent="0.2">
      <c r="A16" s="365" t="str">
        <f>'15.felh.felúj.'!B32</f>
        <v>Betonfedlapos csapadékvízelvezetők átalakítása</v>
      </c>
      <c r="B16" s="305">
        <f t="shared" si="0"/>
        <v>26072685</v>
      </c>
      <c r="C16" s="1349" t="s">
        <v>704</v>
      </c>
      <c r="D16" s="305"/>
      <c r="E16" s="305">
        <f>'15.felh.felúj.'!C32</f>
        <v>4700000</v>
      </c>
      <c r="F16" s="305">
        <f>'15.felh.felúj.'!D32</f>
        <v>26072685</v>
      </c>
      <c r="G16" s="305">
        <f>'15.felh.felúj.'!E32</f>
        <v>26072685</v>
      </c>
      <c r="H16" s="308"/>
    </row>
    <row r="17" spans="1:8" s="304" customFormat="1" ht="27" customHeight="1" x14ac:dyDescent="0.2">
      <c r="A17" s="365" t="str">
        <f>'15.felh.felúj.'!B33</f>
        <v xml:space="preserve">Mátyás király út 22-34. sz társasház nyugati oldalán található járda felújítása </v>
      </c>
      <c r="B17" s="305">
        <f t="shared" si="0"/>
        <v>6322647</v>
      </c>
      <c r="C17" s="1349" t="s">
        <v>704</v>
      </c>
      <c r="D17" s="305"/>
      <c r="E17" s="305">
        <f>'15.felh.felúj.'!C33</f>
        <v>8000000</v>
      </c>
      <c r="F17" s="305">
        <f>'15.felh.felúj.'!D33</f>
        <v>8000000</v>
      </c>
      <c r="G17" s="305">
        <f>'15.felh.felúj.'!E33</f>
        <v>6322647</v>
      </c>
      <c r="H17" s="308"/>
    </row>
    <row r="18" spans="1:8" s="304" customFormat="1" ht="27" customHeight="1" x14ac:dyDescent="0.2">
      <c r="A18" s="365" t="str">
        <f>'15.felh.felúj.'!B34</f>
        <v>Kültéri fitnesz parkok szabványossági átalakítása</v>
      </c>
      <c r="B18" s="305">
        <f t="shared" si="0"/>
        <v>18524948</v>
      </c>
      <c r="C18" s="1349" t="s">
        <v>704</v>
      </c>
      <c r="D18" s="305"/>
      <c r="E18" s="305">
        <f>'15.felh.felúj.'!C34</f>
        <v>0</v>
      </c>
      <c r="F18" s="305">
        <f>'15.felh.felúj.'!D34</f>
        <v>8524948</v>
      </c>
      <c r="G18" s="305">
        <f>'15.felh.felúj.'!E34</f>
        <v>18524948</v>
      </c>
      <c r="H18" s="308"/>
    </row>
    <row r="19" spans="1:8" s="304" customFormat="1" ht="27" customHeight="1" x14ac:dyDescent="0.2">
      <c r="A19" s="365" t="str">
        <f>'15.felh.felúj.'!B35</f>
        <v>Bartók Béla 2-6. szám alatti lakóépületek északi oldalán található járda felújítása</v>
      </c>
      <c r="B19" s="305">
        <f t="shared" ref="B19" si="3">D19+G19+H19</f>
        <v>14901522</v>
      </c>
      <c r="C19" s="1349" t="s">
        <v>704</v>
      </c>
      <c r="D19" s="305"/>
      <c r="E19" s="305">
        <f>'15.felh.felúj.'!C35</f>
        <v>0</v>
      </c>
      <c r="F19" s="305">
        <f>'15.felh.felúj.'!D35</f>
        <v>12000000</v>
      </c>
      <c r="G19" s="305">
        <f>'15.felh.felúj.'!E35</f>
        <v>14901522</v>
      </c>
      <c r="H19" s="308"/>
    </row>
    <row r="20" spans="1:8" s="304" customFormat="1" ht="27" customHeight="1" x14ac:dyDescent="0.2">
      <c r="A20" s="365" t="str">
        <f>'15.felh.felúj.'!B36</f>
        <v>Tiszaújvárosi Városháza korszerűsítése</v>
      </c>
      <c r="B20" s="305">
        <f>D20+G20+H20</f>
        <v>172803287</v>
      </c>
      <c r="C20" s="1349" t="s">
        <v>704</v>
      </c>
      <c r="D20" s="305"/>
      <c r="E20" s="305">
        <f>'15.felh.felúj.'!C36</f>
        <v>0</v>
      </c>
      <c r="F20" s="305">
        <f>'15.felh.felúj.'!D36</f>
        <v>172803287</v>
      </c>
      <c r="G20" s="305">
        <f>'15.felh.felúj.'!E36</f>
        <v>172803287</v>
      </c>
      <c r="H20" s="308"/>
    </row>
    <row r="21" spans="1:8" s="304" customFormat="1" ht="16.5" customHeight="1" thickBot="1" x14ac:dyDescent="0.25">
      <c r="A21" s="365"/>
      <c r="B21" s="305"/>
      <c r="C21" s="1349"/>
      <c r="D21" s="305"/>
      <c r="E21" s="305"/>
      <c r="F21" s="305"/>
      <c r="G21" s="305"/>
      <c r="H21" s="308"/>
    </row>
    <row r="22" spans="1:8" s="304" customFormat="1" ht="24.95" hidden="1" customHeight="1" x14ac:dyDescent="0.2">
      <c r="A22" s="1353" t="s">
        <v>589</v>
      </c>
      <c r="B22" s="305"/>
      <c r="C22" s="1349"/>
      <c r="D22" s="305"/>
      <c r="E22" s="305"/>
      <c r="F22" s="305"/>
      <c r="G22" s="305"/>
      <c r="H22" s="308"/>
    </row>
    <row r="23" spans="1:8" s="304" customFormat="1" ht="24.95" hidden="1" customHeight="1" x14ac:dyDescent="0.2">
      <c r="A23" s="365"/>
      <c r="B23" s="305">
        <f>D23+G23+H23</f>
        <v>0</v>
      </c>
      <c r="C23" s="1349"/>
      <c r="D23" s="305"/>
      <c r="E23" s="305"/>
      <c r="F23" s="305"/>
      <c r="G23" s="305">
        <f>'15.felh.felúj.'!C48</f>
        <v>0</v>
      </c>
      <c r="H23" s="308"/>
    </row>
    <row r="24" spans="1:8" s="304" customFormat="1" ht="21.95" hidden="1" customHeight="1" x14ac:dyDescent="0.2">
      <c r="A24" s="365"/>
      <c r="B24" s="305"/>
      <c r="C24" s="1349"/>
      <c r="D24" s="305"/>
      <c r="E24" s="305"/>
      <c r="F24" s="305"/>
      <c r="G24" s="305"/>
      <c r="H24" s="308"/>
    </row>
    <row r="25" spans="1:8" s="304" customFormat="1" ht="30.2" hidden="1" customHeight="1" x14ac:dyDescent="0.2">
      <c r="A25" s="1409" t="s">
        <v>419</v>
      </c>
      <c r="B25" s="305">
        <f t="shared" ref="B25:B31" si="4">D25+G25+H25</f>
        <v>0</v>
      </c>
      <c r="C25" s="1349"/>
      <c r="D25" s="305"/>
      <c r="E25" s="305"/>
      <c r="F25" s="305"/>
      <c r="G25" s="305"/>
      <c r="H25" s="308"/>
    </row>
    <row r="26" spans="1:8" s="304" customFormat="1" ht="30.2" hidden="1" customHeight="1" x14ac:dyDescent="0.2">
      <c r="A26" s="1410"/>
      <c r="B26" s="305">
        <f t="shared" si="4"/>
        <v>0</v>
      </c>
      <c r="C26" s="1349"/>
      <c r="D26" s="300"/>
      <c r="E26" s="300"/>
      <c r="F26" s="300"/>
      <c r="G26" s="300">
        <f>'15.felh.felúj.'!C62</f>
        <v>0</v>
      </c>
      <c r="H26" s="308"/>
    </row>
    <row r="27" spans="1:8" s="304" customFormat="1" ht="30.2" hidden="1" customHeight="1" x14ac:dyDescent="0.2">
      <c r="A27" s="829"/>
      <c r="B27" s="305">
        <f t="shared" si="4"/>
        <v>0</v>
      </c>
      <c r="C27" s="1349"/>
      <c r="D27" s="305"/>
      <c r="E27" s="305"/>
      <c r="F27" s="305"/>
      <c r="G27" s="305">
        <f>'15.felh.felúj.'!C63</f>
        <v>0</v>
      </c>
      <c r="H27" s="308"/>
    </row>
    <row r="28" spans="1:8" s="304" customFormat="1" ht="21.95" hidden="1" customHeight="1" x14ac:dyDescent="0.2">
      <c r="A28" s="1410"/>
      <c r="B28" s="305">
        <f t="shared" si="4"/>
        <v>0</v>
      </c>
      <c r="C28" s="1349"/>
      <c r="D28" s="300"/>
      <c r="E28" s="300"/>
      <c r="F28" s="300"/>
      <c r="G28" s="300">
        <f>'15.felh.felúj.'!C64</f>
        <v>0</v>
      </c>
      <c r="H28" s="308"/>
    </row>
    <row r="29" spans="1:8" s="304" customFormat="1" ht="30.2" hidden="1" customHeight="1" x14ac:dyDescent="0.2">
      <c r="A29" s="1409" t="s">
        <v>420</v>
      </c>
      <c r="B29" s="305">
        <f t="shared" si="4"/>
        <v>0</v>
      </c>
      <c r="C29" s="1349"/>
      <c r="D29" s="300"/>
      <c r="E29" s="312"/>
      <c r="F29" s="312"/>
      <c r="G29" s="312"/>
      <c r="H29" s="308"/>
    </row>
    <row r="30" spans="1:8" s="304" customFormat="1" ht="24.95" hidden="1" customHeight="1" x14ac:dyDescent="0.2">
      <c r="A30" s="1411">
        <f>'15.felh.felúj.'!B108</f>
        <v>0</v>
      </c>
      <c r="B30" s="305">
        <f>D30+G30+H30</f>
        <v>0</v>
      </c>
      <c r="C30" s="1349"/>
      <c r="D30" s="300"/>
      <c r="E30" s="300"/>
      <c r="F30" s="300"/>
      <c r="G30" s="305">
        <f>'15.felh.felúj.'!C108</f>
        <v>0</v>
      </c>
      <c r="H30" s="308"/>
    </row>
    <row r="31" spans="1:8" s="304" customFormat="1" ht="21.95" hidden="1" customHeight="1" thickBot="1" x14ac:dyDescent="0.25">
      <c r="A31" s="1412"/>
      <c r="B31" s="305">
        <f t="shared" si="4"/>
        <v>0</v>
      </c>
      <c r="C31" s="1349"/>
      <c r="D31" s="305"/>
      <c r="E31" s="305"/>
      <c r="F31" s="305"/>
      <c r="G31" s="305"/>
      <c r="H31" s="308"/>
    </row>
    <row r="32" spans="1:8" s="203" customFormat="1" ht="30" customHeight="1" thickBot="1" x14ac:dyDescent="0.25">
      <c r="A32" s="302" t="s">
        <v>415</v>
      </c>
      <c r="B32" s="303">
        <f>SUM(B9:B31)</f>
        <v>666981321</v>
      </c>
      <c r="C32" s="1352"/>
      <c r="D32" s="303">
        <f>SUM(D8:D31)</f>
        <v>13817600</v>
      </c>
      <c r="E32" s="303">
        <f t="shared" ref="E32:H32" si="5">SUM(E8:E31)</f>
        <v>428020591</v>
      </c>
      <c r="F32" s="303">
        <f t="shared" si="5"/>
        <v>642682133</v>
      </c>
      <c r="G32" s="303">
        <f t="shared" si="5"/>
        <v>653163721</v>
      </c>
      <c r="H32" s="1408">
        <f t="shared" si="5"/>
        <v>0</v>
      </c>
    </row>
    <row r="33" spans="5:8" x14ac:dyDescent="0.2">
      <c r="H33" s="537" t="s">
        <v>734</v>
      </c>
    </row>
    <row r="35" spans="5:8" x14ac:dyDescent="0.2">
      <c r="E35" s="18">
        <f>'15.felh.felúj.'!C24</f>
        <v>428020591</v>
      </c>
      <c r="F35" s="18">
        <f>'15.felh.felúj.'!D24</f>
        <v>642682133</v>
      </c>
      <c r="G35" s="18">
        <f>'15.felh.felúj.'!E24</f>
        <v>653163721</v>
      </c>
      <c r="H35" s="18">
        <f>'15.felh.felúj.'!F24</f>
        <v>653163721</v>
      </c>
    </row>
    <row r="37" spans="5:8" x14ac:dyDescent="0.2">
      <c r="E37" s="18" t="b">
        <f>E35=E32</f>
        <v>1</v>
      </c>
      <c r="F37" s="18" t="b">
        <f t="shared" ref="F37:H37" si="6">F35=F32</f>
        <v>1</v>
      </c>
      <c r="G37" s="18" t="b">
        <f t="shared" si="6"/>
        <v>1</v>
      </c>
      <c r="H37" s="18" t="b">
        <f t="shared" si="6"/>
        <v>0</v>
      </c>
    </row>
  </sheetData>
  <mergeCells count="3">
    <mergeCell ref="A4:H4"/>
    <mergeCell ref="A2:H2"/>
    <mergeCell ref="A1:H1"/>
  </mergeCells>
  <printOptions horizontalCentered="1"/>
  <pageMargins left="0.70866141732283472" right="0.70866141732283472" top="0.78740157480314965" bottom="0.59055118110236227" header="0.70866141732283472" footer="0.31496062992125984"/>
  <pageSetup paperSize="9" scale="82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view="pageBreakPreview" zoomScale="96" zoomScaleNormal="100" zoomScaleSheetLayoutView="96" workbookViewId="0">
      <selection activeCell="H22" sqref="H22"/>
    </sheetView>
  </sheetViews>
  <sheetFormatPr defaultRowHeight="15" x14ac:dyDescent="0.25"/>
  <cols>
    <col min="1" max="1" width="9.33203125" style="204"/>
    <col min="2" max="2" width="48" style="204" bestFit="1" customWidth="1"/>
    <col min="3" max="6" width="15.83203125" style="204" customWidth="1"/>
    <col min="7" max="7" width="24.33203125" style="204" customWidth="1"/>
    <col min="8" max="12" width="15.83203125" style="204" customWidth="1"/>
    <col min="13" max="256" width="9.33203125" style="204"/>
    <col min="257" max="257" width="5.6640625" style="204" customWidth="1"/>
    <col min="258" max="258" width="44.6640625" style="204" customWidth="1"/>
    <col min="259" max="262" width="14" style="204" customWidth="1"/>
    <col min="263" max="263" width="15.83203125" style="204" customWidth="1"/>
    <col min="264" max="512" width="9.33203125" style="204"/>
    <col min="513" max="513" width="5.6640625" style="204" customWidth="1"/>
    <col min="514" max="514" width="44.6640625" style="204" customWidth="1"/>
    <col min="515" max="518" width="14" style="204" customWidth="1"/>
    <col min="519" max="519" width="15.83203125" style="204" customWidth="1"/>
    <col min="520" max="768" width="9.33203125" style="204"/>
    <col min="769" max="769" width="5.6640625" style="204" customWidth="1"/>
    <col min="770" max="770" width="44.6640625" style="204" customWidth="1"/>
    <col min="771" max="774" width="14" style="204" customWidth="1"/>
    <col min="775" max="775" width="15.83203125" style="204" customWidth="1"/>
    <col min="776" max="1024" width="9.33203125" style="204"/>
    <col min="1025" max="1025" width="5.6640625" style="204" customWidth="1"/>
    <col min="1026" max="1026" width="44.6640625" style="204" customWidth="1"/>
    <col min="1027" max="1030" width="14" style="204" customWidth="1"/>
    <col min="1031" max="1031" width="15.83203125" style="204" customWidth="1"/>
    <col min="1032" max="1280" width="9.33203125" style="204"/>
    <col min="1281" max="1281" width="5.6640625" style="204" customWidth="1"/>
    <col min="1282" max="1282" width="44.6640625" style="204" customWidth="1"/>
    <col min="1283" max="1286" width="14" style="204" customWidth="1"/>
    <col min="1287" max="1287" width="15.83203125" style="204" customWidth="1"/>
    <col min="1288" max="1536" width="9.33203125" style="204"/>
    <col min="1537" max="1537" width="5.6640625" style="204" customWidth="1"/>
    <col min="1538" max="1538" width="44.6640625" style="204" customWidth="1"/>
    <col min="1539" max="1542" width="14" style="204" customWidth="1"/>
    <col min="1543" max="1543" width="15.83203125" style="204" customWidth="1"/>
    <col min="1544" max="1792" width="9.33203125" style="204"/>
    <col min="1793" max="1793" width="5.6640625" style="204" customWidth="1"/>
    <col min="1794" max="1794" width="44.6640625" style="204" customWidth="1"/>
    <col min="1795" max="1798" width="14" style="204" customWidth="1"/>
    <col min="1799" max="1799" width="15.83203125" style="204" customWidth="1"/>
    <col min="1800" max="2048" width="9.33203125" style="204"/>
    <col min="2049" max="2049" width="5.6640625" style="204" customWidth="1"/>
    <col min="2050" max="2050" width="44.6640625" style="204" customWidth="1"/>
    <col min="2051" max="2054" width="14" style="204" customWidth="1"/>
    <col min="2055" max="2055" width="15.83203125" style="204" customWidth="1"/>
    <col min="2056" max="2304" width="9.33203125" style="204"/>
    <col min="2305" max="2305" width="5.6640625" style="204" customWidth="1"/>
    <col min="2306" max="2306" width="44.6640625" style="204" customWidth="1"/>
    <col min="2307" max="2310" width="14" style="204" customWidth="1"/>
    <col min="2311" max="2311" width="15.83203125" style="204" customWidth="1"/>
    <col min="2312" max="2560" width="9.33203125" style="204"/>
    <col min="2561" max="2561" width="5.6640625" style="204" customWidth="1"/>
    <col min="2562" max="2562" width="44.6640625" style="204" customWidth="1"/>
    <col min="2563" max="2566" width="14" style="204" customWidth="1"/>
    <col min="2567" max="2567" width="15.83203125" style="204" customWidth="1"/>
    <col min="2568" max="2816" width="9.33203125" style="204"/>
    <col min="2817" max="2817" width="5.6640625" style="204" customWidth="1"/>
    <col min="2818" max="2818" width="44.6640625" style="204" customWidth="1"/>
    <col min="2819" max="2822" width="14" style="204" customWidth="1"/>
    <col min="2823" max="2823" width="15.83203125" style="204" customWidth="1"/>
    <col min="2824" max="3072" width="9.33203125" style="204"/>
    <col min="3073" max="3073" width="5.6640625" style="204" customWidth="1"/>
    <col min="3074" max="3074" width="44.6640625" style="204" customWidth="1"/>
    <col min="3075" max="3078" width="14" style="204" customWidth="1"/>
    <col min="3079" max="3079" width="15.83203125" style="204" customWidth="1"/>
    <col min="3080" max="3328" width="9.33203125" style="204"/>
    <col min="3329" max="3329" width="5.6640625" style="204" customWidth="1"/>
    <col min="3330" max="3330" width="44.6640625" style="204" customWidth="1"/>
    <col min="3331" max="3334" width="14" style="204" customWidth="1"/>
    <col min="3335" max="3335" width="15.83203125" style="204" customWidth="1"/>
    <col min="3336" max="3584" width="9.33203125" style="204"/>
    <col min="3585" max="3585" width="5.6640625" style="204" customWidth="1"/>
    <col min="3586" max="3586" width="44.6640625" style="204" customWidth="1"/>
    <col min="3587" max="3590" width="14" style="204" customWidth="1"/>
    <col min="3591" max="3591" width="15.83203125" style="204" customWidth="1"/>
    <col min="3592" max="3840" width="9.33203125" style="204"/>
    <col min="3841" max="3841" width="5.6640625" style="204" customWidth="1"/>
    <col min="3842" max="3842" width="44.6640625" style="204" customWidth="1"/>
    <col min="3843" max="3846" width="14" style="204" customWidth="1"/>
    <col min="3847" max="3847" width="15.83203125" style="204" customWidth="1"/>
    <col min="3848" max="4096" width="9.33203125" style="204"/>
    <col min="4097" max="4097" width="5.6640625" style="204" customWidth="1"/>
    <col min="4098" max="4098" width="44.6640625" style="204" customWidth="1"/>
    <col min="4099" max="4102" width="14" style="204" customWidth="1"/>
    <col min="4103" max="4103" width="15.83203125" style="204" customWidth="1"/>
    <col min="4104" max="4352" width="9.33203125" style="204"/>
    <col min="4353" max="4353" width="5.6640625" style="204" customWidth="1"/>
    <col min="4354" max="4354" width="44.6640625" style="204" customWidth="1"/>
    <col min="4355" max="4358" width="14" style="204" customWidth="1"/>
    <col min="4359" max="4359" width="15.83203125" style="204" customWidth="1"/>
    <col min="4360" max="4608" width="9.33203125" style="204"/>
    <col min="4609" max="4609" width="5.6640625" style="204" customWidth="1"/>
    <col min="4610" max="4610" width="44.6640625" style="204" customWidth="1"/>
    <col min="4611" max="4614" width="14" style="204" customWidth="1"/>
    <col min="4615" max="4615" width="15.83203125" style="204" customWidth="1"/>
    <col min="4616" max="4864" width="9.33203125" style="204"/>
    <col min="4865" max="4865" width="5.6640625" style="204" customWidth="1"/>
    <col min="4866" max="4866" width="44.6640625" style="204" customWidth="1"/>
    <col min="4867" max="4870" width="14" style="204" customWidth="1"/>
    <col min="4871" max="4871" width="15.83203125" style="204" customWidth="1"/>
    <col min="4872" max="5120" width="9.33203125" style="204"/>
    <col min="5121" max="5121" width="5.6640625" style="204" customWidth="1"/>
    <col min="5122" max="5122" width="44.6640625" style="204" customWidth="1"/>
    <col min="5123" max="5126" width="14" style="204" customWidth="1"/>
    <col min="5127" max="5127" width="15.83203125" style="204" customWidth="1"/>
    <col min="5128" max="5376" width="9.33203125" style="204"/>
    <col min="5377" max="5377" width="5.6640625" style="204" customWidth="1"/>
    <col min="5378" max="5378" width="44.6640625" style="204" customWidth="1"/>
    <col min="5379" max="5382" width="14" style="204" customWidth="1"/>
    <col min="5383" max="5383" width="15.83203125" style="204" customWidth="1"/>
    <col min="5384" max="5632" width="9.33203125" style="204"/>
    <col min="5633" max="5633" width="5.6640625" style="204" customWidth="1"/>
    <col min="5634" max="5634" width="44.6640625" style="204" customWidth="1"/>
    <col min="5635" max="5638" width="14" style="204" customWidth="1"/>
    <col min="5639" max="5639" width="15.83203125" style="204" customWidth="1"/>
    <col min="5640" max="5888" width="9.33203125" style="204"/>
    <col min="5889" max="5889" width="5.6640625" style="204" customWidth="1"/>
    <col min="5890" max="5890" width="44.6640625" style="204" customWidth="1"/>
    <col min="5891" max="5894" width="14" style="204" customWidth="1"/>
    <col min="5895" max="5895" width="15.83203125" style="204" customWidth="1"/>
    <col min="5896" max="6144" width="9.33203125" style="204"/>
    <col min="6145" max="6145" width="5.6640625" style="204" customWidth="1"/>
    <col min="6146" max="6146" width="44.6640625" style="204" customWidth="1"/>
    <col min="6147" max="6150" width="14" style="204" customWidth="1"/>
    <col min="6151" max="6151" width="15.83203125" style="204" customWidth="1"/>
    <col min="6152" max="6400" width="9.33203125" style="204"/>
    <col min="6401" max="6401" width="5.6640625" style="204" customWidth="1"/>
    <col min="6402" max="6402" width="44.6640625" style="204" customWidth="1"/>
    <col min="6403" max="6406" width="14" style="204" customWidth="1"/>
    <col min="6407" max="6407" width="15.83203125" style="204" customWidth="1"/>
    <col min="6408" max="6656" width="9.33203125" style="204"/>
    <col min="6657" max="6657" width="5.6640625" style="204" customWidth="1"/>
    <col min="6658" max="6658" width="44.6640625" style="204" customWidth="1"/>
    <col min="6659" max="6662" width="14" style="204" customWidth="1"/>
    <col min="6663" max="6663" width="15.83203125" style="204" customWidth="1"/>
    <col min="6664" max="6912" width="9.33203125" style="204"/>
    <col min="6913" max="6913" width="5.6640625" style="204" customWidth="1"/>
    <col min="6914" max="6914" width="44.6640625" style="204" customWidth="1"/>
    <col min="6915" max="6918" width="14" style="204" customWidth="1"/>
    <col min="6919" max="6919" width="15.83203125" style="204" customWidth="1"/>
    <col min="6920" max="7168" width="9.33203125" style="204"/>
    <col min="7169" max="7169" width="5.6640625" style="204" customWidth="1"/>
    <col min="7170" max="7170" width="44.6640625" style="204" customWidth="1"/>
    <col min="7171" max="7174" width="14" style="204" customWidth="1"/>
    <col min="7175" max="7175" width="15.83203125" style="204" customWidth="1"/>
    <col min="7176" max="7424" width="9.33203125" style="204"/>
    <col min="7425" max="7425" width="5.6640625" style="204" customWidth="1"/>
    <col min="7426" max="7426" width="44.6640625" style="204" customWidth="1"/>
    <col min="7427" max="7430" width="14" style="204" customWidth="1"/>
    <col min="7431" max="7431" width="15.83203125" style="204" customWidth="1"/>
    <col min="7432" max="7680" width="9.33203125" style="204"/>
    <col min="7681" max="7681" width="5.6640625" style="204" customWidth="1"/>
    <col min="7682" max="7682" width="44.6640625" style="204" customWidth="1"/>
    <col min="7683" max="7686" width="14" style="204" customWidth="1"/>
    <col min="7687" max="7687" width="15.83203125" style="204" customWidth="1"/>
    <col min="7688" max="7936" width="9.33203125" style="204"/>
    <col min="7937" max="7937" width="5.6640625" style="204" customWidth="1"/>
    <col min="7938" max="7938" width="44.6640625" style="204" customWidth="1"/>
    <col min="7939" max="7942" width="14" style="204" customWidth="1"/>
    <col min="7943" max="7943" width="15.83203125" style="204" customWidth="1"/>
    <col min="7944" max="8192" width="9.33203125" style="204"/>
    <col min="8193" max="8193" width="5.6640625" style="204" customWidth="1"/>
    <col min="8194" max="8194" width="44.6640625" style="204" customWidth="1"/>
    <col min="8195" max="8198" width="14" style="204" customWidth="1"/>
    <col min="8199" max="8199" width="15.83203125" style="204" customWidth="1"/>
    <col min="8200" max="8448" width="9.33203125" style="204"/>
    <col min="8449" max="8449" width="5.6640625" style="204" customWidth="1"/>
    <col min="8450" max="8450" width="44.6640625" style="204" customWidth="1"/>
    <col min="8451" max="8454" width="14" style="204" customWidth="1"/>
    <col min="8455" max="8455" width="15.83203125" style="204" customWidth="1"/>
    <col min="8456" max="8704" width="9.33203125" style="204"/>
    <col min="8705" max="8705" width="5.6640625" style="204" customWidth="1"/>
    <col min="8706" max="8706" width="44.6640625" style="204" customWidth="1"/>
    <col min="8707" max="8710" width="14" style="204" customWidth="1"/>
    <col min="8711" max="8711" width="15.83203125" style="204" customWidth="1"/>
    <col min="8712" max="8960" width="9.33203125" style="204"/>
    <col min="8961" max="8961" width="5.6640625" style="204" customWidth="1"/>
    <col min="8962" max="8962" width="44.6640625" style="204" customWidth="1"/>
    <col min="8963" max="8966" width="14" style="204" customWidth="1"/>
    <col min="8967" max="8967" width="15.83203125" style="204" customWidth="1"/>
    <col min="8968" max="9216" width="9.33203125" style="204"/>
    <col min="9217" max="9217" width="5.6640625" style="204" customWidth="1"/>
    <col min="9218" max="9218" width="44.6640625" style="204" customWidth="1"/>
    <col min="9219" max="9222" width="14" style="204" customWidth="1"/>
    <col min="9223" max="9223" width="15.83203125" style="204" customWidth="1"/>
    <col min="9224" max="9472" width="9.33203125" style="204"/>
    <col min="9473" max="9473" width="5.6640625" style="204" customWidth="1"/>
    <col min="9474" max="9474" width="44.6640625" style="204" customWidth="1"/>
    <col min="9475" max="9478" width="14" style="204" customWidth="1"/>
    <col min="9479" max="9479" width="15.83203125" style="204" customWidth="1"/>
    <col min="9480" max="9728" width="9.33203125" style="204"/>
    <col min="9729" max="9729" width="5.6640625" style="204" customWidth="1"/>
    <col min="9730" max="9730" width="44.6640625" style="204" customWidth="1"/>
    <col min="9731" max="9734" width="14" style="204" customWidth="1"/>
    <col min="9735" max="9735" width="15.83203125" style="204" customWidth="1"/>
    <col min="9736" max="9984" width="9.33203125" style="204"/>
    <col min="9985" max="9985" width="5.6640625" style="204" customWidth="1"/>
    <col min="9986" max="9986" width="44.6640625" style="204" customWidth="1"/>
    <col min="9987" max="9990" width="14" style="204" customWidth="1"/>
    <col min="9991" max="9991" width="15.83203125" style="204" customWidth="1"/>
    <col min="9992" max="10240" width="9.33203125" style="204"/>
    <col min="10241" max="10241" width="5.6640625" style="204" customWidth="1"/>
    <col min="10242" max="10242" width="44.6640625" style="204" customWidth="1"/>
    <col min="10243" max="10246" width="14" style="204" customWidth="1"/>
    <col min="10247" max="10247" width="15.83203125" style="204" customWidth="1"/>
    <col min="10248" max="10496" width="9.33203125" style="204"/>
    <col min="10497" max="10497" width="5.6640625" style="204" customWidth="1"/>
    <col min="10498" max="10498" width="44.6640625" style="204" customWidth="1"/>
    <col min="10499" max="10502" width="14" style="204" customWidth="1"/>
    <col min="10503" max="10503" width="15.83203125" style="204" customWidth="1"/>
    <col min="10504" max="10752" width="9.33203125" style="204"/>
    <col min="10753" max="10753" width="5.6640625" style="204" customWidth="1"/>
    <col min="10754" max="10754" width="44.6640625" style="204" customWidth="1"/>
    <col min="10755" max="10758" width="14" style="204" customWidth="1"/>
    <col min="10759" max="10759" width="15.83203125" style="204" customWidth="1"/>
    <col min="10760" max="11008" width="9.33203125" style="204"/>
    <col min="11009" max="11009" width="5.6640625" style="204" customWidth="1"/>
    <col min="11010" max="11010" width="44.6640625" style="204" customWidth="1"/>
    <col min="11011" max="11014" width="14" style="204" customWidth="1"/>
    <col min="11015" max="11015" width="15.83203125" style="204" customWidth="1"/>
    <col min="11016" max="11264" width="9.33203125" style="204"/>
    <col min="11265" max="11265" width="5.6640625" style="204" customWidth="1"/>
    <col min="11266" max="11266" width="44.6640625" style="204" customWidth="1"/>
    <col min="11267" max="11270" width="14" style="204" customWidth="1"/>
    <col min="11271" max="11271" width="15.83203125" style="204" customWidth="1"/>
    <col min="11272" max="11520" width="9.33203125" style="204"/>
    <col min="11521" max="11521" width="5.6640625" style="204" customWidth="1"/>
    <col min="11522" max="11522" width="44.6640625" style="204" customWidth="1"/>
    <col min="11523" max="11526" width="14" style="204" customWidth="1"/>
    <col min="11527" max="11527" width="15.83203125" style="204" customWidth="1"/>
    <col min="11528" max="11776" width="9.33203125" style="204"/>
    <col min="11777" max="11777" width="5.6640625" style="204" customWidth="1"/>
    <col min="11778" max="11778" width="44.6640625" style="204" customWidth="1"/>
    <col min="11779" max="11782" width="14" style="204" customWidth="1"/>
    <col min="11783" max="11783" width="15.83203125" style="204" customWidth="1"/>
    <col min="11784" max="12032" width="9.33203125" style="204"/>
    <col min="12033" max="12033" width="5.6640625" style="204" customWidth="1"/>
    <col min="12034" max="12034" width="44.6640625" style="204" customWidth="1"/>
    <col min="12035" max="12038" width="14" style="204" customWidth="1"/>
    <col min="12039" max="12039" width="15.83203125" style="204" customWidth="1"/>
    <col min="12040" max="12288" width="9.33203125" style="204"/>
    <col min="12289" max="12289" width="5.6640625" style="204" customWidth="1"/>
    <col min="12290" max="12290" width="44.6640625" style="204" customWidth="1"/>
    <col min="12291" max="12294" width="14" style="204" customWidth="1"/>
    <col min="12295" max="12295" width="15.83203125" style="204" customWidth="1"/>
    <col min="12296" max="12544" width="9.33203125" style="204"/>
    <col min="12545" max="12545" width="5.6640625" style="204" customWidth="1"/>
    <col min="12546" max="12546" width="44.6640625" style="204" customWidth="1"/>
    <col min="12547" max="12550" width="14" style="204" customWidth="1"/>
    <col min="12551" max="12551" width="15.83203125" style="204" customWidth="1"/>
    <col min="12552" max="12800" width="9.33203125" style="204"/>
    <col min="12801" max="12801" width="5.6640625" style="204" customWidth="1"/>
    <col min="12802" max="12802" width="44.6640625" style="204" customWidth="1"/>
    <col min="12803" max="12806" width="14" style="204" customWidth="1"/>
    <col min="12807" max="12807" width="15.83203125" style="204" customWidth="1"/>
    <col min="12808" max="13056" width="9.33203125" style="204"/>
    <col min="13057" max="13057" width="5.6640625" style="204" customWidth="1"/>
    <col min="13058" max="13058" width="44.6640625" style="204" customWidth="1"/>
    <col min="13059" max="13062" width="14" style="204" customWidth="1"/>
    <col min="13063" max="13063" width="15.83203125" style="204" customWidth="1"/>
    <col min="13064" max="13312" width="9.33203125" style="204"/>
    <col min="13313" max="13313" width="5.6640625" style="204" customWidth="1"/>
    <col min="13314" max="13314" width="44.6640625" style="204" customWidth="1"/>
    <col min="13315" max="13318" width="14" style="204" customWidth="1"/>
    <col min="13319" max="13319" width="15.83203125" style="204" customWidth="1"/>
    <col min="13320" max="13568" width="9.33203125" style="204"/>
    <col min="13569" max="13569" width="5.6640625" style="204" customWidth="1"/>
    <col min="13570" max="13570" width="44.6640625" style="204" customWidth="1"/>
    <col min="13571" max="13574" width="14" style="204" customWidth="1"/>
    <col min="13575" max="13575" width="15.83203125" style="204" customWidth="1"/>
    <col min="13576" max="13824" width="9.33203125" style="204"/>
    <col min="13825" max="13825" width="5.6640625" style="204" customWidth="1"/>
    <col min="13826" max="13826" width="44.6640625" style="204" customWidth="1"/>
    <col min="13827" max="13830" width="14" style="204" customWidth="1"/>
    <col min="13831" max="13831" width="15.83203125" style="204" customWidth="1"/>
    <col min="13832" max="14080" width="9.33203125" style="204"/>
    <col min="14081" max="14081" width="5.6640625" style="204" customWidth="1"/>
    <col min="14082" max="14082" width="44.6640625" style="204" customWidth="1"/>
    <col min="14083" max="14086" width="14" style="204" customWidth="1"/>
    <col min="14087" max="14087" width="15.83203125" style="204" customWidth="1"/>
    <col min="14088" max="14336" width="9.33203125" style="204"/>
    <col min="14337" max="14337" width="5.6640625" style="204" customWidth="1"/>
    <col min="14338" max="14338" width="44.6640625" style="204" customWidth="1"/>
    <col min="14339" max="14342" width="14" style="204" customWidth="1"/>
    <col min="14343" max="14343" width="15.83203125" style="204" customWidth="1"/>
    <col min="14344" max="14592" width="9.33203125" style="204"/>
    <col min="14593" max="14593" width="5.6640625" style="204" customWidth="1"/>
    <col min="14594" max="14594" width="44.6640625" style="204" customWidth="1"/>
    <col min="14595" max="14598" width="14" style="204" customWidth="1"/>
    <col min="14599" max="14599" width="15.83203125" style="204" customWidth="1"/>
    <col min="14600" max="14848" width="9.33203125" style="204"/>
    <col min="14849" max="14849" width="5.6640625" style="204" customWidth="1"/>
    <col min="14850" max="14850" width="44.6640625" style="204" customWidth="1"/>
    <col min="14851" max="14854" width="14" style="204" customWidth="1"/>
    <col min="14855" max="14855" width="15.83203125" style="204" customWidth="1"/>
    <col min="14856" max="15104" width="9.33203125" style="204"/>
    <col min="15105" max="15105" width="5.6640625" style="204" customWidth="1"/>
    <col min="15106" max="15106" width="44.6640625" style="204" customWidth="1"/>
    <col min="15107" max="15110" width="14" style="204" customWidth="1"/>
    <col min="15111" max="15111" width="15.83203125" style="204" customWidth="1"/>
    <col min="15112" max="15360" width="9.33203125" style="204"/>
    <col min="15361" max="15361" width="5.6640625" style="204" customWidth="1"/>
    <col min="15362" max="15362" width="44.6640625" style="204" customWidth="1"/>
    <col min="15363" max="15366" width="14" style="204" customWidth="1"/>
    <col min="15367" max="15367" width="15.83203125" style="204" customWidth="1"/>
    <col min="15368" max="15616" width="9.33203125" style="204"/>
    <col min="15617" max="15617" width="5.6640625" style="204" customWidth="1"/>
    <col min="15618" max="15618" width="44.6640625" style="204" customWidth="1"/>
    <col min="15619" max="15622" width="14" style="204" customWidth="1"/>
    <col min="15623" max="15623" width="15.83203125" style="204" customWidth="1"/>
    <col min="15624" max="15872" width="9.33203125" style="204"/>
    <col min="15873" max="15873" width="5.6640625" style="204" customWidth="1"/>
    <col min="15874" max="15874" width="44.6640625" style="204" customWidth="1"/>
    <col min="15875" max="15878" width="14" style="204" customWidth="1"/>
    <col min="15879" max="15879" width="15.83203125" style="204" customWidth="1"/>
    <col min="15880" max="16128" width="9.33203125" style="204"/>
    <col min="16129" max="16129" width="5.6640625" style="204" customWidth="1"/>
    <col min="16130" max="16130" width="44.6640625" style="204" customWidth="1"/>
    <col min="16131" max="16134" width="14" style="204" customWidth="1"/>
    <col min="16135" max="16135" width="15.83203125" style="204" customWidth="1"/>
    <col min="16136" max="16384" width="9.33203125" style="204"/>
  </cols>
  <sheetData>
    <row r="1" spans="1:13" x14ac:dyDescent="0.25">
      <c r="A1" s="1835" t="s">
        <v>719</v>
      </c>
      <c r="B1" s="1835"/>
      <c r="C1" s="1835"/>
      <c r="D1" s="1835"/>
      <c r="E1" s="1835"/>
      <c r="F1" s="1835"/>
      <c r="G1" s="1835"/>
      <c r="H1" s="536"/>
      <c r="I1" s="536"/>
      <c r="J1" s="536"/>
      <c r="K1" s="536"/>
      <c r="L1" s="536"/>
    </row>
    <row r="2" spans="1:13" ht="36.75" customHeight="1" x14ac:dyDescent="0.25">
      <c r="A2" s="1773"/>
      <c r="B2" s="1773"/>
      <c r="C2" s="1773"/>
      <c r="D2" s="1773"/>
      <c r="E2" s="1773"/>
      <c r="F2" s="1773"/>
      <c r="G2" s="1773"/>
      <c r="H2" s="1773"/>
      <c r="I2" s="1773"/>
      <c r="J2" s="1773"/>
      <c r="K2" s="1773"/>
      <c r="L2" s="1773"/>
    </row>
    <row r="3" spans="1:13" ht="53.45" customHeight="1" x14ac:dyDescent="0.25">
      <c r="A3" s="1836" t="s">
        <v>624</v>
      </c>
      <c r="B3" s="1836"/>
      <c r="C3" s="1836"/>
      <c r="D3" s="1836"/>
      <c r="E3" s="1836"/>
      <c r="F3" s="1836"/>
      <c r="G3" s="1836"/>
      <c r="H3" s="367"/>
      <c r="I3" s="367"/>
      <c r="J3" s="367"/>
      <c r="K3" s="367"/>
      <c r="L3" s="367"/>
      <c r="M3" s="367"/>
    </row>
    <row r="4" spans="1:13" ht="33" customHeight="1" x14ac:dyDescent="0.25">
      <c r="B4" s="205"/>
      <c r="C4" s="205"/>
      <c r="D4" s="205"/>
      <c r="E4" s="205"/>
      <c r="F4" s="205"/>
      <c r="G4" s="205"/>
      <c r="H4" s="205"/>
    </row>
    <row r="7" spans="1:13" ht="15.75" thickBot="1" x14ac:dyDescent="0.3">
      <c r="A7" s="206"/>
      <c r="B7" s="206"/>
      <c r="C7" s="206"/>
      <c r="D7" s="1837"/>
      <c r="E7" s="1837"/>
      <c r="F7" s="1838" t="s">
        <v>362</v>
      </c>
      <c r="G7" s="1838"/>
    </row>
    <row r="8" spans="1:13" s="695" customFormat="1" ht="16.5" x14ac:dyDescent="0.25">
      <c r="A8" s="1839" t="s">
        <v>421</v>
      </c>
      <c r="B8" s="1841" t="s">
        <v>422</v>
      </c>
      <c r="C8" s="1832" t="s">
        <v>423</v>
      </c>
      <c r="D8" s="1833"/>
      <c r="E8" s="1833"/>
      <c r="F8" s="1834"/>
      <c r="G8" s="1843" t="s">
        <v>641</v>
      </c>
    </row>
    <row r="9" spans="1:13" s="695" customFormat="1" ht="17.25" thickBot="1" x14ac:dyDescent="0.3">
      <c r="A9" s="1840"/>
      <c r="B9" s="1842"/>
      <c r="C9" s="722" t="s">
        <v>509</v>
      </c>
      <c r="D9" s="696" t="s">
        <v>630</v>
      </c>
      <c r="E9" s="696" t="s">
        <v>637</v>
      </c>
      <c r="F9" s="696" t="s">
        <v>679</v>
      </c>
      <c r="G9" s="1844"/>
    </row>
    <row r="10" spans="1:13" s="695" customFormat="1" ht="17.25" thickBot="1" x14ac:dyDescent="0.3">
      <c r="A10" s="697"/>
      <c r="B10" s="698" t="s">
        <v>297</v>
      </c>
      <c r="C10" s="698" t="s">
        <v>298</v>
      </c>
      <c r="D10" s="698" t="s">
        <v>299</v>
      </c>
      <c r="E10" s="698" t="s">
        <v>300</v>
      </c>
      <c r="F10" s="698" t="s">
        <v>301</v>
      </c>
      <c r="G10" s="699" t="s">
        <v>388</v>
      </c>
    </row>
    <row r="11" spans="1:13" s="695" customFormat="1" ht="16.5" x14ac:dyDescent="0.25">
      <c r="A11" s="700" t="s">
        <v>12</v>
      </c>
      <c r="B11" s="701"/>
      <c r="C11" s="701"/>
      <c r="D11" s="702"/>
      <c r="E11" s="702"/>
      <c r="F11" s="702"/>
      <c r="G11" s="703">
        <f>SUM(C11:F11)</f>
        <v>0</v>
      </c>
    </row>
    <row r="12" spans="1:13" s="695" customFormat="1" ht="16.5" x14ac:dyDescent="0.25">
      <c r="A12" s="704" t="s">
        <v>13</v>
      </c>
      <c r="B12" s="705"/>
      <c r="C12" s="705"/>
      <c r="D12" s="706"/>
      <c r="E12" s="706"/>
      <c r="F12" s="706"/>
      <c r="G12" s="703">
        <f t="shared" ref="G12:G15" si="0">SUM(C12:F12)</f>
        <v>0</v>
      </c>
    </row>
    <row r="13" spans="1:13" s="695" customFormat="1" ht="16.5" x14ac:dyDescent="0.25">
      <c r="A13" s="704" t="s">
        <v>14</v>
      </c>
      <c r="B13" s="705"/>
      <c r="C13" s="705"/>
      <c r="D13" s="706"/>
      <c r="E13" s="706"/>
      <c r="F13" s="706"/>
      <c r="G13" s="703">
        <f t="shared" si="0"/>
        <v>0</v>
      </c>
    </row>
    <row r="14" spans="1:13" s="695" customFormat="1" ht="16.5" x14ac:dyDescent="0.25">
      <c r="A14" s="704" t="s">
        <v>15</v>
      </c>
      <c r="B14" s="705"/>
      <c r="C14" s="705"/>
      <c r="D14" s="706"/>
      <c r="E14" s="706"/>
      <c r="F14" s="706"/>
      <c r="G14" s="703">
        <f t="shared" si="0"/>
        <v>0</v>
      </c>
    </row>
    <row r="15" spans="1:13" s="695" customFormat="1" ht="17.25" thickBot="1" x14ac:dyDescent="0.3">
      <c r="A15" s="707" t="s">
        <v>16</v>
      </c>
      <c r="B15" s="708"/>
      <c r="C15" s="708"/>
      <c r="D15" s="709"/>
      <c r="E15" s="709"/>
      <c r="F15" s="709"/>
      <c r="G15" s="703">
        <f t="shared" si="0"/>
        <v>0</v>
      </c>
    </row>
    <row r="16" spans="1:13" s="695" customFormat="1" ht="17.25" thickBot="1" x14ac:dyDescent="0.3">
      <c r="A16" s="710" t="s">
        <v>17</v>
      </c>
      <c r="B16" s="711" t="s">
        <v>425</v>
      </c>
      <c r="C16" s="980" t="s">
        <v>714</v>
      </c>
      <c r="D16" s="712">
        <f>SUM(D11:D15)</f>
        <v>0</v>
      </c>
      <c r="E16" s="712">
        <f>SUM(E11:E15)</f>
        <v>0</v>
      </c>
      <c r="F16" s="712">
        <f>SUM(F11:F15)</f>
        <v>0</v>
      </c>
      <c r="G16" s="713">
        <f>SUM(G11:G15)</f>
        <v>0</v>
      </c>
    </row>
    <row r="17" s="695" customFormat="1" ht="16.5" x14ac:dyDescent="0.25"/>
    <row r="18" s="695" customFormat="1" ht="16.5" x14ac:dyDescent="0.25"/>
  </sheetData>
  <mergeCells count="9">
    <mergeCell ref="A2:L2"/>
    <mergeCell ref="C8:F8"/>
    <mergeCell ref="A1:G1"/>
    <mergeCell ref="A3:G3"/>
    <mergeCell ref="D7:E7"/>
    <mergeCell ref="F7:G7"/>
    <mergeCell ref="A8:A9"/>
    <mergeCell ref="B8:B9"/>
    <mergeCell ref="G8:G9"/>
  </mergeCells>
  <printOptions horizontalCentered="1"/>
  <pageMargins left="0.70866141732283472" right="0.51181102362204722" top="0.78740157480314965" bottom="0.74803149606299213" header="0.31496062992125984" footer="0.31496062992125984"/>
  <pageSetup paperSize="9" scale="9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"/>
  <sheetViews>
    <sheetView tabSelected="1" view="pageBreakPreview" zoomScale="124" zoomScaleNormal="130" zoomScaleSheetLayoutView="124" workbookViewId="0">
      <selection sqref="A1:L1"/>
    </sheetView>
  </sheetViews>
  <sheetFormatPr defaultColWidth="9.33203125" defaultRowHeight="12.75" x14ac:dyDescent="0.2"/>
  <cols>
    <col min="1" max="1" width="7.6640625" style="81" customWidth="1"/>
    <col min="2" max="2" width="63.83203125" style="82" customWidth="1"/>
    <col min="3" max="3" width="12.6640625" style="458" customWidth="1"/>
    <col min="4" max="4" width="15.5" style="458" hidden="1" customWidth="1"/>
    <col min="5" max="5" width="13.5" style="458" customWidth="1"/>
    <col min="6" max="6" width="12.6640625" style="458" customWidth="1"/>
    <col min="7" max="7" width="17.5" style="458" hidden="1" customWidth="1"/>
    <col min="8" max="8" width="15.83203125" style="458" hidden="1" customWidth="1"/>
    <col min="9" max="9" width="14.6640625" style="458" hidden="1" customWidth="1"/>
    <col min="10" max="10" width="12.5" style="458" customWidth="1"/>
    <col min="11" max="11" width="14.1640625" style="458" hidden="1" customWidth="1"/>
    <col min="12" max="12" width="8" style="459" customWidth="1"/>
    <col min="13" max="13" width="5" style="25" customWidth="1"/>
    <col min="14" max="14" width="14.5" style="25" bestFit="1" customWidth="1"/>
    <col min="15" max="16" width="9.33203125" style="25" customWidth="1"/>
    <col min="17" max="16384" width="9.33203125" style="25"/>
  </cols>
  <sheetData>
    <row r="1" spans="1:16" x14ac:dyDescent="0.2">
      <c r="A1" s="1774" t="s">
        <v>813</v>
      </c>
      <c r="B1" s="1774"/>
      <c r="C1" s="1774"/>
      <c r="D1" s="1774"/>
      <c r="E1" s="1774"/>
      <c r="F1" s="1774"/>
      <c r="G1" s="1774"/>
      <c r="H1" s="1774"/>
      <c r="I1" s="1774"/>
      <c r="J1" s="1774"/>
      <c r="K1" s="1774"/>
      <c r="L1" s="1774"/>
    </row>
    <row r="2" spans="1:16" x14ac:dyDescent="0.2">
      <c r="A2" s="1774"/>
      <c r="B2" s="1774"/>
      <c r="C2" s="1774"/>
      <c r="D2" s="1774"/>
      <c r="E2" s="1774"/>
      <c r="F2" s="1774"/>
      <c r="G2" s="1774"/>
      <c r="H2" s="1774"/>
      <c r="I2" s="1774"/>
      <c r="J2" s="1774"/>
    </row>
    <row r="3" spans="1:16" s="24" customFormat="1" ht="16.5" customHeight="1" x14ac:dyDescent="0.2">
      <c r="A3" s="1774"/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</row>
    <row r="4" spans="1:16" s="38" customFormat="1" ht="21.2" customHeight="1" x14ac:dyDescent="0.2">
      <c r="A4" s="1771" t="s">
        <v>232</v>
      </c>
      <c r="B4" s="1771"/>
      <c r="C4" s="1771"/>
      <c r="D4" s="1771"/>
      <c r="E4" s="1771"/>
      <c r="F4" s="1771"/>
      <c r="G4" s="1771"/>
      <c r="H4" s="1771"/>
      <c r="I4" s="1771"/>
      <c r="J4" s="1771"/>
      <c r="K4" s="1771"/>
      <c r="L4" s="1771"/>
    </row>
    <row r="5" spans="1:16" s="38" customFormat="1" ht="21.2" customHeight="1" x14ac:dyDescent="0.2">
      <c r="A5" s="1771" t="s">
        <v>665</v>
      </c>
      <c r="B5" s="1771"/>
      <c r="C5" s="1771"/>
      <c r="D5" s="1771"/>
      <c r="E5" s="1771"/>
      <c r="F5" s="1771"/>
      <c r="G5" s="1771"/>
      <c r="H5" s="1771"/>
      <c r="I5" s="1771"/>
      <c r="J5" s="1771"/>
      <c r="K5" s="1771"/>
      <c r="L5" s="1771"/>
    </row>
    <row r="6" spans="1:16" s="38" customFormat="1" ht="21.2" customHeight="1" x14ac:dyDescent="0.2">
      <c r="A6" s="1771" t="s">
        <v>34</v>
      </c>
      <c r="B6" s="1771"/>
      <c r="C6" s="1771"/>
      <c r="D6" s="1771"/>
      <c r="E6" s="1771"/>
      <c r="F6" s="1771"/>
      <c r="G6" s="1771"/>
      <c r="H6" s="1771"/>
      <c r="I6" s="1771"/>
      <c r="J6" s="1771"/>
      <c r="K6" s="1771"/>
      <c r="L6" s="1771"/>
    </row>
    <row r="7" spans="1:16" ht="14.25" thickBot="1" x14ac:dyDescent="0.25">
      <c r="A7" s="1776" t="s">
        <v>362</v>
      </c>
      <c r="B7" s="1776"/>
      <c r="C7" s="1776"/>
      <c r="D7" s="1776"/>
      <c r="E7" s="1776"/>
      <c r="F7" s="1776"/>
      <c r="G7" s="1776"/>
      <c r="H7" s="1776"/>
      <c r="I7" s="1776"/>
      <c r="J7" s="1776"/>
      <c r="K7" s="1776"/>
      <c r="L7" s="1776"/>
    </row>
    <row r="8" spans="1:16" s="46" customFormat="1" ht="55.5" customHeight="1" thickBot="1" x14ac:dyDescent="0.25">
      <c r="A8" s="43" t="s">
        <v>129</v>
      </c>
      <c r="B8" s="987" t="s">
        <v>288</v>
      </c>
      <c r="C8" s="97" t="str">
        <f>'1. mell.bevétel_össz'!C8</f>
        <v>2023. évi eredeti előirányzat
2/2023. (II.14.)</v>
      </c>
      <c r="D8" s="181" t="str">
        <f>'1. mell.bevétel_össz'!D8</f>
        <v>Módosított előirányzat a 14/2023.  (VI.29.)  rendelet szerint</v>
      </c>
      <c r="E8" s="97" t="str">
        <f>'1. mell.bevétel_össz'!E8</f>
        <v>Módosított előirányzat a 18/2023. (IX.26.)  rendelet szerint</v>
      </c>
      <c r="F8" s="97" t="str">
        <f>'1. mell.bevétel_össz'!F8</f>
        <v>Módosított előirányzat 2023.09.30-án</v>
      </c>
      <c r="G8" s="97" t="str">
        <f>'1. mell.bevétel_össz'!G8</f>
        <v>Módosított előirányzat a …../2023. (II…..)  rendelet szerint</v>
      </c>
      <c r="H8" s="112" t="str">
        <f>'1. mell.bevétel_össz'!H8</f>
        <v>Változás a 14/2023. (VI.29.) rendelethez képest</v>
      </c>
      <c r="I8" s="181" t="str">
        <f>'1. mell.bevétel_össz'!I8</f>
        <v>2023. évi teljesítés              2023.06.30-ig</v>
      </c>
      <c r="J8" s="97" t="str">
        <f>'1. mell.bevétel_össz'!J8</f>
        <v>2023. évi teljesítés              2023.09.30-ig</v>
      </c>
      <c r="K8" s="181" t="str">
        <f>'1. mell.bevétel_össz'!K8</f>
        <v>2023. évi teljesítés              2023.12.31-ig</v>
      </c>
      <c r="L8" s="137" t="str">
        <f>'1. mell.bevétel_össz'!L8</f>
        <v>Teljesítés %-a</v>
      </c>
      <c r="M8" s="153"/>
    </row>
    <row r="9" spans="1:16" s="46" customFormat="1" ht="14.25" customHeight="1" thickBot="1" x14ac:dyDescent="0.25">
      <c r="A9" s="43" t="s">
        <v>297</v>
      </c>
      <c r="B9" s="44" t="s">
        <v>298</v>
      </c>
      <c r="C9" s="989" t="s">
        <v>299</v>
      </c>
      <c r="D9" s="182" t="s">
        <v>300</v>
      </c>
      <c r="E9" s="44" t="s">
        <v>300</v>
      </c>
      <c r="F9" s="44" t="s">
        <v>301</v>
      </c>
      <c r="G9" s="44" t="s">
        <v>424</v>
      </c>
      <c r="H9" s="180" t="s">
        <v>388</v>
      </c>
      <c r="I9" s="620" t="s">
        <v>300</v>
      </c>
      <c r="J9" s="44" t="s">
        <v>388</v>
      </c>
      <c r="K9" s="182" t="s">
        <v>299</v>
      </c>
      <c r="L9" s="137" t="s">
        <v>424</v>
      </c>
      <c r="M9" s="153"/>
    </row>
    <row r="10" spans="1:16" s="31" customFormat="1" ht="12.2" customHeight="1" thickBot="1" x14ac:dyDescent="0.25">
      <c r="A10" s="76" t="s">
        <v>12</v>
      </c>
      <c r="B10" s="821" t="s">
        <v>547</v>
      </c>
      <c r="C10" s="462">
        <f>C11+C13+C14+C15+C16</f>
        <v>11352869202</v>
      </c>
      <c r="D10" s="461">
        <f>D11+D13+D14+D15+D16</f>
        <v>11563203773</v>
      </c>
      <c r="E10" s="462">
        <f t="shared" ref="E10:K10" si="0">E11+E13+E14+E15+E16</f>
        <v>13278547401</v>
      </c>
      <c r="F10" s="462">
        <f t="shared" si="0"/>
        <v>13287224113</v>
      </c>
      <c r="G10" s="462">
        <f t="shared" si="0"/>
        <v>3545399</v>
      </c>
      <c r="H10" s="460">
        <f>+E10-D10</f>
        <v>1715343628</v>
      </c>
      <c r="I10" s="998" t="e">
        <f t="shared" si="0"/>
        <v>#REF!</v>
      </c>
      <c r="J10" s="431">
        <f t="shared" ref="J10" si="1">J11+J13+J14+J15+J16</f>
        <v>8351787782</v>
      </c>
      <c r="K10" s="461" t="e">
        <f t="shared" si="0"/>
        <v>#REF!</v>
      </c>
      <c r="L10" s="471">
        <f t="shared" ref="L10:L56" si="2">IF(F10=0,"",J10/F10*100)</f>
        <v>62.855775675739146</v>
      </c>
      <c r="M10" s="156"/>
      <c r="P10" s="31" t="s">
        <v>385</v>
      </c>
    </row>
    <row r="11" spans="1:16" ht="12.2" customHeight="1" x14ac:dyDescent="0.2">
      <c r="A11" s="99" t="s">
        <v>91</v>
      </c>
      <c r="B11" s="692" t="s">
        <v>68</v>
      </c>
      <c r="C11" s="464">
        <f>'4. mell.Önkorm'!C91+'5.Int.össz'!C54</f>
        <v>3204199451</v>
      </c>
      <c r="D11" s="463">
        <f>'4. mell.Önkorm'!D91+'5.Int.össz'!D54</f>
        <v>3242475650</v>
      </c>
      <c r="E11" s="464">
        <f>'4. mell.Önkorm'!E91+'5.Int.össz'!E54</f>
        <v>3765359520</v>
      </c>
      <c r="F11" s="464">
        <f>'4. mell.Önkorm'!F91+'5.Int.össz'!F54</f>
        <v>3765359520</v>
      </c>
      <c r="G11" s="464">
        <f>'4. mell.Önkorm'!G91+'5.Int.össz'!G54</f>
        <v>0</v>
      </c>
      <c r="H11" s="644">
        <f t="shared" ref="H11:H56" si="3">+E11-D11</f>
        <v>522883870</v>
      </c>
      <c r="I11" s="999">
        <f>'4. mell.Önkorm'!I91+'5.Int.össz'!I54</f>
        <v>0</v>
      </c>
      <c r="J11" s="464">
        <f>'4. mell.Önkorm'!J91+'5.Int.össz'!J54</f>
        <v>2594134992</v>
      </c>
      <c r="K11" s="463">
        <f>'4. mell.Önkorm'!K91+'5.Int.össz'!K54</f>
        <v>0</v>
      </c>
      <c r="L11" s="465">
        <f t="shared" si="2"/>
        <v>68.894749046433688</v>
      </c>
      <c r="M11" s="157"/>
    </row>
    <row r="12" spans="1:16" ht="12.2" customHeight="1" x14ac:dyDescent="0.2">
      <c r="A12" s="1003" t="s">
        <v>305</v>
      </c>
      <c r="B12" s="693" t="s">
        <v>270</v>
      </c>
      <c r="C12" s="434">
        <f>'4. mell.Önkorm'!C92+'5.Int.össz'!C55</f>
        <v>23000000</v>
      </c>
      <c r="D12" s="433">
        <f>'4. mell.Önkorm'!D92+'5.Int.össz'!D55</f>
        <v>23227800</v>
      </c>
      <c r="E12" s="434">
        <f>'4. mell.Önkorm'!E92+'5.Int.össz'!E55</f>
        <v>160114474</v>
      </c>
      <c r="F12" s="434">
        <f>'4. mell.Önkorm'!F92+'5.Int.össz'!F55</f>
        <v>160114474</v>
      </c>
      <c r="G12" s="434">
        <f>'4. mell.Önkorm'!G92+'5.Int.össz'!G55</f>
        <v>0</v>
      </c>
      <c r="H12" s="646">
        <f t="shared" si="3"/>
        <v>136886674</v>
      </c>
      <c r="I12" s="621">
        <f>'4. mell.Önkorm'!I92+'5.Int.össz'!I55</f>
        <v>0</v>
      </c>
      <c r="J12" s="434">
        <f>'4. mell.Önkorm'!J92+'5.Int.össz'!J55</f>
        <v>8716884</v>
      </c>
      <c r="K12" s="433">
        <f>'4. mell.Önkorm'!K92+'5.Int.össz'!K55</f>
        <v>0</v>
      </c>
      <c r="L12" s="470">
        <f t="shared" si="2"/>
        <v>5.4441574095293852</v>
      </c>
      <c r="M12" s="157"/>
    </row>
    <row r="13" spans="1:16" ht="12.2" customHeight="1" x14ac:dyDescent="0.2">
      <c r="A13" s="1003" t="s">
        <v>92</v>
      </c>
      <c r="B13" s="645" t="s">
        <v>87</v>
      </c>
      <c r="C13" s="474">
        <f>'4. mell.Önkorm'!C93+'5.Int.össz'!C56</f>
        <v>481020970</v>
      </c>
      <c r="D13" s="439">
        <f>'4. mell.Önkorm'!D93+'5.Int.össz'!D56</f>
        <v>490904741</v>
      </c>
      <c r="E13" s="474">
        <f>'4. mell.Önkorm'!E93+'5.Int.össz'!E56</f>
        <v>574762939</v>
      </c>
      <c r="F13" s="474">
        <f>'4. mell.Önkorm'!F93+'5.Int.össz'!F56</f>
        <v>574762939</v>
      </c>
      <c r="G13" s="474">
        <f>'4. mell.Önkorm'!G93+'5.Int.össz'!G56</f>
        <v>0</v>
      </c>
      <c r="H13" s="426">
        <f t="shared" si="3"/>
        <v>83858198</v>
      </c>
      <c r="I13" s="622">
        <f>'4. mell.Önkorm'!I93+'5.Int.össz'!I56</f>
        <v>0</v>
      </c>
      <c r="J13" s="474">
        <f>'4. mell.Önkorm'!J93+'5.Int.össz'!J56</f>
        <v>390683655</v>
      </c>
      <c r="K13" s="439">
        <f>'4. mell.Önkorm'!K93+'5.Int.össz'!K56</f>
        <v>0</v>
      </c>
      <c r="L13" s="466">
        <f t="shared" si="2"/>
        <v>67.973007389747522</v>
      </c>
      <c r="M13" s="157"/>
    </row>
    <row r="14" spans="1:16" ht="12.2" customHeight="1" x14ac:dyDescent="0.2">
      <c r="A14" s="1003" t="s">
        <v>93</v>
      </c>
      <c r="B14" s="645" t="s">
        <v>69</v>
      </c>
      <c r="C14" s="991">
        <f>'4. mell.Önkorm'!C94+'5.Int.össz'!C57</f>
        <v>2153299538</v>
      </c>
      <c r="D14" s="440">
        <f>'4. mell.Önkorm'!D94+'5.Int.össz'!D57</f>
        <v>2295578790</v>
      </c>
      <c r="E14" s="991">
        <f>'4. mell.Önkorm'!E94+'5.Int.össz'!E57</f>
        <v>2410480447</v>
      </c>
      <c r="F14" s="991">
        <f>'4. mell.Önkorm'!F94+'5.Int.össz'!F57</f>
        <v>2410480447</v>
      </c>
      <c r="G14" s="991">
        <f>'4. mell.Önkorm'!G94+'5.Int.össz'!G57</f>
        <v>0</v>
      </c>
      <c r="H14" s="647">
        <f t="shared" si="3"/>
        <v>114901657</v>
      </c>
      <c r="I14" s="1000">
        <f>'4. mell.Önkorm'!I94+'5.Int.össz'!I57</f>
        <v>0</v>
      </c>
      <c r="J14" s="1426">
        <f>'4. mell.Önkorm'!J94+'5.Int.össz'!J57</f>
        <v>1572060867</v>
      </c>
      <c r="K14" s="440">
        <f>'4. mell.Önkorm'!K94+'5.Int.össz'!K57</f>
        <v>0</v>
      </c>
      <c r="L14" s="467">
        <f t="shared" si="2"/>
        <v>65.217739847528406</v>
      </c>
      <c r="M14" s="157"/>
    </row>
    <row r="15" spans="1:16" ht="12.2" customHeight="1" x14ac:dyDescent="0.2">
      <c r="A15" s="1003" t="s">
        <v>90</v>
      </c>
      <c r="B15" s="645" t="s">
        <v>80</v>
      </c>
      <c r="C15" s="991">
        <f>'4. mell.Önkorm'!C95+'5.Int.össz'!C58</f>
        <v>270328000</v>
      </c>
      <c r="D15" s="440">
        <f>'4. mell.Önkorm'!D95+'5.Int.össz'!D58</f>
        <v>270328000</v>
      </c>
      <c r="E15" s="991">
        <f>'4. mell.Önkorm'!E95+'5.Int.össz'!E58</f>
        <v>270328000</v>
      </c>
      <c r="F15" s="991">
        <f>'4. mell.Önkorm'!F95+'5.Int.össz'!F58</f>
        <v>270328000</v>
      </c>
      <c r="G15" s="991">
        <f>'4. mell.Önkorm'!G95+'5.Int.össz'!G58</f>
        <v>0</v>
      </c>
      <c r="H15" s="647">
        <f t="shared" si="3"/>
        <v>0</v>
      </c>
      <c r="I15" s="1000">
        <f>'4. mell.Önkorm'!I95+'5.Int.össz'!I58</f>
        <v>0</v>
      </c>
      <c r="J15" s="1426">
        <f>'4. mell.Önkorm'!J95+'5.Int.össz'!J58</f>
        <v>122133216</v>
      </c>
      <c r="K15" s="440">
        <f>'4. mell.Önkorm'!K95+'5.Int.össz'!K58</f>
        <v>0</v>
      </c>
      <c r="L15" s="467">
        <f t="shared" si="2"/>
        <v>45.179639548992334</v>
      </c>
      <c r="M15" s="157"/>
    </row>
    <row r="16" spans="1:16" ht="12.2" customHeight="1" x14ac:dyDescent="0.2">
      <c r="A16" s="1003" t="s">
        <v>147</v>
      </c>
      <c r="B16" s="473" t="s">
        <v>88</v>
      </c>
      <c r="C16" s="991">
        <f>SUM(C17:C23)</f>
        <v>5244021243</v>
      </c>
      <c r="D16" s="440">
        <f>SUM(D17:D23)</f>
        <v>5263916592</v>
      </c>
      <c r="E16" s="991">
        <f t="shared" ref="E16:K16" si="4">SUM(E17:E23)</f>
        <v>6257616495</v>
      </c>
      <c r="F16" s="991">
        <f t="shared" si="4"/>
        <v>6266293207</v>
      </c>
      <c r="G16" s="991">
        <f t="shared" si="4"/>
        <v>3545399</v>
      </c>
      <c r="H16" s="647">
        <f t="shared" si="3"/>
        <v>993699903</v>
      </c>
      <c r="I16" s="1000" t="e">
        <f t="shared" si="4"/>
        <v>#REF!</v>
      </c>
      <c r="J16" s="1426">
        <f t="shared" ref="J16" si="5">SUM(J17:J23)</f>
        <v>3672775052</v>
      </c>
      <c r="K16" s="440" t="e">
        <f t="shared" si="4"/>
        <v>#REF!</v>
      </c>
      <c r="L16" s="467">
        <f t="shared" si="2"/>
        <v>58.611605468719333</v>
      </c>
      <c r="M16" s="157"/>
    </row>
    <row r="17" spans="1:17" ht="12.2" customHeight="1" x14ac:dyDescent="0.2">
      <c r="A17" s="1003" t="s">
        <v>306</v>
      </c>
      <c r="B17" s="330" t="s">
        <v>554</v>
      </c>
      <c r="C17" s="991">
        <f>'4. mell.Önkorm'!C97</f>
        <v>0</v>
      </c>
      <c r="D17" s="440">
        <f>'4. mell.Önkorm'!D97</f>
        <v>0</v>
      </c>
      <c r="E17" s="991">
        <f>'4. mell.Önkorm'!E97</f>
        <v>0</v>
      </c>
      <c r="F17" s="991">
        <f>'4. mell.Önkorm'!F97</f>
        <v>0</v>
      </c>
      <c r="G17" s="991">
        <f>'4. mell.Önkorm'!G97</f>
        <v>0</v>
      </c>
      <c r="H17" s="647">
        <f t="shared" si="3"/>
        <v>0</v>
      </c>
      <c r="I17" s="1000">
        <f>'4. mell.Önkorm'!I97</f>
        <v>0</v>
      </c>
      <c r="J17" s="1426">
        <f>'4. mell.Önkorm'!J97</f>
        <v>0</v>
      </c>
      <c r="K17" s="440">
        <f>'4. mell.Önkorm'!K97</f>
        <v>0</v>
      </c>
      <c r="L17" s="467" t="str">
        <f t="shared" si="2"/>
        <v/>
      </c>
      <c r="M17" s="157"/>
    </row>
    <row r="18" spans="1:17" ht="12.2" customHeight="1" x14ac:dyDescent="0.2">
      <c r="A18" s="1003" t="s">
        <v>307</v>
      </c>
      <c r="B18" s="813" t="s">
        <v>647</v>
      </c>
      <c r="C18" s="991">
        <f>'4. mell.Önkorm'!C98</f>
        <v>3222984305</v>
      </c>
      <c r="D18" s="440">
        <f>'4. mell.Önkorm'!D98</f>
        <v>3222984305</v>
      </c>
      <c r="E18" s="991">
        <f>'4. mell.Önkorm'!E98</f>
        <v>3222984305</v>
      </c>
      <c r="F18" s="991">
        <f>'4. mell.Önkorm'!F98</f>
        <v>3222984305</v>
      </c>
      <c r="G18" s="991">
        <f>'4. mell.Önkorm'!G98</f>
        <v>0</v>
      </c>
      <c r="H18" s="647">
        <f t="shared" si="3"/>
        <v>0</v>
      </c>
      <c r="I18" s="1000">
        <f>'4. mell.Önkorm'!I98</f>
        <v>0</v>
      </c>
      <c r="J18" s="1426">
        <f>'4. mell.Önkorm'!J98</f>
        <v>2449468069</v>
      </c>
      <c r="K18" s="440">
        <f>'4. mell.Önkorm'!K98</f>
        <v>0</v>
      </c>
      <c r="L18" s="467">
        <f t="shared" si="2"/>
        <v>75.999999913124</v>
      </c>
      <c r="M18" s="157"/>
    </row>
    <row r="19" spans="1:17" ht="12.2" customHeight="1" x14ac:dyDescent="0.2">
      <c r="A19" s="1003" t="s">
        <v>308</v>
      </c>
      <c r="B19" s="813" t="s">
        <v>646</v>
      </c>
      <c r="C19" s="991">
        <f>'4. mell.Önkorm'!C99</f>
        <v>0</v>
      </c>
      <c r="D19" s="440">
        <f>'4. mell.Önkorm'!D99</f>
        <v>0</v>
      </c>
      <c r="E19" s="991">
        <f>'4. mell.Önkorm'!E99</f>
        <v>0</v>
      </c>
      <c r="F19" s="991">
        <f>'4. mell.Önkorm'!F99</f>
        <v>0</v>
      </c>
      <c r="G19" s="991">
        <f>'4. mell.Önkorm'!G99</f>
        <v>0</v>
      </c>
      <c r="H19" s="647">
        <f t="shared" si="3"/>
        <v>0</v>
      </c>
      <c r="I19" s="1000">
        <f>'4. mell.Önkorm'!I99</f>
        <v>0</v>
      </c>
      <c r="J19" s="1426">
        <f>'4. mell.Önkorm'!J99</f>
        <v>0</v>
      </c>
      <c r="K19" s="440">
        <f>'4. mell.Önkorm'!K99</f>
        <v>0</v>
      </c>
      <c r="L19" s="467" t="str">
        <f t="shared" si="2"/>
        <v/>
      </c>
      <c r="M19" s="157"/>
    </row>
    <row r="20" spans="1:17" ht="12.2" customHeight="1" x14ac:dyDescent="0.2">
      <c r="A20" s="1003" t="s">
        <v>309</v>
      </c>
      <c r="B20" s="813" t="s">
        <v>645</v>
      </c>
      <c r="C20" s="991">
        <f>'4. mell.Önkorm'!C100+'5.Int.össz'!C60</f>
        <v>46561480</v>
      </c>
      <c r="D20" s="440">
        <f>'4. mell.Önkorm'!D100+'5.Int.össz'!D60</f>
        <v>16592442</v>
      </c>
      <c r="E20" s="991">
        <f>'4. mell.Önkorm'!E100+'5.Int.össz'!E60</f>
        <v>83798779</v>
      </c>
      <c r="F20" s="991">
        <f>'4. mell.Önkorm'!F100+'5.Int.össz'!F60</f>
        <v>83798779</v>
      </c>
      <c r="G20" s="991">
        <f>'4. mell.Önkorm'!G100+'5.Int.össz'!G60</f>
        <v>3545399</v>
      </c>
      <c r="H20" s="647">
        <f t="shared" si="3"/>
        <v>67206337</v>
      </c>
      <c r="I20" s="1000">
        <f>'4. mell.Önkorm'!I100+'5.Int.össz'!I60</f>
        <v>3545401</v>
      </c>
      <c r="J20" s="1426">
        <f>'4. mell.Önkorm'!J100+'5.Int.össz'!J60</f>
        <v>13970930</v>
      </c>
      <c r="K20" s="440">
        <f>'4. mell.Önkorm'!K100+'5.Int.össz'!K60</f>
        <v>0</v>
      </c>
      <c r="L20" s="467">
        <f t="shared" si="2"/>
        <v>16.671997094372941</v>
      </c>
      <c r="M20" s="157"/>
    </row>
    <row r="21" spans="1:17" ht="12.2" customHeight="1" x14ac:dyDescent="0.2">
      <c r="A21" s="1003" t="s">
        <v>310</v>
      </c>
      <c r="B21" s="813" t="s">
        <v>650</v>
      </c>
      <c r="C21" s="991">
        <f>'4. mell.Önkorm'!C101</f>
        <v>0</v>
      </c>
      <c r="D21" s="440">
        <f>'4. mell.Önkorm'!D101</f>
        <v>0</v>
      </c>
      <c r="E21" s="991">
        <f>'4. mell.Önkorm'!E101</f>
        <v>0</v>
      </c>
      <c r="F21" s="991">
        <f>'4. mell.Önkorm'!F101</f>
        <v>0</v>
      </c>
      <c r="G21" s="991">
        <f>'4. mell.Önkorm'!G101</f>
        <v>0</v>
      </c>
      <c r="H21" s="647">
        <f t="shared" si="3"/>
        <v>0</v>
      </c>
      <c r="I21" s="1000">
        <f>'4. mell.Önkorm'!I101</f>
        <v>0</v>
      </c>
      <c r="J21" s="1426">
        <f>'4. mell.Önkorm'!J101</f>
        <v>0</v>
      </c>
      <c r="K21" s="440">
        <f>'4. mell.Önkorm'!K101</f>
        <v>0</v>
      </c>
      <c r="L21" s="467" t="str">
        <f t="shared" si="2"/>
        <v/>
      </c>
      <c r="M21" s="157"/>
    </row>
    <row r="22" spans="1:17" ht="12.2" customHeight="1" x14ac:dyDescent="0.2">
      <c r="A22" s="1003" t="s">
        <v>361</v>
      </c>
      <c r="B22" s="813" t="s">
        <v>644</v>
      </c>
      <c r="C22" s="991">
        <f>'4. mell.Önkorm'!C102+'5.Int.össz'!C61</f>
        <v>1420634898</v>
      </c>
      <c r="D22" s="440">
        <f>'4. mell.Önkorm'!D102+'5.Int.össz'!D61</f>
        <v>1515270808</v>
      </c>
      <c r="E22" s="991">
        <f>'4. mell.Önkorm'!E102+'5.Int.össz'!E61</f>
        <v>1755525658</v>
      </c>
      <c r="F22" s="991">
        <f>'4. mell.Önkorm'!F102+'5.Int.össz'!F61</f>
        <v>1755525658</v>
      </c>
      <c r="G22" s="991">
        <f>'4. mell.Önkorm'!G102+'5.Int.össz'!G61</f>
        <v>0</v>
      </c>
      <c r="H22" s="647">
        <f t="shared" si="3"/>
        <v>240254850</v>
      </c>
      <c r="I22" s="1000" t="e">
        <f>'4. mell.Önkorm'!I102+'5.Int.össz'!I61</f>
        <v>#REF!</v>
      </c>
      <c r="J22" s="1426">
        <f>'4. mell.Önkorm'!J102+'5.Int.össz'!J61</f>
        <v>1209336053</v>
      </c>
      <c r="K22" s="440" t="e">
        <f>'4. mell.Önkorm'!K102+'5.Int.össz'!K61</f>
        <v>#REF!</v>
      </c>
      <c r="L22" s="467">
        <f t="shared" si="2"/>
        <v>68.887404037019209</v>
      </c>
      <c r="M22" s="157"/>
    </row>
    <row r="23" spans="1:17" ht="12.2" customHeight="1" x14ac:dyDescent="0.2">
      <c r="A23" s="1003" t="s">
        <v>615</v>
      </c>
      <c r="B23" s="814" t="s">
        <v>649</v>
      </c>
      <c r="C23" s="994">
        <f>+C24+C25</f>
        <v>553840560</v>
      </c>
      <c r="D23" s="1004">
        <f>+D24+D25</f>
        <v>509069037</v>
      </c>
      <c r="E23" s="994">
        <f t="shared" ref="E23:K23" si="6">+E24+E25</f>
        <v>1195307753</v>
      </c>
      <c r="F23" s="994">
        <f t="shared" si="6"/>
        <v>1203984465</v>
      </c>
      <c r="G23" s="994">
        <f t="shared" si="6"/>
        <v>0</v>
      </c>
      <c r="H23" s="649">
        <f t="shared" si="3"/>
        <v>686238716</v>
      </c>
      <c r="I23" s="1001">
        <f t="shared" si="6"/>
        <v>0</v>
      </c>
      <c r="J23" s="994">
        <f t="shared" ref="J23" si="7">+J24+J25</f>
        <v>0</v>
      </c>
      <c r="K23" s="1004">
        <f t="shared" si="6"/>
        <v>0</v>
      </c>
      <c r="L23" s="468">
        <f t="shared" si="2"/>
        <v>0</v>
      </c>
      <c r="M23" s="157"/>
    </row>
    <row r="24" spans="1:17" ht="12.75" customHeight="1" x14ac:dyDescent="0.2">
      <c r="A24" s="12" t="s">
        <v>616</v>
      </c>
      <c r="B24" s="98" t="s">
        <v>617</v>
      </c>
      <c r="C24" s="434">
        <f>'4. mell.Önkorm'!C104</f>
        <v>100000000</v>
      </c>
      <c r="D24" s="433">
        <f>'4. mell.Önkorm'!D104</f>
        <v>100000000</v>
      </c>
      <c r="E24" s="434">
        <f>'4. mell.Önkorm'!E104</f>
        <v>100000000</v>
      </c>
      <c r="F24" s="434">
        <f>'4. mell.Önkorm'!F104</f>
        <v>100000000</v>
      </c>
      <c r="G24" s="434">
        <f>'4. mell.Önkorm'!G104</f>
        <v>0</v>
      </c>
      <c r="H24" s="646">
        <f t="shared" si="3"/>
        <v>0</v>
      </c>
      <c r="I24" s="621">
        <f>'4. mell.Önkorm'!I104</f>
        <v>0</v>
      </c>
      <c r="J24" s="434">
        <f>'4. mell.Önkorm'!J104</f>
        <v>0</v>
      </c>
      <c r="K24" s="433">
        <f>'4. mell.Önkorm'!K104</f>
        <v>0</v>
      </c>
      <c r="L24" s="470">
        <f t="shared" si="2"/>
        <v>0</v>
      </c>
      <c r="M24" s="157"/>
      <c r="P24" s="25" t="s">
        <v>385</v>
      </c>
    </row>
    <row r="25" spans="1:17" ht="12.75" customHeight="1" x14ac:dyDescent="0.2">
      <c r="A25" s="1005" t="s">
        <v>618</v>
      </c>
      <c r="B25" s="352" t="s">
        <v>619</v>
      </c>
      <c r="C25" s="474">
        <f>SUM(C26:C27)</f>
        <v>453840560</v>
      </c>
      <c r="D25" s="439">
        <f t="shared" ref="D25:K25" si="8">SUM(D26:D27)</f>
        <v>409069037</v>
      </c>
      <c r="E25" s="474">
        <f t="shared" si="8"/>
        <v>1095307753</v>
      </c>
      <c r="F25" s="474">
        <f t="shared" si="8"/>
        <v>1103984465</v>
      </c>
      <c r="G25" s="474">
        <f t="shared" si="8"/>
        <v>0</v>
      </c>
      <c r="H25" s="426">
        <f t="shared" si="3"/>
        <v>686238716</v>
      </c>
      <c r="I25" s="622">
        <f t="shared" si="8"/>
        <v>0</v>
      </c>
      <c r="J25" s="474">
        <f t="shared" ref="J25" si="9">SUM(J26:J27)</f>
        <v>0</v>
      </c>
      <c r="K25" s="439">
        <f t="shared" si="8"/>
        <v>0</v>
      </c>
      <c r="L25" s="466">
        <f t="shared" si="2"/>
        <v>0</v>
      </c>
      <c r="M25" s="157"/>
    </row>
    <row r="26" spans="1:17" ht="12.75" customHeight="1" x14ac:dyDescent="0.2">
      <c r="A26" s="1005" t="s">
        <v>620</v>
      </c>
      <c r="B26" s="353" t="s">
        <v>648</v>
      </c>
      <c r="C26" s="474">
        <f>'4. mell.Önkorm'!C106</f>
        <v>403840560</v>
      </c>
      <c r="D26" s="439">
        <f>'4. mell.Önkorm'!D106</f>
        <v>368069037</v>
      </c>
      <c r="E26" s="474">
        <f>'4. mell.Önkorm'!E106</f>
        <v>1054307753</v>
      </c>
      <c r="F26" s="474">
        <f>'4. mell.Önkorm'!F106</f>
        <v>1062984465</v>
      </c>
      <c r="G26" s="474">
        <f>'4. mell.Önkorm'!G106</f>
        <v>0</v>
      </c>
      <c r="H26" s="426">
        <f t="shared" si="3"/>
        <v>686238716</v>
      </c>
      <c r="I26" s="622">
        <f>'4. mell.Önkorm'!I106</f>
        <v>0</v>
      </c>
      <c r="J26" s="474">
        <f>'4. mell.Önkorm'!J106</f>
        <v>0</v>
      </c>
      <c r="K26" s="439">
        <f>'4. mell.Önkorm'!K106</f>
        <v>0</v>
      </c>
      <c r="L26" s="466">
        <f t="shared" si="2"/>
        <v>0</v>
      </c>
      <c r="M26" s="157"/>
    </row>
    <row r="27" spans="1:17" ht="12.75" customHeight="1" thickBot="1" x14ac:dyDescent="0.25">
      <c r="A27" s="1005" t="s">
        <v>621</v>
      </c>
      <c r="B27" s="353" t="s">
        <v>636</v>
      </c>
      <c r="C27" s="474">
        <f>'4. mell.Önkorm'!C107</f>
        <v>50000000</v>
      </c>
      <c r="D27" s="439">
        <f>'4. mell.Önkorm'!D107</f>
        <v>41000000</v>
      </c>
      <c r="E27" s="474">
        <f>'4. mell.Önkorm'!E107</f>
        <v>41000000</v>
      </c>
      <c r="F27" s="474">
        <f>'4. mell.Önkorm'!F107</f>
        <v>41000000</v>
      </c>
      <c r="G27" s="474">
        <f>'4. mell.Önkorm'!G107</f>
        <v>0</v>
      </c>
      <c r="H27" s="426">
        <f t="shared" si="3"/>
        <v>0</v>
      </c>
      <c r="I27" s="622">
        <f>'4. mell.Önkorm'!I107</f>
        <v>0</v>
      </c>
      <c r="J27" s="474">
        <f>'4. mell.Önkorm'!J107</f>
        <v>0</v>
      </c>
      <c r="K27" s="439">
        <f>'4. mell.Önkorm'!K107</f>
        <v>0</v>
      </c>
      <c r="L27" s="466">
        <f t="shared" si="2"/>
        <v>0</v>
      </c>
      <c r="M27" s="157"/>
      <c r="Q27" s="25" t="s">
        <v>385</v>
      </c>
    </row>
    <row r="28" spans="1:17" ht="12.2" customHeight="1" thickBot="1" x14ac:dyDescent="0.25">
      <c r="A28" s="14" t="s">
        <v>13</v>
      </c>
      <c r="B28" s="100" t="s">
        <v>384</v>
      </c>
      <c r="C28" s="431">
        <f>+C29+C31+C33</f>
        <v>1123044805</v>
      </c>
      <c r="D28" s="430">
        <f>+D29+D31+D33</f>
        <v>1688335011</v>
      </c>
      <c r="E28" s="431">
        <f t="shared" ref="E28:K28" si="10">+E29+E31+E33</f>
        <v>1789057717</v>
      </c>
      <c r="F28" s="431">
        <f t="shared" si="10"/>
        <v>1789057717</v>
      </c>
      <c r="G28" s="431">
        <f t="shared" si="10"/>
        <v>0</v>
      </c>
      <c r="H28" s="429">
        <f t="shared" si="3"/>
        <v>100722706</v>
      </c>
      <c r="I28" s="614">
        <f t="shared" si="10"/>
        <v>210603455</v>
      </c>
      <c r="J28" s="431">
        <f t="shared" ref="J28" si="11">+J29+J31+J33</f>
        <v>902185085</v>
      </c>
      <c r="K28" s="430" t="e">
        <f t="shared" si="10"/>
        <v>#VALUE!</v>
      </c>
      <c r="L28" s="471">
        <f t="shared" si="2"/>
        <v>50.4279474288196</v>
      </c>
      <c r="M28" s="157"/>
    </row>
    <row r="29" spans="1:17" ht="12.2" customHeight="1" x14ac:dyDescent="0.2">
      <c r="A29" s="12" t="s">
        <v>94</v>
      </c>
      <c r="B29" s="645" t="s">
        <v>119</v>
      </c>
      <c r="C29" s="434">
        <f>'4. mell.Önkorm'!C109+'5.Int.össz'!C63</f>
        <v>311524214</v>
      </c>
      <c r="D29" s="433">
        <f>'4. mell.Önkorm'!D109+'5.Int.össz'!D63</f>
        <v>430667878</v>
      </c>
      <c r="E29" s="434">
        <f>'4. mell.Önkorm'!E109+'5.Int.össz'!E63</f>
        <v>447908996</v>
      </c>
      <c r="F29" s="434">
        <f>'4. mell.Önkorm'!F109+'5.Int.össz'!F63</f>
        <v>447908996</v>
      </c>
      <c r="G29" s="434">
        <f>'4. mell.Önkorm'!G109+'5.Int.össz'!G63</f>
        <v>0</v>
      </c>
      <c r="H29" s="646">
        <f t="shared" si="3"/>
        <v>17241118</v>
      </c>
      <c r="I29" s="621">
        <f>'4. mell.Önkorm'!I109+'5.Int.össz'!I63</f>
        <v>180603455</v>
      </c>
      <c r="J29" s="434">
        <f>'4. mell.Önkorm'!J109+'5.Int.össz'!J63</f>
        <v>274829598</v>
      </c>
      <c r="K29" s="433">
        <f>'4. mell.Önkorm'!K109+'5.Int.össz'!K63</f>
        <v>175.50548216442655</v>
      </c>
      <c r="L29" s="470">
        <f t="shared" si="2"/>
        <v>61.358356374695369</v>
      </c>
      <c r="M29" s="157"/>
    </row>
    <row r="30" spans="1:17" ht="12.2" customHeight="1" x14ac:dyDescent="0.2">
      <c r="A30" s="12" t="s">
        <v>316</v>
      </c>
      <c r="B30" s="352" t="s">
        <v>225</v>
      </c>
      <c r="C30" s="434">
        <f>'4. mell.Önkorm'!C110+'5.Int.össz'!C64</f>
        <v>131957503</v>
      </c>
      <c r="D30" s="433">
        <f>'4. mell.Önkorm'!D110+'5.Int.össz'!D64</f>
        <v>188851803</v>
      </c>
      <c r="E30" s="434">
        <f>'4. mell.Önkorm'!E110+'5.Int.össz'!E64</f>
        <v>188851803</v>
      </c>
      <c r="F30" s="434">
        <f>'4. mell.Önkorm'!F110+'5.Int.össz'!F64</f>
        <v>188851803</v>
      </c>
      <c r="G30" s="434">
        <f>'4. mell.Önkorm'!G110+'5.Int.össz'!G64</f>
        <v>0</v>
      </c>
      <c r="H30" s="646">
        <f t="shared" si="3"/>
        <v>0</v>
      </c>
      <c r="I30" s="621">
        <f>'4. mell.Önkorm'!I110+'5.Int.össz'!I64</f>
        <v>0</v>
      </c>
      <c r="J30" s="434">
        <f>'4. mell.Önkorm'!J110+'5.Int.össz'!J64</f>
        <v>131957503</v>
      </c>
      <c r="K30" s="433">
        <f>'4. mell.Önkorm'!K110+'5.Int.össz'!K64</f>
        <v>0</v>
      </c>
      <c r="L30" s="470">
        <f t="shared" si="2"/>
        <v>69.87357330128323</v>
      </c>
      <c r="M30" s="157"/>
    </row>
    <row r="31" spans="1:17" ht="12.2" customHeight="1" x14ac:dyDescent="0.2">
      <c r="A31" s="12" t="s">
        <v>95</v>
      </c>
      <c r="B31" s="648" t="s">
        <v>2</v>
      </c>
      <c r="C31" s="474">
        <f>'4. mell.Önkorm'!C111+'5.Int.össz'!C65</f>
        <v>428020591</v>
      </c>
      <c r="D31" s="439">
        <f>'4. mell.Önkorm'!D111+'5.Int.össz'!D65</f>
        <v>642682133</v>
      </c>
      <c r="E31" s="474">
        <f>'4. mell.Önkorm'!E111+'5.Int.össz'!E65</f>
        <v>653163721</v>
      </c>
      <c r="F31" s="474">
        <f>'4. mell.Önkorm'!F111+'5.Int.össz'!F65</f>
        <v>653163721</v>
      </c>
      <c r="G31" s="474">
        <f>'4. mell.Önkorm'!G111+'5.Int.össz'!G65</f>
        <v>0</v>
      </c>
      <c r="H31" s="426">
        <f t="shared" si="3"/>
        <v>10481588</v>
      </c>
      <c r="I31" s="622">
        <f>'4. mell.Önkorm'!I111+'5.Int.össz'!I65</f>
        <v>0</v>
      </c>
      <c r="J31" s="474">
        <f>'4. mell.Önkorm'!J111+'5.Int.össz'!J65</f>
        <v>121829731</v>
      </c>
      <c r="K31" s="439" t="e">
        <f>'4. mell.Önkorm'!K111+'5.Int.össz'!K65</f>
        <v>#VALUE!</v>
      </c>
      <c r="L31" s="466">
        <f>IF(F31=0,"",J31/F31*100)</f>
        <v>18.652250130101759</v>
      </c>
      <c r="M31" s="157"/>
    </row>
    <row r="32" spans="1:17" ht="12.2" customHeight="1" x14ac:dyDescent="0.2">
      <c r="A32" s="12" t="s">
        <v>315</v>
      </c>
      <c r="B32" s="352" t="s">
        <v>350</v>
      </c>
      <c r="C32" s="474">
        <f>'4. mell.Önkorm'!C112+'5.Int.össz'!C66</f>
        <v>0</v>
      </c>
      <c r="D32" s="439">
        <f>'4. mell.Önkorm'!D112+'5.Int.össz'!D66</f>
        <v>172803287</v>
      </c>
      <c r="E32" s="474">
        <f>'4. mell.Önkorm'!E112+'5.Int.össz'!E66</f>
        <v>172803287</v>
      </c>
      <c r="F32" s="474">
        <f>'4. mell.Önkorm'!F112+'5.Int.össz'!F66</f>
        <v>172803287</v>
      </c>
      <c r="G32" s="474">
        <f>'4. mell.Önkorm'!G112+'5.Int.össz'!G66</f>
        <v>0</v>
      </c>
      <c r="H32" s="426">
        <f t="shared" si="3"/>
        <v>0</v>
      </c>
      <c r="I32" s="622">
        <f>'4. mell.Önkorm'!I112+'5.Int.össz'!I66</f>
        <v>0</v>
      </c>
      <c r="J32" s="474">
        <f>'4. mell.Önkorm'!J112+'5.Int.össz'!J66</f>
        <v>0</v>
      </c>
      <c r="K32" s="439">
        <f>'4. mell.Önkorm'!K112+'5.Int.össz'!K66</f>
        <v>0</v>
      </c>
      <c r="L32" s="466">
        <f t="shared" si="2"/>
        <v>0</v>
      </c>
      <c r="M32" s="157"/>
    </row>
    <row r="33" spans="1:14" ht="12.2" customHeight="1" x14ac:dyDescent="0.2">
      <c r="A33" s="12" t="s">
        <v>96</v>
      </c>
      <c r="B33" s="436" t="s">
        <v>268</v>
      </c>
      <c r="C33" s="474">
        <f>SUM(C34:C37)</f>
        <v>383500000</v>
      </c>
      <c r="D33" s="439">
        <f>SUM(D34:D37)</f>
        <v>614985000</v>
      </c>
      <c r="E33" s="474">
        <f t="shared" ref="E33:K33" si="12">SUM(E34:E37)</f>
        <v>687985000</v>
      </c>
      <c r="F33" s="474">
        <f t="shared" si="12"/>
        <v>687985000</v>
      </c>
      <c r="G33" s="474">
        <f t="shared" si="12"/>
        <v>0</v>
      </c>
      <c r="H33" s="426">
        <f t="shared" si="3"/>
        <v>73000000</v>
      </c>
      <c r="I33" s="622">
        <f t="shared" si="12"/>
        <v>30000000</v>
      </c>
      <c r="J33" s="474">
        <f t="shared" ref="J33" si="13">SUM(J34:J37)</f>
        <v>505525756</v>
      </c>
      <c r="K33" s="439">
        <f t="shared" si="12"/>
        <v>0</v>
      </c>
      <c r="L33" s="466">
        <f t="shared" si="2"/>
        <v>73.479182831021035</v>
      </c>
      <c r="M33" s="157"/>
    </row>
    <row r="34" spans="1:14" ht="12.2" customHeight="1" x14ac:dyDescent="0.2">
      <c r="A34" s="12" t="s">
        <v>317</v>
      </c>
      <c r="B34" s="645" t="s">
        <v>226</v>
      </c>
      <c r="C34" s="474">
        <f>'4. mell.Önkorm'!C114</f>
        <v>0</v>
      </c>
      <c r="D34" s="439">
        <f>'4. mell.Önkorm'!D114</f>
        <v>0</v>
      </c>
      <c r="E34" s="474">
        <f>'4. mell.Önkorm'!E114</f>
        <v>0</v>
      </c>
      <c r="F34" s="474">
        <f>'4. mell.Önkorm'!F114</f>
        <v>0</v>
      </c>
      <c r="G34" s="474">
        <f>'4. mell.Önkorm'!G114</f>
        <v>0</v>
      </c>
      <c r="H34" s="426">
        <f t="shared" si="3"/>
        <v>0</v>
      </c>
      <c r="I34" s="622">
        <f>'4. mell.Önkorm'!I114</f>
        <v>0</v>
      </c>
      <c r="J34" s="474">
        <f>'4. mell.Önkorm'!J114</f>
        <v>0</v>
      </c>
      <c r="K34" s="439">
        <f>'4. mell.Önkorm'!K114</f>
        <v>0</v>
      </c>
      <c r="L34" s="466" t="str">
        <f t="shared" si="2"/>
        <v/>
      </c>
      <c r="M34" s="157"/>
    </row>
    <row r="35" spans="1:14" ht="12.2" customHeight="1" x14ac:dyDescent="0.2">
      <c r="A35" s="12" t="s">
        <v>318</v>
      </c>
      <c r="B35" s="645" t="s">
        <v>227</v>
      </c>
      <c r="C35" s="474">
        <f>'4. mell.Önkorm'!C115+'5.Int.össz'!C68</f>
        <v>1500000</v>
      </c>
      <c r="D35" s="439">
        <f>'4. mell.Önkorm'!D115+'5.Int.össz'!D68</f>
        <v>31613000</v>
      </c>
      <c r="E35" s="474">
        <f>'4. mell.Önkorm'!E115+'5.Int.össz'!E68</f>
        <v>31613000</v>
      </c>
      <c r="F35" s="474">
        <f>'4. mell.Önkorm'!F115+'5.Int.össz'!F68</f>
        <v>31613000</v>
      </c>
      <c r="G35" s="474">
        <f>'4. mell.Önkorm'!G115+'5.Int.össz'!G68</f>
        <v>0</v>
      </c>
      <c r="H35" s="426">
        <f t="shared" si="3"/>
        <v>0</v>
      </c>
      <c r="I35" s="622">
        <f>'4. mell.Önkorm'!I115+'5.Int.össz'!I68</f>
        <v>30000000</v>
      </c>
      <c r="J35" s="474">
        <f>'4. mell.Önkorm'!J115+'5.Int.össz'!J68</f>
        <v>30000000</v>
      </c>
      <c r="K35" s="439">
        <f>'4. mell.Önkorm'!K115+'5.Int.össz'!K68</f>
        <v>0</v>
      </c>
      <c r="L35" s="466">
        <f t="shared" si="2"/>
        <v>94.897668680606088</v>
      </c>
      <c r="M35" s="157"/>
    </row>
    <row r="36" spans="1:14" ht="12.2" customHeight="1" x14ac:dyDescent="0.2">
      <c r="A36" s="12" t="s">
        <v>319</v>
      </c>
      <c r="B36" s="645" t="s">
        <v>224</v>
      </c>
      <c r="C36" s="474">
        <f>'4. mell.Önkorm'!C116</f>
        <v>224000000</v>
      </c>
      <c r="D36" s="439">
        <f>'4. mell.Önkorm'!D116</f>
        <v>224000000</v>
      </c>
      <c r="E36" s="474">
        <f>'4. mell.Önkorm'!E116</f>
        <v>264000000</v>
      </c>
      <c r="F36" s="474">
        <f>'4. mell.Önkorm'!F116</f>
        <v>264000000</v>
      </c>
      <c r="G36" s="474">
        <f>'4. mell.Önkorm'!G116</f>
        <v>0</v>
      </c>
      <c r="H36" s="426">
        <f t="shared" si="3"/>
        <v>40000000</v>
      </c>
      <c r="I36" s="622">
        <f>'4. mell.Önkorm'!I116</f>
        <v>0</v>
      </c>
      <c r="J36" s="474">
        <f>'4. mell.Önkorm'!J116</f>
        <v>169600000</v>
      </c>
      <c r="K36" s="439">
        <f>'4. mell.Önkorm'!K116</f>
        <v>0</v>
      </c>
      <c r="L36" s="466">
        <f t="shared" si="2"/>
        <v>64.242424242424249</v>
      </c>
      <c r="M36" s="157"/>
    </row>
    <row r="37" spans="1:14" ht="12.2" customHeight="1" thickBot="1" x14ac:dyDescent="0.25">
      <c r="A37" s="12" t="s">
        <v>320</v>
      </c>
      <c r="B37" s="645" t="s">
        <v>228</v>
      </c>
      <c r="C37" s="991">
        <f>'4. mell.Önkorm'!C117+'5.Int.össz'!C69</f>
        <v>158000000</v>
      </c>
      <c r="D37" s="440">
        <f>'4. mell.Önkorm'!D117+'5.Int.össz'!D69</f>
        <v>359372000</v>
      </c>
      <c r="E37" s="991">
        <f>'4. mell.Önkorm'!E117+'5.Int.össz'!E69</f>
        <v>392372000</v>
      </c>
      <c r="F37" s="991">
        <f>'4. mell.Önkorm'!F117+'5.Int.össz'!F69</f>
        <v>392372000</v>
      </c>
      <c r="G37" s="991">
        <f>'4. mell.Önkorm'!G117+'5.Int.össz'!G69</f>
        <v>0</v>
      </c>
      <c r="H37" s="647">
        <f t="shared" si="3"/>
        <v>33000000</v>
      </c>
      <c r="I37" s="1000">
        <f>'4. mell.Önkorm'!I117+'5.Int.össz'!I69</f>
        <v>0</v>
      </c>
      <c r="J37" s="1426">
        <f>'4. mell.Önkorm'!J117+'5.Int.össz'!J69</f>
        <v>305925756</v>
      </c>
      <c r="K37" s="440">
        <f>'4. mell.Önkorm'!K117+'5.Int.össz'!K69</f>
        <v>0</v>
      </c>
      <c r="L37" s="467">
        <f t="shared" si="2"/>
        <v>77.968294373706584</v>
      </c>
      <c r="M37" s="157"/>
    </row>
    <row r="38" spans="1:14" ht="12.2" customHeight="1" thickBot="1" x14ac:dyDescent="0.25">
      <c r="A38" s="14" t="s">
        <v>14</v>
      </c>
      <c r="B38" s="472" t="s">
        <v>540</v>
      </c>
      <c r="C38" s="431">
        <f>+C10+C28</f>
        <v>12475914007</v>
      </c>
      <c r="D38" s="430">
        <f t="shared" ref="D38:K38" si="14">+D10+D28</f>
        <v>13251538784</v>
      </c>
      <c r="E38" s="431">
        <f t="shared" si="14"/>
        <v>15067605118</v>
      </c>
      <c r="F38" s="431">
        <f t="shared" si="14"/>
        <v>15076281830</v>
      </c>
      <c r="G38" s="431">
        <f t="shared" si="14"/>
        <v>3545399</v>
      </c>
      <c r="H38" s="429">
        <f t="shared" si="3"/>
        <v>1816066334</v>
      </c>
      <c r="I38" s="614" t="e">
        <f t="shared" si="14"/>
        <v>#REF!</v>
      </c>
      <c r="J38" s="431">
        <f t="shared" ref="J38" si="15">+J10+J28</f>
        <v>9253972867</v>
      </c>
      <c r="K38" s="430" t="e">
        <f t="shared" si="14"/>
        <v>#REF!</v>
      </c>
      <c r="L38" s="471">
        <f t="shared" si="2"/>
        <v>61.381002102160885</v>
      </c>
      <c r="M38" s="157"/>
    </row>
    <row r="39" spans="1:14" ht="12.2" customHeight="1" thickBot="1" x14ac:dyDescent="0.25">
      <c r="A39" s="14" t="s">
        <v>15</v>
      </c>
      <c r="B39" s="472" t="s">
        <v>541</v>
      </c>
      <c r="C39" s="431">
        <f>+C40+C41+C42</f>
        <v>0</v>
      </c>
      <c r="D39" s="430">
        <f t="shared" ref="D39:K39" si="16">+D40+D41+D42</f>
        <v>0</v>
      </c>
      <c r="E39" s="431">
        <f t="shared" si="16"/>
        <v>0</v>
      </c>
      <c r="F39" s="431">
        <f t="shared" si="16"/>
        <v>0</v>
      </c>
      <c r="G39" s="431">
        <f t="shared" si="16"/>
        <v>0</v>
      </c>
      <c r="H39" s="429">
        <f t="shared" si="3"/>
        <v>0</v>
      </c>
      <c r="I39" s="614">
        <f t="shared" si="16"/>
        <v>0</v>
      </c>
      <c r="J39" s="431">
        <f t="shared" ref="J39" si="17">+J40+J41+J42</f>
        <v>0</v>
      </c>
      <c r="K39" s="430">
        <f t="shared" si="16"/>
        <v>0</v>
      </c>
      <c r="L39" s="471" t="str">
        <f t="shared" si="2"/>
        <v/>
      </c>
      <c r="M39" s="157"/>
    </row>
    <row r="40" spans="1:14" s="31" customFormat="1" ht="11.25" customHeight="1" x14ac:dyDescent="0.2">
      <c r="A40" s="12" t="s">
        <v>100</v>
      </c>
      <c r="B40" s="469" t="s">
        <v>371</v>
      </c>
      <c r="C40" s="474">
        <f>'4. mell.Önkorm'!C120</f>
        <v>0</v>
      </c>
      <c r="D40" s="439">
        <f>'4. mell.Önkorm'!D120</f>
        <v>0</v>
      </c>
      <c r="E40" s="474">
        <f>'4. mell.Önkorm'!E120</f>
        <v>0</v>
      </c>
      <c r="F40" s="474">
        <f>'4. mell.Önkorm'!F120</f>
        <v>0</v>
      </c>
      <c r="G40" s="474">
        <f>'4. mell.Önkorm'!G120</f>
        <v>0</v>
      </c>
      <c r="H40" s="426">
        <f t="shared" si="3"/>
        <v>0</v>
      </c>
      <c r="I40" s="622">
        <f>'4. mell.Önkorm'!I120</f>
        <v>0</v>
      </c>
      <c r="J40" s="474">
        <f>'4. mell.Önkorm'!J120</f>
        <v>0</v>
      </c>
      <c r="K40" s="439">
        <f>'4. mell.Önkorm'!K120</f>
        <v>0</v>
      </c>
      <c r="L40" s="466" t="str">
        <f t="shared" si="2"/>
        <v/>
      </c>
      <c r="M40" s="156"/>
    </row>
    <row r="41" spans="1:14" ht="12.75" customHeight="1" x14ac:dyDescent="0.2">
      <c r="A41" s="12" t="s">
        <v>101</v>
      </c>
      <c r="B41" s="469" t="s">
        <v>243</v>
      </c>
      <c r="C41" s="474">
        <f>'4. mell.Önkorm'!C121</f>
        <v>0</v>
      </c>
      <c r="D41" s="439">
        <f>'4. mell.Önkorm'!D121</f>
        <v>0</v>
      </c>
      <c r="E41" s="474">
        <f>'4. mell.Önkorm'!E121</f>
        <v>0</v>
      </c>
      <c r="F41" s="474">
        <f>'4. mell.Önkorm'!F121</f>
        <v>0</v>
      </c>
      <c r="G41" s="474">
        <f>'4. mell.Önkorm'!G121</f>
        <v>0</v>
      </c>
      <c r="H41" s="426">
        <f t="shared" si="3"/>
        <v>0</v>
      </c>
      <c r="I41" s="622">
        <f>'4. mell.Önkorm'!I121</f>
        <v>0</v>
      </c>
      <c r="J41" s="474">
        <f>'4. mell.Önkorm'!J121</f>
        <v>0</v>
      </c>
      <c r="K41" s="439">
        <f>'4. mell.Önkorm'!K121</f>
        <v>0</v>
      </c>
      <c r="L41" s="466" t="str">
        <f t="shared" si="2"/>
        <v/>
      </c>
      <c r="M41" s="157"/>
    </row>
    <row r="42" spans="1:14" ht="12.2" customHeight="1" thickBot="1" x14ac:dyDescent="0.25">
      <c r="A42" s="13" t="s">
        <v>164</v>
      </c>
      <c r="B42" s="473" t="s">
        <v>244</v>
      </c>
      <c r="C42" s="474">
        <f>'4. mell.Önkorm'!C122</f>
        <v>0</v>
      </c>
      <c r="D42" s="439">
        <f>'4. mell.Önkorm'!D122</f>
        <v>0</v>
      </c>
      <c r="E42" s="474">
        <f>'4. mell.Önkorm'!E122</f>
        <v>0</v>
      </c>
      <c r="F42" s="474">
        <f>'4. mell.Önkorm'!F122</f>
        <v>0</v>
      </c>
      <c r="G42" s="474">
        <f>'4. mell.Önkorm'!G122</f>
        <v>0</v>
      </c>
      <c r="H42" s="426">
        <f t="shared" si="3"/>
        <v>0</v>
      </c>
      <c r="I42" s="622">
        <f>'4. mell.Önkorm'!I122</f>
        <v>0</v>
      </c>
      <c r="J42" s="474">
        <f>'4. mell.Önkorm'!J122</f>
        <v>0</v>
      </c>
      <c r="K42" s="439">
        <f>'4. mell.Önkorm'!K122</f>
        <v>0</v>
      </c>
      <c r="L42" s="466" t="str">
        <f t="shared" si="2"/>
        <v/>
      </c>
      <c r="M42" s="157"/>
    </row>
    <row r="43" spans="1:14" ht="12.2" customHeight="1" thickBot="1" x14ac:dyDescent="0.25">
      <c r="A43" s="14" t="s">
        <v>16</v>
      </c>
      <c r="B43" s="472" t="s">
        <v>538</v>
      </c>
      <c r="C43" s="431">
        <f>+C44+C46+C45</f>
        <v>0</v>
      </c>
      <c r="D43" s="430">
        <f t="shared" ref="D43:K43" si="18">+D44+D46+D45</f>
        <v>468945500</v>
      </c>
      <c r="E43" s="431">
        <f t="shared" si="18"/>
        <v>468945500</v>
      </c>
      <c r="F43" s="431">
        <f t="shared" si="18"/>
        <v>468945500</v>
      </c>
      <c r="G43" s="431">
        <f t="shared" si="18"/>
        <v>0</v>
      </c>
      <c r="H43" s="429">
        <f t="shared" si="3"/>
        <v>0</v>
      </c>
      <c r="I43" s="614">
        <f t="shared" si="18"/>
        <v>0</v>
      </c>
      <c r="J43" s="431">
        <f t="shared" ref="J43" si="19">+J44+J46+J45</f>
        <v>468945500</v>
      </c>
      <c r="K43" s="430">
        <f t="shared" si="18"/>
        <v>0</v>
      </c>
      <c r="L43" s="471">
        <f t="shared" si="2"/>
        <v>100</v>
      </c>
      <c r="M43" s="157"/>
    </row>
    <row r="44" spans="1:14" ht="12.2" customHeight="1" x14ac:dyDescent="0.2">
      <c r="A44" s="12" t="s">
        <v>89</v>
      </c>
      <c r="B44" s="469" t="s">
        <v>242</v>
      </c>
      <c r="C44" s="474">
        <f>'4. mell.Önkorm'!C124</f>
        <v>0</v>
      </c>
      <c r="D44" s="439">
        <f>'4. mell.Önkorm'!D124</f>
        <v>468945500</v>
      </c>
      <c r="E44" s="474">
        <f>'4. mell.Önkorm'!E124</f>
        <v>468945500</v>
      </c>
      <c r="F44" s="474">
        <f>'4. mell.Önkorm'!F124</f>
        <v>468945500</v>
      </c>
      <c r="G44" s="474">
        <f>'4. mell.Önkorm'!G124</f>
        <v>0</v>
      </c>
      <c r="H44" s="426">
        <f t="shared" si="3"/>
        <v>0</v>
      </c>
      <c r="I44" s="622">
        <f>'4. mell.Önkorm'!I124</f>
        <v>0</v>
      </c>
      <c r="J44" s="474">
        <f>'4. mell.Önkorm'!J124</f>
        <v>468945500</v>
      </c>
      <c r="K44" s="439">
        <f>'4. mell.Önkorm'!K124</f>
        <v>0</v>
      </c>
      <c r="L44" s="466">
        <f t="shared" si="2"/>
        <v>100</v>
      </c>
      <c r="M44" s="157"/>
    </row>
    <row r="45" spans="1:14" ht="12.2" customHeight="1" x14ac:dyDescent="0.2">
      <c r="A45" s="12" t="s">
        <v>102</v>
      </c>
      <c r="B45" s="469" t="s">
        <v>539</v>
      </c>
      <c r="C45" s="474">
        <f>'4. mell.Önkorm'!C125</f>
        <v>0</v>
      </c>
      <c r="D45" s="439">
        <f>'4. mell.Önkorm'!D125</f>
        <v>0</v>
      </c>
      <c r="E45" s="474">
        <f>'4. mell.Önkorm'!E125</f>
        <v>0</v>
      </c>
      <c r="F45" s="474">
        <f>'4. mell.Önkorm'!F125</f>
        <v>0</v>
      </c>
      <c r="G45" s="474">
        <f>'4. mell.Önkorm'!G125</f>
        <v>0</v>
      </c>
      <c r="H45" s="426">
        <f t="shared" si="3"/>
        <v>0</v>
      </c>
      <c r="I45" s="622">
        <f>'4. mell.Önkorm'!I125</f>
        <v>0</v>
      </c>
      <c r="J45" s="474">
        <f>'4. mell.Önkorm'!J125</f>
        <v>0</v>
      </c>
      <c r="K45" s="439">
        <f>'4. mell.Önkorm'!K125</f>
        <v>0</v>
      </c>
      <c r="L45" s="475" t="str">
        <f t="shared" si="2"/>
        <v/>
      </c>
      <c r="M45" s="157"/>
    </row>
    <row r="46" spans="1:14" ht="12.2" customHeight="1" thickBot="1" x14ac:dyDescent="0.25">
      <c r="A46" s="12" t="s">
        <v>103</v>
      </c>
      <c r="B46" s="435" t="s">
        <v>537</v>
      </c>
      <c r="C46" s="474">
        <f>'4. mell.Önkorm'!C126</f>
        <v>0</v>
      </c>
      <c r="D46" s="439">
        <f>'4. mell.Önkorm'!D126</f>
        <v>0</v>
      </c>
      <c r="E46" s="474">
        <f>'4. mell.Önkorm'!E126</f>
        <v>0</v>
      </c>
      <c r="F46" s="474">
        <f>'4. mell.Önkorm'!F126</f>
        <v>0</v>
      </c>
      <c r="G46" s="474">
        <f>'4. mell.Önkorm'!G126</f>
        <v>0</v>
      </c>
      <c r="H46" s="426">
        <f t="shared" si="3"/>
        <v>0</v>
      </c>
      <c r="I46" s="622">
        <f>'4. mell.Önkorm'!I126</f>
        <v>0</v>
      </c>
      <c r="J46" s="474">
        <f>'4. mell.Önkorm'!J126</f>
        <v>0</v>
      </c>
      <c r="K46" s="439">
        <f>'4. mell.Önkorm'!K126</f>
        <v>0</v>
      </c>
      <c r="L46" s="466" t="str">
        <f t="shared" si="2"/>
        <v/>
      </c>
      <c r="M46" s="157"/>
    </row>
    <row r="47" spans="1:14" ht="12.2" customHeight="1" thickBot="1" x14ac:dyDescent="0.25">
      <c r="A47" s="14" t="s">
        <v>17</v>
      </c>
      <c r="B47" s="472" t="s">
        <v>542</v>
      </c>
      <c r="C47" s="443">
        <f>SUM(C48:C52)</f>
        <v>52821826</v>
      </c>
      <c r="D47" s="442">
        <f t="shared" ref="D47:K47" si="20">SUM(D48:D52)</f>
        <v>1515389518</v>
      </c>
      <c r="E47" s="443">
        <f t="shared" si="20"/>
        <v>2314346206</v>
      </c>
      <c r="F47" s="443">
        <f t="shared" si="20"/>
        <v>2584302148</v>
      </c>
      <c r="G47" s="443">
        <f t="shared" si="20"/>
        <v>0</v>
      </c>
      <c r="H47" s="441">
        <f t="shared" si="3"/>
        <v>798956688</v>
      </c>
      <c r="I47" s="623">
        <f t="shared" si="20"/>
        <v>0</v>
      </c>
      <c r="J47" s="443">
        <f t="shared" ref="J47" si="21">SUM(J48:J52)</f>
        <v>75063425983</v>
      </c>
      <c r="K47" s="442" t="e">
        <f t="shared" si="20"/>
        <v>#VALUE!</v>
      </c>
      <c r="L47" s="476">
        <f t="shared" si="2"/>
        <v>2904.5917111933613</v>
      </c>
      <c r="M47" s="157"/>
      <c r="N47" s="79"/>
    </row>
    <row r="48" spans="1:14" x14ac:dyDescent="0.2">
      <c r="A48" s="12" t="s">
        <v>104</v>
      </c>
      <c r="B48" s="469" t="s">
        <v>240</v>
      </c>
      <c r="C48" s="474">
        <f>'4. mell.Önkorm'!C128-'5.Int.össz'!C46</f>
        <v>0</v>
      </c>
      <c r="D48" s="439">
        <f>'4. mell.Önkorm'!D128-'5.Int.össz'!D46</f>
        <v>0</v>
      </c>
      <c r="E48" s="474">
        <f>'4. mell.Önkorm'!E128-'5.Int.össz'!E46</f>
        <v>0</v>
      </c>
      <c r="F48" s="474">
        <f>'4. mell.Önkorm'!F128-'5.Int.össz'!F46</f>
        <v>0</v>
      </c>
      <c r="G48" s="474">
        <f>'4. mell.Önkorm'!G128-'5.Int.össz'!G46</f>
        <v>0</v>
      </c>
      <c r="H48" s="426">
        <f t="shared" si="3"/>
        <v>0</v>
      </c>
      <c r="I48" s="622">
        <f>'4. mell.Önkorm'!I128-'5.Int.össz'!I46</f>
        <v>0</v>
      </c>
      <c r="J48" s="474">
        <f>'4. mell.Önkorm'!J128-'5.Int.össz'!J46</f>
        <v>0</v>
      </c>
      <c r="K48" s="439" t="e">
        <f>'4. mell.Önkorm'!K128-'5.Int.össz'!K46</f>
        <v>#VALUE!</v>
      </c>
      <c r="L48" s="466" t="str">
        <f t="shared" si="2"/>
        <v/>
      </c>
      <c r="M48" s="157"/>
    </row>
    <row r="49" spans="1:16" ht="12.2" customHeight="1" x14ac:dyDescent="0.2">
      <c r="A49" s="12" t="s">
        <v>105</v>
      </c>
      <c r="B49" s="469" t="s">
        <v>241</v>
      </c>
      <c r="C49" s="474">
        <f>'4. mell.Önkorm'!C129-'5.Int.össz'!C47</f>
        <v>0</v>
      </c>
      <c r="D49" s="439">
        <f>'4. mell.Önkorm'!D129-'5.Int.össz'!D47</f>
        <v>0</v>
      </c>
      <c r="E49" s="474">
        <f>'4. mell.Önkorm'!E129-'5.Int.össz'!E47</f>
        <v>0</v>
      </c>
      <c r="F49" s="474">
        <f>'4. mell.Önkorm'!F129-'5.Int.össz'!F47</f>
        <v>0</v>
      </c>
      <c r="G49" s="474">
        <f>'4. mell.Önkorm'!G129-'5.Int.össz'!G47</f>
        <v>0</v>
      </c>
      <c r="H49" s="426">
        <f t="shared" si="3"/>
        <v>0</v>
      </c>
      <c r="I49" s="622">
        <f>'4. mell.Önkorm'!I129-'5.Int.össz'!I47</f>
        <v>0</v>
      </c>
      <c r="J49" s="474">
        <f>'4. mell.Önkorm'!J129-'5.Int.össz'!J47</f>
        <v>0</v>
      </c>
      <c r="K49" s="439">
        <f>'4. mell.Önkorm'!K129-'5.Int.össz'!K47</f>
        <v>0</v>
      </c>
      <c r="L49" s="466" t="str">
        <f t="shared" si="2"/>
        <v/>
      </c>
      <c r="M49" s="157"/>
    </row>
    <row r="50" spans="1:16" s="31" customFormat="1" ht="12.2" customHeight="1" x14ac:dyDescent="0.2">
      <c r="A50" s="12" t="s">
        <v>205</v>
      </c>
      <c r="B50" s="469" t="s">
        <v>372</v>
      </c>
      <c r="C50" s="474">
        <f>'4. mell.Önkorm'!C130</f>
        <v>0</v>
      </c>
      <c r="D50" s="439">
        <f>'4. mell.Önkorm'!D130</f>
        <v>0</v>
      </c>
      <c r="E50" s="474">
        <f>'4. mell.Önkorm'!E130</f>
        <v>0</v>
      </c>
      <c r="F50" s="474">
        <f>'4. mell.Önkorm'!F130</f>
        <v>0</v>
      </c>
      <c r="G50" s="474">
        <f>'4. mell.Önkorm'!G130</f>
        <v>0</v>
      </c>
      <c r="H50" s="426">
        <f t="shared" si="3"/>
        <v>0</v>
      </c>
      <c r="I50" s="622">
        <f>'4. mell.Önkorm'!I130</f>
        <v>0</v>
      </c>
      <c r="J50" s="474">
        <f>'4. mell.Önkorm'!J130</f>
        <v>72479123835</v>
      </c>
      <c r="K50" s="439">
        <f>'4. mell.Önkorm'!K130</f>
        <v>0</v>
      </c>
      <c r="L50" s="466" t="str">
        <f t="shared" si="2"/>
        <v/>
      </c>
      <c r="M50" s="156"/>
    </row>
    <row r="51" spans="1:16" s="31" customFormat="1" ht="12.75" customHeight="1" x14ac:dyDescent="0.2">
      <c r="A51" s="1003" t="s">
        <v>206</v>
      </c>
      <c r="B51" s="645" t="s">
        <v>229</v>
      </c>
      <c r="C51" s="474">
        <f>'4. mell.Önkorm'!C131</f>
        <v>0</v>
      </c>
      <c r="D51" s="439">
        <f>'4. mell.Önkorm'!D131</f>
        <v>0</v>
      </c>
      <c r="E51" s="474">
        <f>'4. mell.Önkorm'!E131</f>
        <v>0</v>
      </c>
      <c r="F51" s="474">
        <f>'4. mell.Önkorm'!F131</f>
        <v>0</v>
      </c>
      <c r="G51" s="474">
        <f>'4. mell.Önkorm'!G131</f>
        <v>0</v>
      </c>
      <c r="H51" s="426">
        <f t="shared" si="3"/>
        <v>0</v>
      </c>
      <c r="I51" s="622">
        <f>'4. mell.Önkorm'!I131</f>
        <v>0</v>
      </c>
      <c r="J51" s="474">
        <f>'4. mell.Önkorm'!J131</f>
        <v>0</v>
      </c>
      <c r="K51" s="439">
        <f>'4. mell.Önkorm'!K131</f>
        <v>0</v>
      </c>
      <c r="L51" s="466" t="str">
        <f t="shared" si="2"/>
        <v/>
      </c>
      <c r="M51" s="156"/>
      <c r="N51" s="31" t="s">
        <v>385</v>
      </c>
    </row>
    <row r="52" spans="1:16" s="31" customFormat="1" ht="12.75" customHeight="1" thickBot="1" x14ac:dyDescent="0.25">
      <c r="A52" s="13" t="s">
        <v>208</v>
      </c>
      <c r="B52" s="473" t="s">
        <v>352</v>
      </c>
      <c r="C52" s="474">
        <f>'4. mell.Önkorm'!C132</f>
        <v>52821826</v>
      </c>
      <c r="D52" s="439">
        <f>'4. mell.Önkorm'!D132</f>
        <v>1515389518</v>
      </c>
      <c r="E52" s="474">
        <f>'4. mell.Önkorm'!E132</f>
        <v>2314346206</v>
      </c>
      <c r="F52" s="474">
        <f>'4. mell.Önkorm'!F132</f>
        <v>2584302148</v>
      </c>
      <c r="G52" s="474">
        <f>'4. mell.Önkorm'!G132</f>
        <v>0</v>
      </c>
      <c r="H52" s="426">
        <f t="shared" si="3"/>
        <v>798956688</v>
      </c>
      <c r="I52" s="622">
        <f>'4. mell.Önkorm'!I132</f>
        <v>0</v>
      </c>
      <c r="J52" s="474">
        <f>'4. mell.Önkorm'!J132</f>
        <v>2584302148</v>
      </c>
      <c r="K52" s="439">
        <f>'4. mell.Önkorm'!K132</f>
        <v>0</v>
      </c>
      <c r="L52" s="466">
        <f t="shared" si="2"/>
        <v>100</v>
      </c>
      <c r="M52" s="156"/>
    </row>
    <row r="53" spans="1:16" ht="12.2" customHeight="1" thickBot="1" x14ac:dyDescent="0.25">
      <c r="A53" s="14" t="s">
        <v>18</v>
      </c>
      <c r="B53" s="472" t="s">
        <v>544</v>
      </c>
      <c r="C53" s="479">
        <f>+C39+C43+C47</f>
        <v>52821826</v>
      </c>
      <c r="D53" s="478">
        <f t="shared" ref="D53:K53" si="22">+D39+D43+D47</f>
        <v>1984335018</v>
      </c>
      <c r="E53" s="479">
        <f t="shared" si="22"/>
        <v>2783291706</v>
      </c>
      <c r="F53" s="479">
        <f t="shared" si="22"/>
        <v>3053247648</v>
      </c>
      <c r="G53" s="479">
        <f t="shared" si="22"/>
        <v>0</v>
      </c>
      <c r="H53" s="477">
        <f t="shared" si="3"/>
        <v>798956688</v>
      </c>
      <c r="I53" s="1002">
        <f t="shared" si="22"/>
        <v>0</v>
      </c>
      <c r="J53" s="479">
        <f t="shared" ref="J53" si="23">+J39+J43+J47</f>
        <v>75532371483</v>
      </c>
      <c r="K53" s="478" t="e">
        <f t="shared" si="22"/>
        <v>#VALUE!</v>
      </c>
      <c r="L53" s="480">
        <f t="shared" si="2"/>
        <v>2473.8370479864857</v>
      </c>
      <c r="M53" s="157"/>
    </row>
    <row r="54" spans="1:16" ht="15" customHeight="1" thickBot="1" x14ac:dyDescent="0.25">
      <c r="A54" s="80" t="s">
        <v>19</v>
      </c>
      <c r="B54" s="481" t="s">
        <v>543</v>
      </c>
      <c r="C54" s="479">
        <f>+C38+C53</f>
        <v>12528735833</v>
      </c>
      <c r="D54" s="478">
        <f t="shared" ref="D54:K54" si="24">+D38+D53</f>
        <v>15235873802</v>
      </c>
      <c r="E54" s="479">
        <f t="shared" si="24"/>
        <v>17850896824</v>
      </c>
      <c r="F54" s="479">
        <f t="shared" si="24"/>
        <v>18129529478</v>
      </c>
      <c r="G54" s="479">
        <f t="shared" si="24"/>
        <v>3545399</v>
      </c>
      <c r="H54" s="477">
        <f t="shared" si="3"/>
        <v>2615023022</v>
      </c>
      <c r="I54" s="1002" t="e">
        <f t="shared" si="24"/>
        <v>#REF!</v>
      </c>
      <c r="J54" s="479">
        <f t="shared" ref="J54" si="25">+J38+J53</f>
        <v>84786344350</v>
      </c>
      <c r="K54" s="478" t="e">
        <f t="shared" si="24"/>
        <v>#REF!</v>
      </c>
      <c r="L54" s="480">
        <f t="shared" si="2"/>
        <v>467.66985570633466</v>
      </c>
      <c r="M54" s="157"/>
      <c r="N54" s="854" t="b">
        <f>IF(E54=('4. mell.Önkorm'!E134-'4. mell.Önkorm'!E128-'4. mell.Önkorm'!E129+'5.Int.össz'!E70),TRUE,E54-('4. mell.Önkorm'!E134-'4. mell.Önkorm'!E128-'4. mell.Önkorm'!E129+'5.Int.össz'!E70))</f>
        <v>1</v>
      </c>
    </row>
    <row r="55" spans="1:16" ht="13.5" thickBot="1" x14ac:dyDescent="0.25">
      <c r="A55" s="650"/>
      <c r="B55" s="530"/>
      <c r="C55" s="482"/>
      <c r="D55" s="482"/>
      <c r="E55" s="482"/>
      <c r="F55" s="482"/>
      <c r="G55" s="482"/>
      <c r="H55" s="482"/>
      <c r="I55" s="482"/>
      <c r="J55" s="482"/>
      <c r="K55" s="482"/>
      <c r="L55" s="483" t="str">
        <f t="shared" si="2"/>
        <v/>
      </c>
    </row>
    <row r="56" spans="1:16" ht="15" customHeight="1" thickBot="1" x14ac:dyDescent="0.25">
      <c r="A56" s="634" t="s">
        <v>292</v>
      </c>
      <c r="B56" s="636"/>
      <c r="C56" s="485">
        <f>'4. mell.Önkorm'!C136+'5.Int.össz'!C72</f>
        <v>582</v>
      </c>
      <c r="D56" s="484">
        <f>'4. mell.Önkorm'!D136+'5.Int.össz'!D72</f>
        <v>579</v>
      </c>
      <c r="E56" s="485">
        <f>'4. mell.Önkorm'!E136+'5.Int.össz'!E72</f>
        <v>570</v>
      </c>
      <c r="F56" s="485">
        <f>'4. mell.Önkorm'!F136+'5.Int.össz'!F72</f>
        <v>570</v>
      </c>
      <c r="G56" s="485">
        <f>'4. mell.Önkorm'!G136+'5.Int.össz'!G72</f>
        <v>0</v>
      </c>
      <c r="H56" s="643">
        <f t="shared" si="3"/>
        <v>-9</v>
      </c>
      <c r="I56" s="1006">
        <f>'4. mell.Önkorm'!I136+'5.Int.össz'!I72</f>
        <v>0</v>
      </c>
      <c r="J56" s="1684">
        <f>'4. mell.Önkorm'!J136+'5.Int.össz'!J72</f>
        <v>552</v>
      </c>
      <c r="K56" s="484">
        <f>'4. mell.Önkorm'!K136+'5.Int.össz'!K72</f>
        <v>0</v>
      </c>
      <c r="L56" s="486">
        <f t="shared" si="2"/>
        <v>96.84210526315789</v>
      </c>
    </row>
    <row r="57" spans="1:16" ht="14.25" hidden="1" customHeight="1" thickBot="1" x14ac:dyDescent="0.25">
      <c r="A57" s="69" t="s">
        <v>291</v>
      </c>
      <c r="B57" s="70"/>
      <c r="C57" s="643">
        <f>'4. mell.Önkorm'!C137+'5.Int.össz'!C73</f>
        <v>0</v>
      </c>
      <c r="D57" s="484">
        <f>'4. mell.Önkorm'!D137+'5.Int.össz'!D73</f>
        <v>0</v>
      </c>
      <c r="E57" s="485">
        <f>'4. mell.Önkorm'!E137+'5.Int.össz'!E73</f>
        <v>0</v>
      </c>
      <c r="F57" s="485">
        <f>'4. mell.Önkorm'!F137+'5.Int.össz'!F73</f>
        <v>0</v>
      </c>
      <c r="G57" s="485">
        <f>'4. mell.Önkorm'!G137+'5.Int.össz'!G73</f>
        <v>0</v>
      </c>
      <c r="H57" s="613">
        <f>'4. mell.Önkorm'!H137+'5.Int.össz'!H73</f>
        <v>0</v>
      </c>
      <c r="I57" s="613">
        <f>'4. mell.Önkorm'!I137+'5.Int.össz'!I73</f>
        <v>0</v>
      </c>
      <c r="J57" s="564">
        <f>'4. mell.Önkorm'!J137+'5.Int.össz'!J73</f>
        <v>0</v>
      </c>
      <c r="K57" s="484">
        <f>'4. mell.Önkorm'!K137+'5.Int.össz'!K73</f>
        <v>0</v>
      </c>
      <c r="L57" s="486" t="e">
        <f>K57/D57*100</f>
        <v>#DIV/0!</v>
      </c>
    </row>
    <row r="58" spans="1:16" ht="14.25" customHeight="1" x14ac:dyDescent="0.2">
      <c r="A58" s="118"/>
      <c r="B58" s="119"/>
      <c r="C58" s="487"/>
      <c r="D58" s="487"/>
      <c r="E58" s="487"/>
      <c r="F58" s="487"/>
      <c r="G58" s="487"/>
      <c r="H58" s="487"/>
      <c r="I58" s="487"/>
      <c r="J58" s="488"/>
      <c r="K58" s="487"/>
      <c r="L58" s="489"/>
    </row>
    <row r="59" spans="1:16" x14ac:dyDescent="0.2">
      <c r="A59" s="1777" t="s">
        <v>253</v>
      </c>
      <c r="B59" s="1777"/>
      <c r="C59" s="1777"/>
      <c r="D59" s="1777"/>
      <c r="E59" s="1777"/>
      <c r="F59" s="1777"/>
      <c r="G59" s="1777"/>
      <c r="H59" s="1777"/>
      <c r="I59" s="1777"/>
      <c r="J59" s="1777"/>
    </row>
    <row r="60" spans="1:16" ht="14.25" thickBot="1" x14ac:dyDescent="0.25">
      <c r="A60" s="1776" t="s">
        <v>362</v>
      </c>
      <c r="B60" s="1776"/>
      <c r="C60" s="1776"/>
      <c r="D60" s="1776"/>
      <c r="E60" s="1776"/>
      <c r="F60" s="1776"/>
      <c r="G60" s="1776"/>
      <c r="H60" s="1776"/>
      <c r="I60" s="1776"/>
      <c r="J60" s="1776"/>
      <c r="K60" s="1776"/>
      <c r="L60" s="1776"/>
      <c r="P60" s="688"/>
    </row>
    <row r="61" spans="1:16" ht="21.75" thickBot="1" x14ac:dyDescent="0.25">
      <c r="A61" s="14" t="s">
        <v>12</v>
      </c>
      <c r="B61" s="15" t="s">
        <v>651</v>
      </c>
      <c r="C61" s="431">
        <f>'1. mell.bevétel_össz'!C66-C38</f>
        <v>-5167888744</v>
      </c>
      <c r="D61" s="430">
        <f>'1. mell.bevétel_össz'!D66-D38</f>
        <v>-5477100158</v>
      </c>
      <c r="E61" s="430">
        <f>'1. mell.bevétel_össz'!E66-E38</f>
        <v>-5477100158</v>
      </c>
      <c r="F61" s="430">
        <f>'1. mell.bevétel_össz'!F66-F38</f>
        <v>-5477100158</v>
      </c>
      <c r="G61" s="430">
        <f>'1. mell.bevétel_össz'!G66-G38</f>
        <v>-2969136</v>
      </c>
      <c r="H61" s="1007">
        <f t="shared" ref="H61:H62" si="26">+E61-D61</f>
        <v>0</v>
      </c>
      <c r="I61" s="614" t="e">
        <f>'1. mell.bevétel_össz'!I66-I38</f>
        <v>#REF!</v>
      </c>
      <c r="J61" s="431">
        <f>'1. mell.bevétel_össz'!J66-J38</f>
        <v>255080437</v>
      </c>
      <c r="K61" s="430" t="e">
        <f>'1. mell.bevétel_össz'!K66-K38</f>
        <v>#REF!</v>
      </c>
      <c r="L61" s="471">
        <f t="shared" ref="L61:L62" si="27">IF(F61=0,"",J61/F61*100)</f>
        <v>-4.6572169513355099</v>
      </c>
      <c r="M61" s="157"/>
    </row>
    <row r="62" spans="1:16" ht="21.75" thickBot="1" x14ac:dyDescent="0.25">
      <c r="A62" s="14" t="s">
        <v>13</v>
      </c>
      <c r="B62" s="15" t="s">
        <v>652</v>
      </c>
      <c r="C62" s="431">
        <f>'1. mell.bevétel_össz'!C82-'1.mell.kiadás_össz'!C53</f>
        <v>5167888744</v>
      </c>
      <c r="D62" s="430">
        <f>'1. mell.bevétel_össz'!D82-'1.mell.kiadás_össz'!D53</f>
        <v>5477100158</v>
      </c>
      <c r="E62" s="430">
        <f>'1. mell.bevétel_össz'!E82-'1.mell.kiadás_össz'!E53</f>
        <v>5477100158</v>
      </c>
      <c r="F62" s="430">
        <f>'1. mell.bevétel_össz'!F82-'1.mell.kiadás_össz'!F53</f>
        <v>5477100158</v>
      </c>
      <c r="G62" s="430">
        <f>'1. mell.bevétel_össz'!G82-'1.mell.kiadás_össz'!G53</f>
        <v>0</v>
      </c>
      <c r="H62" s="1007">
        <f t="shared" si="26"/>
        <v>0</v>
      </c>
      <c r="I62" s="614">
        <f>'1. mell.bevétel_össz'!I82-'1.mell.kiadás_össz'!I53</f>
        <v>0</v>
      </c>
      <c r="J62" s="431">
        <f>'1. mell.bevétel_össz'!J82-'1.mell.kiadás_össz'!J53</f>
        <v>218711158</v>
      </c>
      <c r="K62" s="430" t="e">
        <f>'1. mell.bevétel_össz'!K82-'1.mell.kiadás_össz'!K53</f>
        <v>#VALUE!</v>
      </c>
      <c r="L62" s="471">
        <f t="shared" si="27"/>
        <v>3.9931925962782437</v>
      </c>
      <c r="M62" s="157"/>
    </row>
    <row r="63" spans="1:16" ht="15.75" x14ac:dyDescent="0.2">
      <c r="A63" s="490"/>
      <c r="B63" s="490"/>
      <c r="C63" s="491"/>
      <c r="D63" s="491"/>
      <c r="E63" s="491"/>
      <c r="F63" s="491"/>
      <c r="G63" s="491"/>
      <c r="H63" s="491"/>
      <c r="I63" s="491"/>
      <c r="J63" s="491"/>
      <c r="K63" s="491"/>
      <c r="L63" s="492"/>
    </row>
    <row r="64" spans="1:16" ht="15.75" x14ac:dyDescent="0.2">
      <c r="A64" s="1778" t="s">
        <v>254</v>
      </c>
      <c r="B64" s="1778"/>
      <c r="C64" s="1778"/>
      <c r="D64" s="1778"/>
      <c r="E64" s="1778"/>
      <c r="F64" s="1778"/>
      <c r="G64" s="1778"/>
      <c r="H64" s="1778"/>
      <c r="I64" s="1778"/>
      <c r="J64" s="1778"/>
      <c r="K64" s="493"/>
      <c r="L64" s="494"/>
    </row>
    <row r="65" spans="1:13" ht="14.25" thickBot="1" x14ac:dyDescent="0.25">
      <c r="A65" s="1776" t="s">
        <v>362</v>
      </c>
      <c r="B65" s="1776"/>
      <c r="C65" s="1776"/>
      <c r="D65" s="1776"/>
      <c r="E65" s="1776"/>
      <c r="F65" s="1776"/>
      <c r="G65" s="1776"/>
      <c r="H65" s="1776"/>
      <c r="I65" s="1776"/>
      <c r="J65" s="1776"/>
      <c r="K65" s="1776"/>
      <c r="L65" s="1776"/>
    </row>
    <row r="66" spans="1:13" ht="27.75" customHeight="1" thickBot="1" x14ac:dyDescent="0.25">
      <c r="A66" s="14" t="s">
        <v>12</v>
      </c>
      <c r="B66" s="94" t="s">
        <v>653</v>
      </c>
      <c r="C66" s="431">
        <f>'1. mell.bevétel_össz'!C83-'1.mell.kiadás_össz'!C54</f>
        <v>0</v>
      </c>
      <c r="D66" s="430">
        <f>'1. mell.bevétel_össz'!D83-'1.mell.kiadás_össz'!D54</f>
        <v>0</v>
      </c>
      <c r="E66" s="430">
        <f>'1. mell.bevétel_össz'!E83-'1.mell.kiadás_össz'!E54</f>
        <v>0</v>
      </c>
      <c r="F66" s="430">
        <f>'1. mell.bevétel_össz'!F83-'1.mell.kiadás_össz'!F54</f>
        <v>0</v>
      </c>
      <c r="G66" s="430">
        <f>'1. mell.bevétel_össz'!G83-'1.mell.kiadás_össz'!G54</f>
        <v>-2969136</v>
      </c>
      <c r="H66" s="1007">
        <f t="shared" ref="H66" si="28">+E66-D66</f>
        <v>0</v>
      </c>
      <c r="I66" s="614" t="e">
        <f>'1. mell.bevétel_össz'!I83-'1.mell.kiadás_össz'!I54</f>
        <v>#REF!</v>
      </c>
      <c r="J66" s="431">
        <f>'1. mell.bevétel_össz'!J83-'1.mell.kiadás_össz'!J54</f>
        <v>473791595</v>
      </c>
      <c r="K66" s="430" t="e">
        <f>'1. mell.bevétel_össz'!K83-'1.mell.kiadás_össz'!K54</f>
        <v>#REF!</v>
      </c>
      <c r="L66" s="471" t="str">
        <f t="shared" ref="L66" si="29">IF(F66=0,"",J66/F66*100)</f>
        <v/>
      </c>
      <c r="M66" s="157"/>
    </row>
    <row r="67" spans="1:13" x14ac:dyDescent="0.2">
      <c r="B67" s="1775"/>
      <c r="C67" s="1775"/>
      <c r="D67" s="1775"/>
      <c r="E67" s="1775"/>
      <c r="F67" s="1775"/>
      <c r="G67" s="1775"/>
      <c r="H67" s="1775"/>
      <c r="J67" s="163"/>
    </row>
    <row r="68" spans="1:13" x14ac:dyDescent="0.2">
      <c r="D68" s="437"/>
      <c r="E68" s="437"/>
      <c r="F68" s="437"/>
      <c r="G68" s="437"/>
      <c r="H68" s="437"/>
      <c r="I68" s="437"/>
      <c r="J68" s="437"/>
      <c r="K68" s="437"/>
      <c r="L68" s="495"/>
    </row>
  </sheetData>
  <sheetProtection formatCells="0"/>
  <mergeCells count="12">
    <mergeCell ref="B67:H67"/>
    <mergeCell ref="A65:L65"/>
    <mergeCell ref="A3:L3"/>
    <mergeCell ref="A59:J59"/>
    <mergeCell ref="A2:J2"/>
    <mergeCell ref="A64:J64"/>
    <mergeCell ref="A60:L60"/>
    <mergeCell ref="A7:L7"/>
    <mergeCell ref="A4:L4"/>
    <mergeCell ref="A5:L5"/>
    <mergeCell ref="A6:L6"/>
    <mergeCell ref="A1:L1"/>
  </mergeCells>
  <phoneticPr fontId="45" type="noConversion"/>
  <conditionalFormatting sqref="N54">
    <cfRule type="cellIs" dxfId="4" priority="1" operator="notEqual">
      <formula>TRUE</formula>
    </cfRule>
  </conditionalFormatting>
  <printOptions horizontalCentered="1"/>
  <pageMargins left="0.19685039370078741" right="0.19685039370078741" top="0.39370078740157483" bottom="0.19685039370078741" header="0.39370078740157483" footer="0.19685039370078741"/>
  <pageSetup paperSize="9" scale="8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view="pageBreakPreview" zoomScaleNormal="100" zoomScaleSheetLayoutView="100" workbookViewId="0">
      <selection activeCell="H22" sqref="H22"/>
    </sheetView>
  </sheetViews>
  <sheetFormatPr defaultRowHeight="15" x14ac:dyDescent="0.25"/>
  <cols>
    <col min="1" max="1" width="9" style="204" customWidth="1"/>
    <col min="2" max="2" width="68.6640625" style="204" customWidth="1"/>
    <col min="3" max="3" width="19.5" style="204" customWidth="1"/>
    <col min="4" max="256" width="9.33203125" style="204"/>
    <col min="257" max="257" width="5.6640625" style="204" customWidth="1"/>
    <col min="258" max="258" width="68.6640625" style="204" customWidth="1"/>
    <col min="259" max="259" width="19.5" style="204" customWidth="1"/>
    <col min="260" max="512" width="9.33203125" style="204"/>
    <col min="513" max="513" width="5.6640625" style="204" customWidth="1"/>
    <col min="514" max="514" width="68.6640625" style="204" customWidth="1"/>
    <col min="515" max="515" width="19.5" style="204" customWidth="1"/>
    <col min="516" max="768" width="9.33203125" style="204"/>
    <col min="769" max="769" width="5.6640625" style="204" customWidth="1"/>
    <col min="770" max="770" width="68.6640625" style="204" customWidth="1"/>
    <col min="771" max="771" width="19.5" style="204" customWidth="1"/>
    <col min="772" max="1024" width="9.33203125" style="204"/>
    <col min="1025" max="1025" width="5.6640625" style="204" customWidth="1"/>
    <col min="1026" max="1026" width="68.6640625" style="204" customWidth="1"/>
    <col min="1027" max="1027" width="19.5" style="204" customWidth="1"/>
    <col min="1028" max="1280" width="9.33203125" style="204"/>
    <col min="1281" max="1281" width="5.6640625" style="204" customWidth="1"/>
    <col min="1282" max="1282" width="68.6640625" style="204" customWidth="1"/>
    <col min="1283" max="1283" width="19.5" style="204" customWidth="1"/>
    <col min="1284" max="1536" width="9.33203125" style="204"/>
    <col min="1537" max="1537" width="5.6640625" style="204" customWidth="1"/>
    <col min="1538" max="1538" width="68.6640625" style="204" customWidth="1"/>
    <col min="1539" max="1539" width="19.5" style="204" customWidth="1"/>
    <col min="1540" max="1792" width="9.33203125" style="204"/>
    <col min="1793" max="1793" width="5.6640625" style="204" customWidth="1"/>
    <col min="1794" max="1794" width="68.6640625" style="204" customWidth="1"/>
    <col min="1795" max="1795" width="19.5" style="204" customWidth="1"/>
    <col min="1796" max="2048" width="9.33203125" style="204"/>
    <col min="2049" max="2049" width="5.6640625" style="204" customWidth="1"/>
    <col min="2050" max="2050" width="68.6640625" style="204" customWidth="1"/>
    <col min="2051" max="2051" width="19.5" style="204" customWidth="1"/>
    <col min="2052" max="2304" width="9.33203125" style="204"/>
    <col min="2305" max="2305" width="5.6640625" style="204" customWidth="1"/>
    <col min="2306" max="2306" width="68.6640625" style="204" customWidth="1"/>
    <col min="2307" max="2307" width="19.5" style="204" customWidth="1"/>
    <col min="2308" max="2560" width="9.33203125" style="204"/>
    <col min="2561" max="2561" width="5.6640625" style="204" customWidth="1"/>
    <col min="2562" max="2562" width="68.6640625" style="204" customWidth="1"/>
    <col min="2563" max="2563" width="19.5" style="204" customWidth="1"/>
    <col min="2564" max="2816" width="9.33203125" style="204"/>
    <col min="2817" max="2817" width="5.6640625" style="204" customWidth="1"/>
    <col min="2818" max="2818" width="68.6640625" style="204" customWidth="1"/>
    <col min="2819" max="2819" width="19.5" style="204" customWidth="1"/>
    <col min="2820" max="3072" width="9.33203125" style="204"/>
    <col min="3073" max="3073" width="5.6640625" style="204" customWidth="1"/>
    <col min="3074" max="3074" width="68.6640625" style="204" customWidth="1"/>
    <col min="3075" max="3075" width="19.5" style="204" customWidth="1"/>
    <col min="3076" max="3328" width="9.33203125" style="204"/>
    <col min="3329" max="3329" width="5.6640625" style="204" customWidth="1"/>
    <col min="3330" max="3330" width="68.6640625" style="204" customWidth="1"/>
    <col min="3331" max="3331" width="19.5" style="204" customWidth="1"/>
    <col min="3332" max="3584" width="9.33203125" style="204"/>
    <col min="3585" max="3585" width="5.6640625" style="204" customWidth="1"/>
    <col min="3586" max="3586" width="68.6640625" style="204" customWidth="1"/>
    <col min="3587" max="3587" width="19.5" style="204" customWidth="1"/>
    <col min="3588" max="3840" width="9.33203125" style="204"/>
    <col min="3841" max="3841" width="5.6640625" style="204" customWidth="1"/>
    <col min="3842" max="3842" width="68.6640625" style="204" customWidth="1"/>
    <col min="3843" max="3843" width="19.5" style="204" customWidth="1"/>
    <col min="3844" max="4096" width="9.33203125" style="204"/>
    <col min="4097" max="4097" width="5.6640625" style="204" customWidth="1"/>
    <col min="4098" max="4098" width="68.6640625" style="204" customWidth="1"/>
    <col min="4099" max="4099" width="19.5" style="204" customWidth="1"/>
    <col min="4100" max="4352" width="9.33203125" style="204"/>
    <col min="4353" max="4353" width="5.6640625" style="204" customWidth="1"/>
    <col min="4354" max="4354" width="68.6640625" style="204" customWidth="1"/>
    <col min="4355" max="4355" width="19.5" style="204" customWidth="1"/>
    <col min="4356" max="4608" width="9.33203125" style="204"/>
    <col min="4609" max="4609" width="5.6640625" style="204" customWidth="1"/>
    <col min="4610" max="4610" width="68.6640625" style="204" customWidth="1"/>
    <col min="4611" max="4611" width="19.5" style="204" customWidth="1"/>
    <col min="4612" max="4864" width="9.33203125" style="204"/>
    <col min="4865" max="4865" width="5.6640625" style="204" customWidth="1"/>
    <col min="4866" max="4866" width="68.6640625" style="204" customWidth="1"/>
    <col min="4867" max="4867" width="19.5" style="204" customWidth="1"/>
    <col min="4868" max="5120" width="9.33203125" style="204"/>
    <col min="5121" max="5121" width="5.6640625" style="204" customWidth="1"/>
    <col min="5122" max="5122" width="68.6640625" style="204" customWidth="1"/>
    <col min="5123" max="5123" width="19.5" style="204" customWidth="1"/>
    <col min="5124" max="5376" width="9.33203125" style="204"/>
    <col min="5377" max="5377" width="5.6640625" style="204" customWidth="1"/>
    <col min="5378" max="5378" width="68.6640625" style="204" customWidth="1"/>
    <col min="5379" max="5379" width="19.5" style="204" customWidth="1"/>
    <col min="5380" max="5632" width="9.33203125" style="204"/>
    <col min="5633" max="5633" width="5.6640625" style="204" customWidth="1"/>
    <col min="5634" max="5634" width="68.6640625" style="204" customWidth="1"/>
    <col min="5635" max="5635" width="19.5" style="204" customWidth="1"/>
    <col min="5636" max="5888" width="9.33203125" style="204"/>
    <col min="5889" max="5889" width="5.6640625" style="204" customWidth="1"/>
    <col min="5890" max="5890" width="68.6640625" style="204" customWidth="1"/>
    <col min="5891" max="5891" width="19.5" style="204" customWidth="1"/>
    <col min="5892" max="6144" width="9.33203125" style="204"/>
    <col min="6145" max="6145" width="5.6640625" style="204" customWidth="1"/>
    <col min="6146" max="6146" width="68.6640625" style="204" customWidth="1"/>
    <col min="6147" max="6147" width="19.5" style="204" customWidth="1"/>
    <col min="6148" max="6400" width="9.33203125" style="204"/>
    <col min="6401" max="6401" width="5.6640625" style="204" customWidth="1"/>
    <col min="6402" max="6402" width="68.6640625" style="204" customWidth="1"/>
    <col min="6403" max="6403" width="19.5" style="204" customWidth="1"/>
    <col min="6404" max="6656" width="9.33203125" style="204"/>
    <col min="6657" max="6657" width="5.6640625" style="204" customWidth="1"/>
    <col min="6658" max="6658" width="68.6640625" style="204" customWidth="1"/>
    <col min="6659" max="6659" width="19.5" style="204" customWidth="1"/>
    <col min="6660" max="6912" width="9.33203125" style="204"/>
    <col min="6913" max="6913" width="5.6640625" style="204" customWidth="1"/>
    <col min="6914" max="6914" width="68.6640625" style="204" customWidth="1"/>
    <col min="6915" max="6915" width="19.5" style="204" customWidth="1"/>
    <col min="6916" max="7168" width="9.33203125" style="204"/>
    <col min="7169" max="7169" width="5.6640625" style="204" customWidth="1"/>
    <col min="7170" max="7170" width="68.6640625" style="204" customWidth="1"/>
    <col min="7171" max="7171" width="19.5" style="204" customWidth="1"/>
    <col min="7172" max="7424" width="9.33203125" style="204"/>
    <col min="7425" max="7425" width="5.6640625" style="204" customWidth="1"/>
    <col min="7426" max="7426" width="68.6640625" style="204" customWidth="1"/>
    <col min="7427" max="7427" width="19.5" style="204" customWidth="1"/>
    <col min="7428" max="7680" width="9.33203125" style="204"/>
    <col min="7681" max="7681" width="5.6640625" style="204" customWidth="1"/>
    <col min="7682" max="7682" width="68.6640625" style="204" customWidth="1"/>
    <col min="7683" max="7683" width="19.5" style="204" customWidth="1"/>
    <col min="7684" max="7936" width="9.33203125" style="204"/>
    <col min="7937" max="7937" width="5.6640625" style="204" customWidth="1"/>
    <col min="7938" max="7938" width="68.6640625" style="204" customWidth="1"/>
    <col min="7939" max="7939" width="19.5" style="204" customWidth="1"/>
    <col min="7940" max="8192" width="9.33203125" style="204"/>
    <col min="8193" max="8193" width="5.6640625" style="204" customWidth="1"/>
    <col min="8194" max="8194" width="68.6640625" style="204" customWidth="1"/>
    <col min="8195" max="8195" width="19.5" style="204" customWidth="1"/>
    <col min="8196" max="8448" width="9.33203125" style="204"/>
    <col min="8449" max="8449" width="5.6640625" style="204" customWidth="1"/>
    <col min="8450" max="8450" width="68.6640625" style="204" customWidth="1"/>
    <col min="8451" max="8451" width="19.5" style="204" customWidth="1"/>
    <col min="8452" max="8704" width="9.33203125" style="204"/>
    <col min="8705" max="8705" width="5.6640625" style="204" customWidth="1"/>
    <col min="8706" max="8706" width="68.6640625" style="204" customWidth="1"/>
    <col min="8707" max="8707" width="19.5" style="204" customWidth="1"/>
    <col min="8708" max="8960" width="9.33203125" style="204"/>
    <col min="8961" max="8961" width="5.6640625" style="204" customWidth="1"/>
    <col min="8962" max="8962" width="68.6640625" style="204" customWidth="1"/>
    <col min="8963" max="8963" width="19.5" style="204" customWidth="1"/>
    <col min="8964" max="9216" width="9.33203125" style="204"/>
    <col min="9217" max="9217" width="5.6640625" style="204" customWidth="1"/>
    <col min="9218" max="9218" width="68.6640625" style="204" customWidth="1"/>
    <col min="9219" max="9219" width="19.5" style="204" customWidth="1"/>
    <col min="9220" max="9472" width="9.33203125" style="204"/>
    <col min="9473" max="9473" width="5.6640625" style="204" customWidth="1"/>
    <col min="9474" max="9474" width="68.6640625" style="204" customWidth="1"/>
    <col min="9475" max="9475" width="19.5" style="204" customWidth="1"/>
    <col min="9476" max="9728" width="9.33203125" style="204"/>
    <col min="9729" max="9729" width="5.6640625" style="204" customWidth="1"/>
    <col min="9730" max="9730" width="68.6640625" style="204" customWidth="1"/>
    <col min="9731" max="9731" width="19.5" style="204" customWidth="1"/>
    <col min="9732" max="9984" width="9.33203125" style="204"/>
    <col min="9985" max="9985" width="5.6640625" style="204" customWidth="1"/>
    <col min="9986" max="9986" width="68.6640625" style="204" customWidth="1"/>
    <col min="9987" max="9987" width="19.5" style="204" customWidth="1"/>
    <col min="9988" max="10240" width="9.33203125" style="204"/>
    <col min="10241" max="10241" width="5.6640625" style="204" customWidth="1"/>
    <col min="10242" max="10242" width="68.6640625" style="204" customWidth="1"/>
    <col min="10243" max="10243" width="19.5" style="204" customWidth="1"/>
    <col min="10244" max="10496" width="9.33203125" style="204"/>
    <col min="10497" max="10497" width="5.6640625" style="204" customWidth="1"/>
    <col min="10498" max="10498" width="68.6640625" style="204" customWidth="1"/>
    <col min="10499" max="10499" width="19.5" style="204" customWidth="1"/>
    <col min="10500" max="10752" width="9.33203125" style="204"/>
    <col min="10753" max="10753" width="5.6640625" style="204" customWidth="1"/>
    <col min="10754" max="10754" width="68.6640625" style="204" customWidth="1"/>
    <col min="10755" max="10755" width="19.5" style="204" customWidth="1"/>
    <col min="10756" max="11008" width="9.33203125" style="204"/>
    <col min="11009" max="11009" width="5.6640625" style="204" customWidth="1"/>
    <col min="11010" max="11010" width="68.6640625" style="204" customWidth="1"/>
    <col min="11011" max="11011" width="19.5" style="204" customWidth="1"/>
    <col min="11012" max="11264" width="9.33203125" style="204"/>
    <col min="11265" max="11265" width="5.6640625" style="204" customWidth="1"/>
    <col min="11266" max="11266" width="68.6640625" style="204" customWidth="1"/>
    <col min="11267" max="11267" width="19.5" style="204" customWidth="1"/>
    <col min="11268" max="11520" width="9.33203125" style="204"/>
    <col min="11521" max="11521" width="5.6640625" style="204" customWidth="1"/>
    <col min="11522" max="11522" width="68.6640625" style="204" customWidth="1"/>
    <col min="11523" max="11523" width="19.5" style="204" customWidth="1"/>
    <col min="11524" max="11776" width="9.33203125" style="204"/>
    <col min="11777" max="11777" width="5.6640625" style="204" customWidth="1"/>
    <col min="11778" max="11778" width="68.6640625" style="204" customWidth="1"/>
    <col min="11779" max="11779" width="19.5" style="204" customWidth="1"/>
    <col min="11780" max="12032" width="9.33203125" style="204"/>
    <col min="12033" max="12033" width="5.6640625" style="204" customWidth="1"/>
    <col min="12034" max="12034" width="68.6640625" style="204" customWidth="1"/>
    <col min="12035" max="12035" width="19.5" style="204" customWidth="1"/>
    <col min="12036" max="12288" width="9.33203125" style="204"/>
    <col min="12289" max="12289" width="5.6640625" style="204" customWidth="1"/>
    <col min="12290" max="12290" width="68.6640625" style="204" customWidth="1"/>
    <col min="12291" max="12291" width="19.5" style="204" customWidth="1"/>
    <col min="12292" max="12544" width="9.33203125" style="204"/>
    <col min="12545" max="12545" width="5.6640625" style="204" customWidth="1"/>
    <col min="12546" max="12546" width="68.6640625" style="204" customWidth="1"/>
    <col min="12547" max="12547" width="19.5" style="204" customWidth="1"/>
    <col min="12548" max="12800" width="9.33203125" style="204"/>
    <col min="12801" max="12801" width="5.6640625" style="204" customWidth="1"/>
    <col min="12802" max="12802" width="68.6640625" style="204" customWidth="1"/>
    <col min="12803" max="12803" width="19.5" style="204" customWidth="1"/>
    <col min="12804" max="13056" width="9.33203125" style="204"/>
    <col min="13057" max="13057" width="5.6640625" style="204" customWidth="1"/>
    <col min="13058" max="13058" width="68.6640625" style="204" customWidth="1"/>
    <col min="13059" max="13059" width="19.5" style="204" customWidth="1"/>
    <col min="13060" max="13312" width="9.33203125" style="204"/>
    <col min="13313" max="13313" width="5.6640625" style="204" customWidth="1"/>
    <col min="13314" max="13314" width="68.6640625" style="204" customWidth="1"/>
    <col min="13315" max="13315" width="19.5" style="204" customWidth="1"/>
    <col min="13316" max="13568" width="9.33203125" style="204"/>
    <col min="13569" max="13569" width="5.6640625" style="204" customWidth="1"/>
    <col min="13570" max="13570" width="68.6640625" style="204" customWidth="1"/>
    <col min="13571" max="13571" width="19.5" style="204" customWidth="1"/>
    <col min="13572" max="13824" width="9.33203125" style="204"/>
    <col min="13825" max="13825" width="5.6640625" style="204" customWidth="1"/>
    <col min="13826" max="13826" width="68.6640625" style="204" customWidth="1"/>
    <col min="13827" max="13827" width="19.5" style="204" customWidth="1"/>
    <col min="13828" max="14080" width="9.33203125" style="204"/>
    <col min="14081" max="14081" width="5.6640625" style="204" customWidth="1"/>
    <col min="14082" max="14082" width="68.6640625" style="204" customWidth="1"/>
    <col min="14083" max="14083" width="19.5" style="204" customWidth="1"/>
    <col min="14084" max="14336" width="9.33203125" style="204"/>
    <col min="14337" max="14337" width="5.6640625" style="204" customWidth="1"/>
    <col min="14338" max="14338" width="68.6640625" style="204" customWidth="1"/>
    <col min="14339" max="14339" width="19.5" style="204" customWidth="1"/>
    <col min="14340" max="14592" width="9.33203125" style="204"/>
    <col min="14593" max="14593" width="5.6640625" style="204" customWidth="1"/>
    <col min="14594" max="14594" width="68.6640625" style="204" customWidth="1"/>
    <col min="14595" max="14595" width="19.5" style="204" customWidth="1"/>
    <col min="14596" max="14848" width="9.33203125" style="204"/>
    <col min="14849" max="14849" width="5.6640625" style="204" customWidth="1"/>
    <col min="14850" max="14850" width="68.6640625" style="204" customWidth="1"/>
    <col min="14851" max="14851" width="19.5" style="204" customWidth="1"/>
    <col min="14852" max="15104" width="9.33203125" style="204"/>
    <col min="15105" max="15105" width="5.6640625" style="204" customWidth="1"/>
    <col min="15106" max="15106" width="68.6640625" style="204" customWidth="1"/>
    <col min="15107" max="15107" width="19.5" style="204" customWidth="1"/>
    <col min="15108" max="15360" width="9.33203125" style="204"/>
    <col min="15361" max="15361" width="5.6640625" style="204" customWidth="1"/>
    <col min="15362" max="15362" width="68.6640625" style="204" customWidth="1"/>
    <col min="15363" max="15363" width="19.5" style="204" customWidth="1"/>
    <col min="15364" max="15616" width="9.33203125" style="204"/>
    <col min="15617" max="15617" width="5.6640625" style="204" customWidth="1"/>
    <col min="15618" max="15618" width="68.6640625" style="204" customWidth="1"/>
    <col min="15619" max="15619" width="19.5" style="204" customWidth="1"/>
    <col min="15620" max="15872" width="9.33203125" style="204"/>
    <col min="15873" max="15873" width="5.6640625" style="204" customWidth="1"/>
    <col min="15874" max="15874" width="68.6640625" style="204" customWidth="1"/>
    <col min="15875" max="15875" width="19.5" style="204" customWidth="1"/>
    <col min="15876" max="16128" width="9.33203125" style="204"/>
    <col min="16129" max="16129" width="5.6640625" style="204" customWidth="1"/>
    <col min="16130" max="16130" width="68.6640625" style="204" customWidth="1"/>
    <col min="16131" max="16131" width="19.5" style="204" customWidth="1"/>
    <col min="16132" max="16384" width="9.33203125" style="204"/>
  </cols>
  <sheetData>
    <row r="1" spans="1:5" x14ac:dyDescent="0.25">
      <c r="A1" s="1835" t="s">
        <v>720</v>
      </c>
      <c r="B1" s="1835"/>
      <c r="C1" s="1835"/>
      <c r="D1" s="536"/>
      <c r="E1" s="536"/>
    </row>
    <row r="2" spans="1:5" ht="46.5" customHeight="1" x14ac:dyDescent="0.25">
      <c r="A2" s="1773"/>
      <c r="B2" s="1773"/>
      <c r="C2" s="1773"/>
      <c r="D2" s="1773"/>
      <c r="E2" s="1773"/>
    </row>
    <row r="3" spans="1:5" s="368" customFormat="1" ht="36" customHeight="1" x14ac:dyDescent="0.25">
      <c r="A3" s="1846" t="s">
        <v>515</v>
      </c>
      <c r="B3" s="1846"/>
      <c r="C3" s="1846"/>
    </row>
    <row r="4" spans="1:5" s="368" customFormat="1" ht="15.75" thickBot="1" x14ac:dyDescent="0.3">
      <c r="A4" s="369"/>
      <c r="B4" s="369"/>
      <c r="C4" s="369"/>
    </row>
    <row r="5" spans="1:5" s="368" customFormat="1" ht="17.45" customHeight="1" x14ac:dyDescent="0.25">
      <c r="A5" s="1847" t="s">
        <v>421</v>
      </c>
      <c r="B5" s="1850" t="s">
        <v>132</v>
      </c>
      <c r="C5" s="1853" t="s">
        <v>674</v>
      </c>
    </row>
    <row r="6" spans="1:5" s="368" customFormat="1" ht="9" customHeight="1" x14ac:dyDescent="0.25">
      <c r="A6" s="1848"/>
      <c r="B6" s="1851"/>
      <c r="C6" s="1854"/>
    </row>
    <row r="7" spans="1:5" s="368" customFormat="1" ht="9.75" customHeight="1" thickBot="1" x14ac:dyDescent="0.3">
      <c r="A7" s="1849"/>
      <c r="B7" s="1852"/>
      <c r="C7" s="1855"/>
    </row>
    <row r="8" spans="1:5" s="368" customFormat="1" ht="15.75" thickBot="1" x14ac:dyDescent="0.3">
      <c r="A8" s="370" t="s">
        <v>297</v>
      </c>
      <c r="B8" s="370" t="s">
        <v>298</v>
      </c>
      <c r="C8" s="371" t="s">
        <v>299</v>
      </c>
    </row>
    <row r="9" spans="1:5" s="368" customFormat="1" ht="51" customHeight="1" x14ac:dyDescent="0.25">
      <c r="A9" s="372" t="s">
        <v>141</v>
      </c>
      <c r="B9" s="424" t="s">
        <v>718</v>
      </c>
      <c r="C9" s="373">
        <f>'1. mell.bevétel_össz'!C32+'1. mell.bevétel_össz'!C34+'1. mell.bevétel_össz'!C37</f>
        <v>3862000000</v>
      </c>
    </row>
    <row r="10" spans="1:5" s="368" customFormat="1" ht="51" customHeight="1" x14ac:dyDescent="0.25">
      <c r="A10" s="374" t="s">
        <v>185</v>
      </c>
      <c r="B10" s="424" t="s">
        <v>516</v>
      </c>
      <c r="C10" s="375">
        <f>'1. mell.bevétel_össz'!C44</f>
        <v>78517110</v>
      </c>
    </row>
    <row r="11" spans="1:5" s="368" customFormat="1" ht="51" customHeight="1" x14ac:dyDescent="0.25">
      <c r="A11" s="374" t="s">
        <v>138</v>
      </c>
      <c r="B11" s="425" t="s">
        <v>517</v>
      </c>
      <c r="C11" s="375"/>
    </row>
    <row r="12" spans="1:5" s="368" customFormat="1" ht="51" customHeight="1" x14ac:dyDescent="0.25">
      <c r="A12" s="374" t="s">
        <v>184</v>
      </c>
      <c r="B12" s="425" t="s">
        <v>518</v>
      </c>
      <c r="C12" s="375">
        <f>'1. mell.bevétel_össz'!C54</f>
        <v>57720000</v>
      </c>
    </row>
    <row r="13" spans="1:5" s="368" customFormat="1" ht="51" customHeight="1" x14ac:dyDescent="0.25">
      <c r="A13" s="374" t="s">
        <v>183</v>
      </c>
      <c r="B13" s="425" t="s">
        <v>703</v>
      </c>
      <c r="C13" s="375">
        <f>'1. mell.bevétel_össz'!C39</f>
        <v>15000000</v>
      </c>
    </row>
    <row r="14" spans="1:5" s="368" customFormat="1" ht="51" customHeight="1" thickBot="1" x14ac:dyDescent="0.3">
      <c r="A14" s="374" t="s">
        <v>182</v>
      </c>
      <c r="B14" s="376" t="s">
        <v>519</v>
      </c>
      <c r="C14" s="399"/>
    </row>
    <row r="15" spans="1:5" s="368" customFormat="1" ht="15.75" thickBot="1" x14ac:dyDescent="0.3">
      <c r="A15" s="377" t="s">
        <v>181</v>
      </c>
      <c r="B15" s="378" t="s">
        <v>520</v>
      </c>
      <c r="C15" s="379">
        <f>SUM(C9:C14)</f>
        <v>4013237110</v>
      </c>
    </row>
    <row r="16" spans="1:5" s="368" customFormat="1" ht="51" customHeight="1" x14ac:dyDescent="0.25">
      <c r="A16" s="372" t="s">
        <v>661</v>
      </c>
      <c r="B16" s="380" t="s">
        <v>528</v>
      </c>
      <c r="C16" s="400"/>
    </row>
    <row r="17" spans="1:3" s="368" customFormat="1" ht="70.5" customHeight="1" x14ac:dyDescent="0.25">
      <c r="A17" s="372" t="s">
        <v>521</v>
      </c>
      <c r="B17" s="382" t="s">
        <v>522</v>
      </c>
      <c r="C17" s="383"/>
    </row>
    <row r="18" spans="1:3" s="368" customFormat="1" ht="51" customHeight="1" x14ac:dyDescent="0.25">
      <c r="A18" s="381">
        <v>10</v>
      </c>
      <c r="B18" s="382" t="s">
        <v>523</v>
      </c>
      <c r="C18" s="375"/>
    </row>
    <row r="19" spans="1:3" s="368" customFormat="1" ht="51" customHeight="1" x14ac:dyDescent="0.25">
      <c r="A19" s="381">
        <v>11</v>
      </c>
      <c r="B19" s="382" t="s">
        <v>524</v>
      </c>
      <c r="C19" s="375"/>
    </row>
    <row r="20" spans="1:3" s="368" customFormat="1" ht="59.25" customHeight="1" x14ac:dyDescent="0.25">
      <c r="A20" s="381">
        <v>12</v>
      </c>
      <c r="B20" s="382" t="s">
        <v>525</v>
      </c>
      <c r="C20" s="375"/>
    </row>
    <row r="21" spans="1:3" s="368" customFormat="1" ht="51" customHeight="1" x14ac:dyDescent="0.25">
      <c r="A21" s="381">
        <v>13</v>
      </c>
      <c r="B21" s="382" t="s">
        <v>526</v>
      </c>
      <c r="C21" s="373"/>
    </row>
    <row r="22" spans="1:3" s="368" customFormat="1" ht="51" customHeight="1" thickBot="1" x14ac:dyDescent="0.3">
      <c r="A22" s="384">
        <v>14</v>
      </c>
      <c r="B22" s="385" t="s">
        <v>527</v>
      </c>
      <c r="C22" s="386"/>
    </row>
    <row r="23" spans="1:3" s="368" customFormat="1" ht="51" customHeight="1" thickBot="1" x14ac:dyDescent="0.3">
      <c r="A23" s="370">
        <v>15</v>
      </c>
      <c r="B23" s="378" t="s">
        <v>662</v>
      </c>
      <c r="C23" s="379">
        <f>SUM(C16:C22)</f>
        <v>0</v>
      </c>
    </row>
    <row r="24" spans="1:3" ht="22.7" customHeight="1" x14ac:dyDescent="0.25">
      <c r="A24" s="1845" t="s">
        <v>426</v>
      </c>
      <c r="B24" s="1845"/>
      <c r="C24" s="1845"/>
    </row>
    <row r="25" spans="1:3" s="368" customFormat="1" x14ac:dyDescent="0.25">
      <c r="C25" s="387"/>
    </row>
  </sheetData>
  <mergeCells count="7">
    <mergeCell ref="A1:C1"/>
    <mergeCell ref="A2:E2"/>
    <mergeCell ref="A24:C24"/>
    <mergeCell ref="A3:C3"/>
    <mergeCell ref="A5:A7"/>
    <mergeCell ref="B5:B7"/>
    <mergeCell ref="C5:C7"/>
  </mergeCells>
  <printOptions horizontalCentered="1"/>
  <pageMargins left="1.299212598425197" right="0.70866141732283472" top="0.59055118110236227" bottom="0.35433070866141736" header="0.31496062992125984" footer="0.31496062992125984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view="pageBreakPreview" zoomScaleNormal="120" zoomScaleSheetLayoutView="100" workbookViewId="0">
      <selection activeCell="H22" sqref="H22"/>
    </sheetView>
  </sheetViews>
  <sheetFormatPr defaultRowHeight="15" x14ac:dyDescent="0.25"/>
  <cols>
    <col min="1" max="1" width="5.6640625" style="204" customWidth="1"/>
    <col min="2" max="2" width="56.33203125" style="204" customWidth="1"/>
    <col min="3" max="3" width="27" style="204" customWidth="1"/>
    <col min="4" max="256" width="9.33203125" style="204"/>
    <col min="257" max="257" width="5.6640625" style="204" customWidth="1"/>
    <col min="258" max="258" width="66.83203125" style="204" customWidth="1"/>
    <col min="259" max="259" width="27" style="204" customWidth="1"/>
    <col min="260" max="512" width="9.33203125" style="204"/>
    <col min="513" max="513" width="5.6640625" style="204" customWidth="1"/>
    <col min="514" max="514" width="66.83203125" style="204" customWidth="1"/>
    <col min="515" max="515" width="27" style="204" customWidth="1"/>
    <col min="516" max="768" width="9.33203125" style="204"/>
    <col min="769" max="769" width="5.6640625" style="204" customWidth="1"/>
    <col min="770" max="770" width="66.83203125" style="204" customWidth="1"/>
    <col min="771" max="771" width="27" style="204" customWidth="1"/>
    <col min="772" max="1024" width="9.33203125" style="204"/>
    <col min="1025" max="1025" width="5.6640625" style="204" customWidth="1"/>
    <col min="1026" max="1026" width="66.83203125" style="204" customWidth="1"/>
    <col min="1027" max="1027" width="27" style="204" customWidth="1"/>
    <col min="1028" max="1280" width="9.33203125" style="204"/>
    <col min="1281" max="1281" width="5.6640625" style="204" customWidth="1"/>
    <col min="1282" max="1282" width="66.83203125" style="204" customWidth="1"/>
    <col min="1283" max="1283" width="27" style="204" customWidth="1"/>
    <col min="1284" max="1536" width="9.33203125" style="204"/>
    <col min="1537" max="1537" width="5.6640625" style="204" customWidth="1"/>
    <col min="1538" max="1538" width="66.83203125" style="204" customWidth="1"/>
    <col min="1539" max="1539" width="27" style="204" customWidth="1"/>
    <col min="1540" max="1792" width="9.33203125" style="204"/>
    <col min="1793" max="1793" width="5.6640625" style="204" customWidth="1"/>
    <col min="1794" max="1794" width="66.83203125" style="204" customWidth="1"/>
    <col min="1795" max="1795" width="27" style="204" customWidth="1"/>
    <col min="1796" max="2048" width="9.33203125" style="204"/>
    <col min="2049" max="2049" width="5.6640625" style="204" customWidth="1"/>
    <col min="2050" max="2050" width="66.83203125" style="204" customWidth="1"/>
    <col min="2051" max="2051" width="27" style="204" customWidth="1"/>
    <col min="2052" max="2304" width="9.33203125" style="204"/>
    <col min="2305" max="2305" width="5.6640625" style="204" customWidth="1"/>
    <col min="2306" max="2306" width="66.83203125" style="204" customWidth="1"/>
    <col min="2307" max="2307" width="27" style="204" customWidth="1"/>
    <col min="2308" max="2560" width="9.33203125" style="204"/>
    <col min="2561" max="2561" width="5.6640625" style="204" customWidth="1"/>
    <col min="2562" max="2562" width="66.83203125" style="204" customWidth="1"/>
    <col min="2563" max="2563" width="27" style="204" customWidth="1"/>
    <col min="2564" max="2816" width="9.33203125" style="204"/>
    <col min="2817" max="2817" width="5.6640625" style="204" customWidth="1"/>
    <col min="2818" max="2818" width="66.83203125" style="204" customWidth="1"/>
    <col min="2819" max="2819" width="27" style="204" customWidth="1"/>
    <col min="2820" max="3072" width="9.33203125" style="204"/>
    <col min="3073" max="3073" width="5.6640625" style="204" customWidth="1"/>
    <col min="3074" max="3074" width="66.83203125" style="204" customWidth="1"/>
    <col min="3075" max="3075" width="27" style="204" customWidth="1"/>
    <col min="3076" max="3328" width="9.33203125" style="204"/>
    <col min="3329" max="3329" width="5.6640625" style="204" customWidth="1"/>
    <col min="3330" max="3330" width="66.83203125" style="204" customWidth="1"/>
    <col min="3331" max="3331" width="27" style="204" customWidth="1"/>
    <col min="3332" max="3584" width="9.33203125" style="204"/>
    <col min="3585" max="3585" width="5.6640625" style="204" customWidth="1"/>
    <col min="3586" max="3586" width="66.83203125" style="204" customWidth="1"/>
    <col min="3587" max="3587" width="27" style="204" customWidth="1"/>
    <col min="3588" max="3840" width="9.33203125" style="204"/>
    <col min="3841" max="3841" width="5.6640625" style="204" customWidth="1"/>
    <col min="3842" max="3842" width="66.83203125" style="204" customWidth="1"/>
    <col min="3843" max="3843" width="27" style="204" customWidth="1"/>
    <col min="3844" max="4096" width="9.33203125" style="204"/>
    <col min="4097" max="4097" width="5.6640625" style="204" customWidth="1"/>
    <col min="4098" max="4098" width="66.83203125" style="204" customWidth="1"/>
    <col min="4099" max="4099" width="27" style="204" customWidth="1"/>
    <col min="4100" max="4352" width="9.33203125" style="204"/>
    <col min="4353" max="4353" width="5.6640625" style="204" customWidth="1"/>
    <col min="4354" max="4354" width="66.83203125" style="204" customWidth="1"/>
    <col min="4355" max="4355" width="27" style="204" customWidth="1"/>
    <col min="4356" max="4608" width="9.33203125" style="204"/>
    <col min="4609" max="4609" width="5.6640625" style="204" customWidth="1"/>
    <col min="4610" max="4610" width="66.83203125" style="204" customWidth="1"/>
    <col min="4611" max="4611" width="27" style="204" customWidth="1"/>
    <col min="4612" max="4864" width="9.33203125" style="204"/>
    <col min="4865" max="4865" width="5.6640625" style="204" customWidth="1"/>
    <col min="4866" max="4866" width="66.83203125" style="204" customWidth="1"/>
    <col min="4867" max="4867" width="27" style="204" customWidth="1"/>
    <col min="4868" max="5120" width="9.33203125" style="204"/>
    <col min="5121" max="5121" width="5.6640625" style="204" customWidth="1"/>
    <col min="5122" max="5122" width="66.83203125" style="204" customWidth="1"/>
    <col min="5123" max="5123" width="27" style="204" customWidth="1"/>
    <col min="5124" max="5376" width="9.33203125" style="204"/>
    <col min="5377" max="5377" width="5.6640625" style="204" customWidth="1"/>
    <col min="5378" max="5378" width="66.83203125" style="204" customWidth="1"/>
    <col min="5379" max="5379" width="27" style="204" customWidth="1"/>
    <col min="5380" max="5632" width="9.33203125" style="204"/>
    <col min="5633" max="5633" width="5.6640625" style="204" customWidth="1"/>
    <col min="5634" max="5634" width="66.83203125" style="204" customWidth="1"/>
    <col min="5635" max="5635" width="27" style="204" customWidth="1"/>
    <col min="5636" max="5888" width="9.33203125" style="204"/>
    <col min="5889" max="5889" width="5.6640625" style="204" customWidth="1"/>
    <col min="5890" max="5890" width="66.83203125" style="204" customWidth="1"/>
    <col min="5891" max="5891" width="27" style="204" customWidth="1"/>
    <col min="5892" max="6144" width="9.33203125" style="204"/>
    <col min="6145" max="6145" width="5.6640625" style="204" customWidth="1"/>
    <col min="6146" max="6146" width="66.83203125" style="204" customWidth="1"/>
    <col min="6147" max="6147" width="27" style="204" customWidth="1"/>
    <col min="6148" max="6400" width="9.33203125" style="204"/>
    <col min="6401" max="6401" width="5.6640625" style="204" customWidth="1"/>
    <col min="6402" max="6402" width="66.83203125" style="204" customWidth="1"/>
    <col min="6403" max="6403" width="27" style="204" customWidth="1"/>
    <col min="6404" max="6656" width="9.33203125" style="204"/>
    <col min="6657" max="6657" width="5.6640625" style="204" customWidth="1"/>
    <col min="6658" max="6658" width="66.83203125" style="204" customWidth="1"/>
    <col min="6659" max="6659" width="27" style="204" customWidth="1"/>
    <col min="6660" max="6912" width="9.33203125" style="204"/>
    <col min="6913" max="6913" width="5.6640625" style="204" customWidth="1"/>
    <col min="6914" max="6914" width="66.83203125" style="204" customWidth="1"/>
    <col min="6915" max="6915" width="27" style="204" customWidth="1"/>
    <col min="6916" max="7168" width="9.33203125" style="204"/>
    <col min="7169" max="7169" width="5.6640625" style="204" customWidth="1"/>
    <col min="7170" max="7170" width="66.83203125" style="204" customWidth="1"/>
    <col min="7171" max="7171" width="27" style="204" customWidth="1"/>
    <col min="7172" max="7424" width="9.33203125" style="204"/>
    <col min="7425" max="7425" width="5.6640625" style="204" customWidth="1"/>
    <col min="7426" max="7426" width="66.83203125" style="204" customWidth="1"/>
    <col min="7427" max="7427" width="27" style="204" customWidth="1"/>
    <col min="7428" max="7680" width="9.33203125" style="204"/>
    <col min="7681" max="7681" width="5.6640625" style="204" customWidth="1"/>
    <col min="7682" max="7682" width="66.83203125" style="204" customWidth="1"/>
    <col min="7683" max="7683" width="27" style="204" customWidth="1"/>
    <col min="7684" max="7936" width="9.33203125" style="204"/>
    <col min="7937" max="7937" width="5.6640625" style="204" customWidth="1"/>
    <col min="7938" max="7938" width="66.83203125" style="204" customWidth="1"/>
    <col min="7939" max="7939" width="27" style="204" customWidth="1"/>
    <col min="7940" max="8192" width="9.33203125" style="204"/>
    <col min="8193" max="8193" width="5.6640625" style="204" customWidth="1"/>
    <col min="8194" max="8194" width="66.83203125" style="204" customWidth="1"/>
    <col min="8195" max="8195" width="27" style="204" customWidth="1"/>
    <col min="8196" max="8448" width="9.33203125" style="204"/>
    <col min="8449" max="8449" width="5.6640625" style="204" customWidth="1"/>
    <col min="8450" max="8450" width="66.83203125" style="204" customWidth="1"/>
    <col min="8451" max="8451" width="27" style="204" customWidth="1"/>
    <col min="8452" max="8704" width="9.33203125" style="204"/>
    <col min="8705" max="8705" width="5.6640625" style="204" customWidth="1"/>
    <col min="8706" max="8706" width="66.83203125" style="204" customWidth="1"/>
    <col min="8707" max="8707" width="27" style="204" customWidth="1"/>
    <col min="8708" max="8960" width="9.33203125" style="204"/>
    <col min="8961" max="8961" width="5.6640625" style="204" customWidth="1"/>
    <col min="8962" max="8962" width="66.83203125" style="204" customWidth="1"/>
    <col min="8963" max="8963" width="27" style="204" customWidth="1"/>
    <col min="8964" max="9216" width="9.33203125" style="204"/>
    <col min="9217" max="9217" width="5.6640625" style="204" customWidth="1"/>
    <col min="9218" max="9218" width="66.83203125" style="204" customWidth="1"/>
    <col min="9219" max="9219" width="27" style="204" customWidth="1"/>
    <col min="9220" max="9472" width="9.33203125" style="204"/>
    <col min="9473" max="9473" width="5.6640625" style="204" customWidth="1"/>
    <col min="9474" max="9474" width="66.83203125" style="204" customWidth="1"/>
    <col min="9475" max="9475" width="27" style="204" customWidth="1"/>
    <col min="9476" max="9728" width="9.33203125" style="204"/>
    <col min="9729" max="9729" width="5.6640625" style="204" customWidth="1"/>
    <col min="9730" max="9730" width="66.83203125" style="204" customWidth="1"/>
    <col min="9731" max="9731" width="27" style="204" customWidth="1"/>
    <col min="9732" max="9984" width="9.33203125" style="204"/>
    <col min="9985" max="9985" width="5.6640625" style="204" customWidth="1"/>
    <col min="9986" max="9986" width="66.83203125" style="204" customWidth="1"/>
    <col min="9987" max="9987" width="27" style="204" customWidth="1"/>
    <col min="9988" max="10240" width="9.33203125" style="204"/>
    <col min="10241" max="10241" width="5.6640625" style="204" customWidth="1"/>
    <col min="10242" max="10242" width="66.83203125" style="204" customWidth="1"/>
    <col min="10243" max="10243" width="27" style="204" customWidth="1"/>
    <col min="10244" max="10496" width="9.33203125" style="204"/>
    <col min="10497" max="10497" width="5.6640625" style="204" customWidth="1"/>
    <col min="10498" max="10498" width="66.83203125" style="204" customWidth="1"/>
    <col min="10499" max="10499" width="27" style="204" customWidth="1"/>
    <col min="10500" max="10752" width="9.33203125" style="204"/>
    <col min="10753" max="10753" width="5.6640625" style="204" customWidth="1"/>
    <col min="10754" max="10754" width="66.83203125" style="204" customWidth="1"/>
    <col min="10755" max="10755" width="27" style="204" customWidth="1"/>
    <col min="10756" max="11008" width="9.33203125" style="204"/>
    <col min="11009" max="11009" width="5.6640625" style="204" customWidth="1"/>
    <col min="11010" max="11010" width="66.83203125" style="204" customWidth="1"/>
    <col min="11011" max="11011" width="27" style="204" customWidth="1"/>
    <col min="11012" max="11264" width="9.33203125" style="204"/>
    <col min="11265" max="11265" width="5.6640625" style="204" customWidth="1"/>
    <col min="11266" max="11266" width="66.83203125" style="204" customWidth="1"/>
    <col min="11267" max="11267" width="27" style="204" customWidth="1"/>
    <col min="11268" max="11520" width="9.33203125" style="204"/>
    <col min="11521" max="11521" width="5.6640625" style="204" customWidth="1"/>
    <col min="11522" max="11522" width="66.83203125" style="204" customWidth="1"/>
    <col min="11523" max="11523" width="27" style="204" customWidth="1"/>
    <col min="11524" max="11776" width="9.33203125" style="204"/>
    <col min="11777" max="11777" width="5.6640625" style="204" customWidth="1"/>
    <col min="11778" max="11778" width="66.83203125" style="204" customWidth="1"/>
    <col min="11779" max="11779" width="27" style="204" customWidth="1"/>
    <col min="11780" max="12032" width="9.33203125" style="204"/>
    <col min="12033" max="12033" width="5.6640625" style="204" customWidth="1"/>
    <col min="12034" max="12034" width="66.83203125" style="204" customWidth="1"/>
    <col min="12035" max="12035" width="27" style="204" customWidth="1"/>
    <col min="12036" max="12288" width="9.33203125" style="204"/>
    <col min="12289" max="12289" width="5.6640625" style="204" customWidth="1"/>
    <col min="12290" max="12290" width="66.83203125" style="204" customWidth="1"/>
    <col min="12291" max="12291" width="27" style="204" customWidth="1"/>
    <col min="12292" max="12544" width="9.33203125" style="204"/>
    <col min="12545" max="12545" width="5.6640625" style="204" customWidth="1"/>
    <col min="12546" max="12546" width="66.83203125" style="204" customWidth="1"/>
    <col min="12547" max="12547" width="27" style="204" customWidth="1"/>
    <col min="12548" max="12800" width="9.33203125" style="204"/>
    <col min="12801" max="12801" width="5.6640625" style="204" customWidth="1"/>
    <col min="12802" max="12802" width="66.83203125" style="204" customWidth="1"/>
    <col min="12803" max="12803" width="27" style="204" customWidth="1"/>
    <col min="12804" max="13056" width="9.33203125" style="204"/>
    <col min="13057" max="13057" width="5.6640625" style="204" customWidth="1"/>
    <col min="13058" max="13058" width="66.83203125" style="204" customWidth="1"/>
    <col min="13059" max="13059" width="27" style="204" customWidth="1"/>
    <col min="13060" max="13312" width="9.33203125" style="204"/>
    <col min="13313" max="13313" width="5.6640625" style="204" customWidth="1"/>
    <col min="13314" max="13314" width="66.83203125" style="204" customWidth="1"/>
    <col min="13315" max="13315" width="27" style="204" customWidth="1"/>
    <col min="13316" max="13568" width="9.33203125" style="204"/>
    <col min="13569" max="13569" width="5.6640625" style="204" customWidth="1"/>
    <col min="13570" max="13570" width="66.83203125" style="204" customWidth="1"/>
    <col min="13571" max="13571" width="27" style="204" customWidth="1"/>
    <col min="13572" max="13824" width="9.33203125" style="204"/>
    <col min="13825" max="13825" width="5.6640625" style="204" customWidth="1"/>
    <col min="13826" max="13826" width="66.83203125" style="204" customWidth="1"/>
    <col min="13827" max="13827" width="27" style="204" customWidth="1"/>
    <col min="13828" max="14080" width="9.33203125" style="204"/>
    <col min="14081" max="14081" width="5.6640625" style="204" customWidth="1"/>
    <col min="14082" max="14082" width="66.83203125" style="204" customWidth="1"/>
    <col min="14083" max="14083" width="27" style="204" customWidth="1"/>
    <col min="14084" max="14336" width="9.33203125" style="204"/>
    <col min="14337" max="14337" width="5.6640625" style="204" customWidth="1"/>
    <col min="14338" max="14338" width="66.83203125" style="204" customWidth="1"/>
    <col min="14339" max="14339" width="27" style="204" customWidth="1"/>
    <col min="14340" max="14592" width="9.33203125" style="204"/>
    <col min="14593" max="14593" width="5.6640625" style="204" customWidth="1"/>
    <col min="14594" max="14594" width="66.83203125" style="204" customWidth="1"/>
    <col min="14595" max="14595" width="27" style="204" customWidth="1"/>
    <col min="14596" max="14848" width="9.33203125" style="204"/>
    <col min="14849" max="14849" width="5.6640625" style="204" customWidth="1"/>
    <col min="14850" max="14850" width="66.83203125" style="204" customWidth="1"/>
    <col min="14851" max="14851" width="27" style="204" customWidth="1"/>
    <col min="14852" max="15104" width="9.33203125" style="204"/>
    <col min="15105" max="15105" width="5.6640625" style="204" customWidth="1"/>
    <col min="15106" max="15106" width="66.83203125" style="204" customWidth="1"/>
    <col min="15107" max="15107" width="27" style="204" customWidth="1"/>
    <col min="15108" max="15360" width="9.33203125" style="204"/>
    <col min="15361" max="15361" width="5.6640625" style="204" customWidth="1"/>
    <col min="15362" max="15362" width="66.83203125" style="204" customWidth="1"/>
    <col min="15363" max="15363" width="27" style="204" customWidth="1"/>
    <col min="15364" max="15616" width="9.33203125" style="204"/>
    <col min="15617" max="15617" width="5.6640625" style="204" customWidth="1"/>
    <col min="15618" max="15618" width="66.83203125" style="204" customWidth="1"/>
    <col min="15619" max="15619" width="27" style="204" customWidth="1"/>
    <col min="15620" max="15872" width="9.33203125" style="204"/>
    <col min="15873" max="15873" width="5.6640625" style="204" customWidth="1"/>
    <col min="15874" max="15874" width="66.83203125" style="204" customWidth="1"/>
    <col min="15875" max="15875" width="27" style="204" customWidth="1"/>
    <col min="15876" max="16128" width="9.33203125" style="204"/>
    <col min="16129" max="16129" width="5.6640625" style="204" customWidth="1"/>
    <col min="16130" max="16130" width="66.83203125" style="204" customWidth="1"/>
    <col min="16131" max="16131" width="27" style="204" customWidth="1"/>
    <col min="16132" max="16384" width="9.33203125" style="204"/>
  </cols>
  <sheetData>
    <row r="1" spans="1:4" x14ac:dyDescent="0.25">
      <c r="A1" s="1835" t="s">
        <v>721</v>
      </c>
      <c r="B1" s="1835"/>
      <c r="C1" s="1835"/>
    </row>
    <row r="2" spans="1:4" ht="38.25" customHeight="1" x14ac:dyDescent="0.25">
      <c r="C2" s="167"/>
    </row>
    <row r="3" spans="1:4" ht="33" customHeight="1" x14ac:dyDescent="0.25">
      <c r="A3" s="1856" t="s">
        <v>669</v>
      </c>
      <c r="B3" s="1856"/>
      <c r="C3" s="1856"/>
    </row>
    <row r="4" spans="1:4" ht="33" customHeight="1" x14ac:dyDescent="0.25">
      <c r="A4" s="208"/>
      <c r="B4" s="208"/>
      <c r="C4" s="208"/>
    </row>
    <row r="5" spans="1:4" ht="15.95" customHeight="1" thickBot="1" x14ac:dyDescent="0.3">
      <c r="A5" s="209"/>
      <c r="B5" s="209"/>
      <c r="C5" s="210" t="s">
        <v>362</v>
      </c>
      <c r="D5" s="207"/>
    </row>
    <row r="6" spans="1:4" ht="26.45" customHeight="1" thickBot="1" x14ac:dyDescent="0.3">
      <c r="A6" s="212" t="s">
        <v>421</v>
      </c>
      <c r="B6" s="213" t="s">
        <v>427</v>
      </c>
      <c r="C6" s="214" t="s">
        <v>428</v>
      </c>
    </row>
    <row r="7" spans="1:4" ht="24.95" customHeight="1" thickBot="1" x14ac:dyDescent="0.3">
      <c r="A7" s="215" t="s">
        <v>297</v>
      </c>
      <c r="B7" s="216" t="s">
        <v>298</v>
      </c>
      <c r="C7" s="217" t="s">
        <v>299</v>
      </c>
    </row>
    <row r="8" spans="1:4" ht="24.95" customHeight="1" x14ac:dyDescent="0.25">
      <c r="A8" s="316" t="s">
        <v>12</v>
      </c>
      <c r="B8" s="418"/>
      <c r="C8" s="419"/>
    </row>
    <row r="9" spans="1:4" ht="24.95" customHeight="1" x14ac:dyDescent="0.25">
      <c r="A9" s="317" t="s">
        <v>13</v>
      </c>
      <c r="B9" s="420"/>
      <c r="C9" s="421"/>
    </row>
    <row r="10" spans="1:4" ht="24.95" customHeight="1" thickBot="1" x14ac:dyDescent="0.3">
      <c r="A10" s="318" t="s">
        <v>14</v>
      </c>
      <c r="B10" s="422"/>
      <c r="C10" s="423"/>
    </row>
    <row r="11" spans="1:4" ht="36.75" customHeight="1" thickBot="1" x14ac:dyDescent="0.3">
      <c r="A11" s="315" t="s">
        <v>15</v>
      </c>
      <c r="B11" s="313" t="s">
        <v>429</v>
      </c>
      <c r="C11" s="314">
        <f>SUM(C8:C10)</f>
        <v>0</v>
      </c>
    </row>
    <row r="12" spans="1:4" ht="18" customHeight="1" x14ac:dyDescent="0.25">
      <c r="A12" s="211"/>
      <c r="B12" s="211"/>
      <c r="C12" s="538"/>
    </row>
  </sheetData>
  <mergeCells count="2">
    <mergeCell ref="A3:C3"/>
    <mergeCell ref="A1:C1"/>
  </mergeCells>
  <printOptions horizontalCentered="1"/>
  <pageMargins left="0.70866141732283472" right="0.70866141732283472" top="0.98425196850393704" bottom="1.1417322834645669" header="0.70866141732283472" footer="0.51181102362204722"/>
  <pageSetup paperSize="9" scale="95" orientation="portrait" r:id="rId1"/>
  <headerFooter alignWithMargins="0">
    <oddHeader xml:space="preserve">&amp;R&amp;"Times New Roman CE,Félkövér dőlt"&amp;11
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view="pageBreakPreview" zoomScaleNormal="100" zoomScaleSheetLayoutView="100" workbookViewId="0">
      <selection activeCell="H22" sqref="H22"/>
    </sheetView>
  </sheetViews>
  <sheetFormatPr defaultRowHeight="12.75" x14ac:dyDescent="0.2"/>
  <cols>
    <col min="1" max="1" width="5.5" customWidth="1"/>
    <col min="2" max="2" width="33.1640625" customWidth="1"/>
    <col min="3" max="3" width="12.33203125" customWidth="1"/>
    <col min="4" max="4" width="11.5" customWidth="1"/>
    <col min="5" max="5" width="11.33203125" customWidth="1"/>
    <col min="6" max="6" width="11" customWidth="1"/>
    <col min="7" max="7" width="14.33203125" customWidth="1"/>
    <col min="257" max="257" width="5.5" customWidth="1"/>
    <col min="258" max="258" width="33.1640625" customWidth="1"/>
    <col min="259" max="259" width="12.33203125" customWidth="1"/>
    <col min="260" max="260" width="11.5" customWidth="1"/>
    <col min="261" max="261" width="11.33203125" customWidth="1"/>
    <col min="262" max="262" width="11" customWidth="1"/>
    <col min="263" max="263" width="14.33203125" customWidth="1"/>
    <col min="513" max="513" width="5.5" customWidth="1"/>
    <col min="514" max="514" width="33.1640625" customWidth="1"/>
    <col min="515" max="515" width="12.33203125" customWidth="1"/>
    <col min="516" max="516" width="11.5" customWidth="1"/>
    <col min="517" max="517" width="11.33203125" customWidth="1"/>
    <col min="518" max="518" width="11" customWidth="1"/>
    <col min="519" max="519" width="14.33203125" customWidth="1"/>
    <col min="769" max="769" width="5.5" customWidth="1"/>
    <col min="770" max="770" width="33.1640625" customWidth="1"/>
    <col min="771" max="771" width="12.33203125" customWidth="1"/>
    <col min="772" max="772" width="11.5" customWidth="1"/>
    <col min="773" max="773" width="11.33203125" customWidth="1"/>
    <col min="774" max="774" width="11" customWidth="1"/>
    <col min="775" max="775" width="14.33203125" customWidth="1"/>
    <col min="1025" max="1025" width="5.5" customWidth="1"/>
    <col min="1026" max="1026" width="33.1640625" customWidth="1"/>
    <col min="1027" max="1027" width="12.33203125" customWidth="1"/>
    <col min="1028" max="1028" width="11.5" customWidth="1"/>
    <col min="1029" max="1029" width="11.33203125" customWidth="1"/>
    <col min="1030" max="1030" width="11" customWidth="1"/>
    <col min="1031" max="1031" width="14.33203125" customWidth="1"/>
    <col min="1281" max="1281" width="5.5" customWidth="1"/>
    <col min="1282" max="1282" width="33.1640625" customWidth="1"/>
    <col min="1283" max="1283" width="12.33203125" customWidth="1"/>
    <col min="1284" max="1284" width="11.5" customWidth="1"/>
    <col min="1285" max="1285" width="11.33203125" customWidth="1"/>
    <col min="1286" max="1286" width="11" customWidth="1"/>
    <col min="1287" max="1287" width="14.33203125" customWidth="1"/>
    <col min="1537" max="1537" width="5.5" customWidth="1"/>
    <col min="1538" max="1538" width="33.1640625" customWidth="1"/>
    <col min="1539" max="1539" width="12.33203125" customWidth="1"/>
    <col min="1540" max="1540" width="11.5" customWidth="1"/>
    <col min="1541" max="1541" width="11.33203125" customWidth="1"/>
    <col min="1542" max="1542" width="11" customWidth="1"/>
    <col min="1543" max="1543" width="14.33203125" customWidth="1"/>
    <col min="1793" max="1793" width="5.5" customWidth="1"/>
    <col min="1794" max="1794" width="33.1640625" customWidth="1"/>
    <col min="1795" max="1795" width="12.33203125" customWidth="1"/>
    <col min="1796" max="1796" width="11.5" customWidth="1"/>
    <col min="1797" max="1797" width="11.33203125" customWidth="1"/>
    <col min="1798" max="1798" width="11" customWidth="1"/>
    <col min="1799" max="1799" width="14.33203125" customWidth="1"/>
    <col min="2049" max="2049" width="5.5" customWidth="1"/>
    <col min="2050" max="2050" width="33.1640625" customWidth="1"/>
    <col min="2051" max="2051" width="12.33203125" customWidth="1"/>
    <col min="2052" max="2052" width="11.5" customWidth="1"/>
    <col min="2053" max="2053" width="11.33203125" customWidth="1"/>
    <col min="2054" max="2054" width="11" customWidth="1"/>
    <col min="2055" max="2055" width="14.33203125" customWidth="1"/>
    <col min="2305" max="2305" width="5.5" customWidth="1"/>
    <col min="2306" max="2306" width="33.1640625" customWidth="1"/>
    <col min="2307" max="2307" width="12.33203125" customWidth="1"/>
    <col min="2308" max="2308" width="11.5" customWidth="1"/>
    <col min="2309" max="2309" width="11.33203125" customWidth="1"/>
    <col min="2310" max="2310" width="11" customWidth="1"/>
    <col min="2311" max="2311" width="14.33203125" customWidth="1"/>
    <col min="2561" max="2561" width="5.5" customWidth="1"/>
    <col min="2562" max="2562" width="33.1640625" customWidth="1"/>
    <col min="2563" max="2563" width="12.33203125" customWidth="1"/>
    <col min="2564" max="2564" width="11.5" customWidth="1"/>
    <col min="2565" max="2565" width="11.33203125" customWidth="1"/>
    <col min="2566" max="2566" width="11" customWidth="1"/>
    <col min="2567" max="2567" width="14.33203125" customWidth="1"/>
    <col min="2817" max="2817" width="5.5" customWidth="1"/>
    <col min="2818" max="2818" width="33.1640625" customWidth="1"/>
    <col min="2819" max="2819" width="12.33203125" customWidth="1"/>
    <col min="2820" max="2820" width="11.5" customWidth="1"/>
    <col min="2821" max="2821" width="11.33203125" customWidth="1"/>
    <col min="2822" max="2822" width="11" customWidth="1"/>
    <col min="2823" max="2823" width="14.33203125" customWidth="1"/>
    <col min="3073" max="3073" width="5.5" customWidth="1"/>
    <col min="3074" max="3074" width="33.1640625" customWidth="1"/>
    <col min="3075" max="3075" width="12.33203125" customWidth="1"/>
    <col min="3076" max="3076" width="11.5" customWidth="1"/>
    <col min="3077" max="3077" width="11.33203125" customWidth="1"/>
    <col min="3078" max="3078" width="11" customWidth="1"/>
    <col min="3079" max="3079" width="14.33203125" customWidth="1"/>
    <col min="3329" max="3329" width="5.5" customWidth="1"/>
    <col min="3330" max="3330" width="33.1640625" customWidth="1"/>
    <col min="3331" max="3331" width="12.33203125" customWidth="1"/>
    <col min="3332" max="3332" width="11.5" customWidth="1"/>
    <col min="3333" max="3333" width="11.33203125" customWidth="1"/>
    <col min="3334" max="3334" width="11" customWidth="1"/>
    <col min="3335" max="3335" width="14.33203125" customWidth="1"/>
    <col min="3585" max="3585" width="5.5" customWidth="1"/>
    <col min="3586" max="3586" width="33.1640625" customWidth="1"/>
    <col min="3587" max="3587" width="12.33203125" customWidth="1"/>
    <col min="3588" max="3588" width="11.5" customWidth="1"/>
    <col min="3589" max="3589" width="11.33203125" customWidth="1"/>
    <col min="3590" max="3590" width="11" customWidth="1"/>
    <col min="3591" max="3591" width="14.33203125" customWidth="1"/>
    <col min="3841" max="3841" width="5.5" customWidth="1"/>
    <col min="3842" max="3842" width="33.1640625" customWidth="1"/>
    <col min="3843" max="3843" width="12.33203125" customWidth="1"/>
    <col min="3844" max="3844" width="11.5" customWidth="1"/>
    <col min="3845" max="3845" width="11.33203125" customWidth="1"/>
    <col min="3846" max="3846" width="11" customWidth="1"/>
    <col min="3847" max="3847" width="14.33203125" customWidth="1"/>
    <col min="4097" max="4097" width="5.5" customWidth="1"/>
    <col min="4098" max="4098" width="33.1640625" customWidth="1"/>
    <col min="4099" max="4099" width="12.33203125" customWidth="1"/>
    <col min="4100" max="4100" width="11.5" customWidth="1"/>
    <col min="4101" max="4101" width="11.33203125" customWidth="1"/>
    <col min="4102" max="4102" width="11" customWidth="1"/>
    <col min="4103" max="4103" width="14.33203125" customWidth="1"/>
    <col min="4353" max="4353" width="5.5" customWidth="1"/>
    <col min="4354" max="4354" width="33.1640625" customWidth="1"/>
    <col min="4355" max="4355" width="12.33203125" customWidth="1"/>
    <col min="4356" max="4356" width="11.5" customWidth="1"/>
    <col min="4357" max="4357" width="11.33203125" customWidth="1"/>
    <col min="4358" max="4358" width="11" customWidth="1"/>
    <col min="4359" max="4359" width="14.33203125" customWidth="1"/>
    <col min="4609" max="4609" width="5.5" customWidth="1"/>
    <col min="4610" max="4610" width="33.1640625" customWidth="1"/>
    <col min="4611" max="4611" width="12.33203125" customWidth="1"/>
    <col min="4612" max="4612" width="11.5" customWidth="1"/>
    <col min="4613" max="4613" width="11.33203125" customWidth="1"/>
    <col min="4614" max="4614" width="11" customWidth="1"/>
    <col min="4615" max="4615" width="14.33203125" customWidth="1"/>
    <col min="4865" max="4865" width="5.5" customWidth="1"/>
    <col min="4866" max="4866" width="33.1640625" customWidth="1"/>
    <col min="4867" max="4867" width="12.33203125" customWidth="1"/>
    <col min="4868" max="4868" width="11.5" customWidth="1"/>
    <col min="4869" max="4869" width="11.33203125" customWidth="1"/>
    <col min="4870" max="4870" width="11" customWidth="1"/>
    <col min="4871" max="4871" width="14.33203125" customWidth="1"/>
    <col min="5121" max="5121" width="5.5" customWidth="1"/>
    <col min="5122" max="5122" width="33.1640625" customWidth="1"/>
    <col min="5123" max="5123" width="12.33203125" customWidth="1"/>
    <col min="5124" max="5124" width="11.5" customWidth="1"/>
    <col min="5125" max="5125" width="11.33203125" customWidth="1"/>
    <col min="5126" max="5126" width="11" customWidth="1"/>
    <col min="5127" max="5127" width="14.33203125" customWidth="1"/>
    <col min="5377" max="5377" width="5.5" customWidth="1"/>
    <col min="5378" max="5378" width="33.1640625" customWidth="1"/>
    <col min="5379" max="5379" width="12.33203125" customWidth="1"/>
    <col min="5380" max="5380" width="11.5" customWidth="1"/>
    <col min="5381" max="5381" width="11.33203125" customWidth="1"/>
    <col min="5382" max="5382" width="11" customWidth="1"/>
    <col min="5383" max="5383" width="14.33203125" customWidth="1"/>
    <col min="5633" max="5633" width="5.5" customWidth="1"/>
    <col min="5634" max="5634" width="33.1640625" customWidth="1"/>
    <col min="5635" max="5635" width="12.33203125" customWidth="1"/>
    <col min="5636" max="5636" width="11.5" customWidth="1"/>
    <col min="5637" max="5637" width="11.33203125" customWidth="1"/>
    <col min="5638" max="5638" width="11" customWidth="1"/>
    <col min="5639" max="5639" width="14.33203125" customWidth="1"/>
    <col min="5889" max="5889" width="5.5" customWidth="1"/>
    <col min="5890" max="5890" width="33.1640625" customWidth="1"/>
    <col min="5891" max="5891" width="12.33203125" customWidth="1"/>
    <col min="5892" max="5892" width="11.5" customWidth="1"/>
    <col min="5893" max="5893" width="11.33203125" customWidth="1"/>
    <col min="5894" max="5894" width="11" customWidth="1"/>
    <col min="5895" max="5895" width="14.33203125" customWidth="1"/>
    <col min="6145" max="6145" width="5.5" customWidth="1"/>
    <col min="6146" max="6146" width="33.1640625" customWidth="1"/>
    <col min="6147" max="6147" width="12.33203125" customWidth="1"/>
    <col min="6148" max="6148" width="11.5" customWidth="1"/>
    <col min="6149" max="6149" width="11.33203125" customWidth="1"/>
    <col min="6150" max="6150" width="11" customWidth="1"/>
    <col min="6151" max="6151" width="14.33203125" customWidth="1"/>
    <col min="6401" max="6401" width="5.5" customWidth="1"/>
    <col min="6402" max="6402" width="33.1640625" customWidth="1"/>
    <col min="6403" max="6403" width="12.33203125" customWidth="1"/>
    <col min="6404" max="6404" width="11.5" customWidth="1"/>
    <col min="6405" max="6405" width="11.33203125" customWidth="1"/>
    <col min="6406" max="6406" width="11" customWidth="1"/>
    <col min="6407" max="6407" width="14.33203125" customWidth="1"/>
    <col min="6657" max="6657" width="5.5" customWidth="1"/>
    <col min="6658" max="6658" width="33.1640625" customWidth="1"/>
    <col min="6659" max="6659" width="12.33203125" customWidth="1"/>
    <col min="6660" max="6660" width="11.5" customWidth="1"/>
    <col min="6661" max="6661" width="11.33203125" customWidth="1"/>
    <col min="6662" max="6662" width="11" customWidth="1"/>
    <col min="6663" max="6663" width="14.33203125" customWidth="1"/>
    <col min="6913" max="6913" width="5.5" customWidth="1"/>
    <col min="6914" max="6914" width="33.1640625" customWidth="1"/>
    <col min="6915" max="6915" width="12.33203125" customWidth="1"/>
    <col min="6916" max="6916" width="11.5" customWidth="1"/>
    <col min="6917" max="6917" width="11.33203125" customWidth="1"/>
    <col min="6918" max="6918" width="11" customWidth="1"/>
    <col min="6919" max="6919" width="14.33203125" customWidth="1"/>
    <col min="7169" max="7169" width="5.5" customWidth="1"/>
    <col min="7170" max="7170" width="33.1640625" customWidth="1"/>
    <col min="7171" max="7171" width="12.33203125" customWidth="1"/>
    <col min="7172" max="7172" width="11.5" customWidth="1"/>
    <col min="7173" max="7173" width="11.33203125" customWidth="1"/>
    <col min="7174" max="7174" width="11" customWidth="1"/>
    <col min="7175" max="7175" width="14.33203125" customWidth="1"/>
    <col min="7425" max="7425" width="5.5" customWidth="1"/>
    <col min="7426" max="7426" width="33.1640625" customWidth="1"/>
    <col min="7427" max="7427" width="12.33203125" customWidth="1"/>
    <col min="7428" max="7428" width="11.5" customWidth="1"/>
    <col min="7429" max="7429" width="11.33203125" customWidth="1"/>
    <col min="7430" max="7430" width="11" customWidth="1"/>
    <col min="7431" max="7431" width="14.33203125" customWidth="1"/>
    <col min="7681" max="7681" width="5.5" customWidth="1"/>
    <col min="7682" max="7682" width="33.1640625" customWidth="1"/>
    <col min="7683" max="7683" width="12.33203125" customWidth="1"/>
    <col min="7684" max="7684" width="11.5" customWidth="1"/>
    <col min="7685" max="7685" width="11.33203125" customWidth="1"/>
    <col min="7686" max="7686" width="11" customWidth="1"/>
    <col min="7687" max="7687" width="14.33203125" customWidth="1"/>
    <col min="7937" max="7937" width="5.5" customWidth="1"/>
    <col min="7938" max="7938" width="33.1640625" customWidth="1"/>
    <col min="7939" max="7939" width="12.33203125" customWidth="1"/>
    <col min="7940" max="7940" width="11.5" customWidth="1"/>
    <col min="7941" max="7941" width="11.33203125" customWidth="1"/>
    <col min="7942" max="7942" width="11" customWidth="1"/>
    <col min="7943" max="7943" width="14.33203125" customWidth="1"/>
    <col min="8193" max="8193" width="5.5" customWidth="1"/>
    <col min="8194" max="8194" width="33.1640625" customWidth="1"/>
    <col min="8195" max="8195" width="12.33203125" customWidth="1"/>
    <col min="8196" max="8196" width="11.5" customWidth="1"/>
    <col min="8197" max="8197" width="11.33203125" customWidth="1"/>
    <col min="8198" max="8198" width="11" customWidth="1"/>
    <col min="8199" max="8199" width="14.33203125" customWidth="1"/>
    <col min="8449" max="8449" width="5.5" customWidth="1"/>
    <col min="8450" max="8450" width="33.1640625" customWidth="1"/>
    <col min="8451" max="8451" width="12.33203125" customWidth="1"/>
    <col min="8452" max="8452" width="11.5" customWidth="1"/>
    <col min="8453" max="8453" width="11.33203125" customWidth="1"/>
    <col min="8454" max="8454" width="11" customWidth="1"/>
    <col min="8455" max="8455" width="14.33203125" customWidth="1"/>
    <col min="8705" max="8705" width="5.5" customWidth="1"/>
    <col min="8706" max="8706" width="33.1640625" customWidth="1"/>
    <col min="8707" max="8707" width="12.33203125" customWidth="1"/>
    <col min="8708" max="8708" width="11.5" customWidth="1"/>
    <col min="8709" max="8709" width="11.33203125" customWidth="1"/>
    <col min="8710" max="8710" width="11" customWidth="1"/>
    <col min="8711" max="8711" width="14.33203125" customWidth="1"/>
    <col min="8961" max="8961" width="5.5" customWidth="1"/>
    <col min="8962" max="8962" width="33.1640625" customWidth="1"/>
    <col min="8963" max="8963" width="12.33203125" customWidth="1"/>
    <col min="8964" max="8964" width="11.5" customWidth="1"/>
    <col min="8965" max="8965" width="11.33203125" customWidth="1"/>
    <col min="8966" max="8966" width="11" customWidth="1"/>
    <col min="8967" max="8967" width="14.33203125" customWidth="1"/>
    <col min="9217" max="9217" width="5.5" customWidth="1"/>
    <col min="9218" max="9218" width="33.1640625" customWidth="1"/>
    <col min="9219" max="9219" width="12.33203125" customWidth="1"/>
    <col min="9220" max="9220" width="11.5" customWidth="1"/>
    <col min="9221" max="9221" width="11.33203125" customWidth="1"/>
    <col min="9222" max="9222" width="11" customWidth="1"/>
    <col min="9223" max="9223" width="14.33203125" customWidth="1"/>
    <col min="9473" max="9473" width="5.5" customWidth="1"/>
    <col min="9474" max="9474" width="33.1640625" customWidth="1"/>
    <col min="9475" max="9475" width="12.33203125" customWidth="1"/>
    <col min="9476" max="9476" width="11.5" customWidth="1"/>
    <col min="9477" max="9477" width="11.33203125" customWidth="1"/>
    <col min="9478" max="9478" width="11" customWidth="1"/>
    <col min="9479" max="9479" width="14.33203125" customWidth="1"/>
    <col min="9729" max="9729" width="5.5" customWidth="1"/>
    <col min="9730" max="9730" width="33.1640625" customWidth="1"/>
    <col min="9731" max="9731" width="12.33203125" customWidth="1"/>
    <col min="9732" max="9732" width="11.5" customWidth="1"/>
    <col min="9733" max="9733" width="11.33203125" customWidth="1"/>
    <col min="9734" max="9734" width="11" customWidth="1"/>
    <col min="9735" max="9735" width="14.33203125" customWidth="1"/>
    <col min="9985" max="9985" width="5.5" customWidth="1"/>
    <col min="9986" max="9986" width="33.1640625" customWidth="1"/>
    <col min="9987" max="9987" width="12.33203125" customWidth="1"/>
    <col min="9988" max="9988" width="11.5" customWidth="1"/>
    <col min="9989" max="9989" width="11.33203125" customWidth="1"/>
    <col min="9990" max="9990" width="11" customWidth="1"/>
    <col min="9991" max="9991" width="14.33203125" customWidth="1"/>
    <col min="10241" max="10241" width="5.5" customWidth="1"/>
    <col min="10242" max="10242" width="33.1640625" customWidth="1"/>
    <col min="10243" max="10243" width="12.33203125" customWidth="1"/>
    <col min="10244" max="10244" width="11.5" customWidth="1"/>
    <col min="10245" max="10245" width="11.33203125" customWidth="1"/>
    <col min="10246" max="10246" width="11" customWidth="1"/>
    <col min="10247" max="10247" width="14.33203125" customWidth="1"/>
    <col min="10497" max="10497" width="5.5" customWidth="1"/>
    <col min="10498" max="10498" width="33.1640625" customWidth="1"/>
    <col min="10499" max="10499" width="12.33203125" customWidth="1"/>
    <col min="10500" max="10500" width="11.5" customWidth="1"/>
    <col min="10501" max="10501" width="11.33203125" customWidth="1"/>
    <col min="10502" max="10502" width="11" customWidth="1"/>
    <col min="10503" max="10503" width="14.33203125" customWidth="1"/>
    <col min="10753" max="10753" width="5.5" customWidth="1"/>
    <col min="10754" max="10754" width="33.1640625" customWidth="1"/>
    <col min="10755" max="10755" width="12.33203125" customWidth="1"/>
    <col min="10756" max="10756" width="11.5" customWidth="1"/>
    <col min="10757" max="10757" width="11.33203125" customWidth="1"/>
    <col min="10758" max="10758" width="11" customWidth="1"/>
    <col min="10759" max="10759" width="14.33203125" customWidth="1"/>
    <col min="11009" max="11009" width="5.5" customWidth="1"/>
    <col min="11010" max="11010" width="33.1640625" customWidth="1"/>
    <col min="11011" max="11011" width="12.33203125" customWidth="1"/>
    <col min="11012" max="11012" width="11.5" customWidth="1"/>
    <col min="11013" max="11013" width="11.33203125" customWidth="1"/>
    <col min="11014" max="11014" width="11" customWidth="1"/>
    <col min="11015" max="11015" width="14.33203125" customWidth="1"/>
    <col min="11265" max="11265" width="5.5" customWidth="1"/>
    <col min="11266" max="11266" width="33.1640625" customWidth="1"/>
    <col min="11267" max="11267" width="12.33203125" customWidth="1"/>
    <col min="11268" max="11268" width="11.5" customWidth="1"/>
    <col min="11269" max="11269" width="11.33203125" customWidth="1"/>
    <col min="11270" max="11270" width="11" customWidth="1"/>
    <col min="11271" max="11271" width="14.33203125" customWidth="1"/>
    <col min="11521" max="11521" width="5.5" customWidth="1"/>
    <col min="11522" max="11522" width="33.1640625" customWidth="1"/>
    <col min="11523" max="11523" width="12.33203125" customWidth="1"/>
    <col min="11524" max="11524" width="11.5" customWidth="1"/>
    <col min="11525" max="11525" width="11.33203125" customWidth="1"/>
    <col min="11526" max="11526" width="11" customWidth="1"/>
    <col min="11527" max="11527" width="14.33203125" customWidth="1"/>
    <col min="11777" max="11777" width="5.5" customWidth="1"/>
    <col min="11778" max="11778" width="33.1640625" customWidth="1"/>
    <col min="11779" max="11779" width="12.33203125" customWidth="1"/>
    <col min="11780" max="11780" width="11.5" customWidth="1"/>
    <col min="11781" max="11781" width="11.33203125" customWidth="1"/>
    <col min="11782" max="11782" width="11" customWidth="1"/>
    <col min="11783" max="11783" width="14.33203125" customWidth="1"/>
    <col min="12033" max="12033" width="5.5" customWidth="1"/>
    <col min="12034" max="12034" width="33.1640625" customWidth="1"/>
    <col min="12035" max="12035" width="12.33203125" customWidth="1"/>
    <col min="12036" max="12036" width="11.5" customWidth="1"/>
    <col min="12037" max="12037" width="11.33203125" customWidth="1"/>
    <col min="12038" max="12038" width="11" customWidth="1"/>
    <col min="12039" max="12039" width="14.33203125" customWidth="1"/>
    <col min="12289" max="12289" width="5.5" customWidth="1"/>
    <col min="12290" max="12290" width="33.1640625" customWidth="1"/>
    <col min="12291" max="12291" width="12.33203125" customWidth="1"/>
    <col min="12292" max="12292" width="11.5" customWidth="1"/>
    <col min="12293" max="12293" width="11.33203125" customWidth="1"/>
    <col min="12294" max="12294" width="11" customWidth="1"/>
    <col min="12295" max="12295" width="14.33203125" customWidth="1"/>
    <col min="12545" max="12545" width="5.5" customWidth="1"/>
    <col min="12546" max="12546" width="33.1640625" customWidth="1"/>
    <col min="12547" max="12547" width="12.33203125" customWidth="1"/>
    <col min="12548" max="12548" width="11.5" customWidth="1"/>
    <col min="12549" max="12549" width="11.33203125" customWidth="1"/>
    <col min="12550" max="12550" width="11" customWidth="1"/>
    <col min="12551" max="12551" width="14.33203125" customWidth="1"/>
    <col min="12801" max="12801" width="5.5" customWidth="1"/>
    <col min="12802" max="12802" width="33.1640625" customWidth="1"/>
    <col min="12803" max="12803" width="12.33203125" customWidth="1"/>
    <col min="12804" max="12804" width="11.5" customWidth="1"/>
    <col min="12805" max="12805" width="11.33203125" customWidth="1"/>
    <col min="12806" max="12806" width="11" customWidth="1"/>
    <col min="12807" max="12807" width="14.33203125" customWidth="1"/>
    <col min="13057" max="13057" width="5.5" customWidth="1"/>
    <col min="13058" max="13058" width="33.1640625" customWidth="1"/>
    <col min="13059" max="13059" width="12.33203125" customWidth="1"/>
    <col min="13060" max="13060" width="11.5" customWidth="1"/>
    <col min="13061" max="13061" width="11.33203125" customWidth="1"/>
    <col min="13062" max="13062" width="11" customWidth="1"/>
    <col min="13063" max="13063" width="14.33203125" customWidth="1"/>
    <col min="13313" max="13313" width="5.5" customWidth="1"/>
    <col min="13314" max="13314" width="33.1640625" customWidth="1"/>
    <col min="13315" max="13315" width="12.33203125" customWidth="1"/>
    <col min="13316" max="13316" width="11.5" customWidth="1"/>
    <col min="13317" max="13317" width="11.33203125" customWidth="1"/>
    <col min="13318" max="13318" width="11" customWidth="1"/>
    <col min="13319" max="13319" width="14.33203125" customWidth="1"/>
    <col min="13569" max="13569" width="5.5" customWidth="1"/>
    <col min="13570" max="13570" width="33.1640625" customWidth="1"/>
    <col min="13571" max="13571" width="12.33203125" customWidth="1"/>
    <col min="13572" max="13572" width="11.5" customWidth="1"/>
    <col min="13573" max="13573" width="11.33203125" customWidth="1"/>
    <col min="13574" max="13574" width="11" customWidth="1"/>
    <col min="13575" max="13575" width="14.33203125" customWidth="1"/>
    <col min="13825" max="13825" width="5.5" customWidth="1"/>
    <col min="13826" max="13826" width="33.1640625" customWidth="1"/>
    <col min="13827" max="13827" width="12.33203125" customWidth="1"/>
    <col min="13828" max="13828" width="11.5" customWidth="1"/>
    <col min="13829" max="13829" width="11.33203125" customWidth="1"/>
    <col min="13830" max="13830" width="11" customWidth="1"/>
    <col min="13831" max="13831" width="14.33203125" customWidth="1"/>
    <col min="14081" max="14081" width="5.5" customWidth="1"/>
    <col min="14082" max="14082" width="33.1640625" customWidth="1"/>
    <col min="14083" max="14083" width="12.33203125" customWidth="1"/>
    <col min="14084" max="14084" width="11.5" customWidth="1"/>
    <col min="14085" max="14085" width="11.33203125" customWidth="1"/>
    <col min="14086" max="14086" width="11" customWidth="1"/>
    <col min="14087" max="14087" width="14.33203125" customWidth="1"/>
    <col min="14337" max="14337" width="5.5" customWidth="1"/>
    <col min="14338" max="14338" width="33.1640625" customWidth="1"/>
    <col min="14339" max="14339" width="12.33203125" customWidth="1"/>
    <col min="14340" max="14340" width="11.5" customWidth="1"/>
    <col min="14341" max="14341" width="11.33203125" customWidth="1"/>
    <col min="14342" max="14342" width="11" customWidth="1"/>
    <col min="14343" max="14343" width="14.33203125" customWidth="1"/>
    <col min="14593" max="14593" width="5.5" customWidth="1"/>
    <col min="14594" max="14594" width="33.1640625" customWidth="1"/>
    <col min="14595" max="14595" width="12.33203125" customWidth="1"/>
    <col min="14596" max="14596" width="11.5" customWidth="1"/>
    <col min="14597" max="14597" width="11.33203125" customWidth="1"/>
    <col min="14598" max="14598" width="11" customWidth="1"/>
    <col min="14599" max="14599" width="14.33203125" customWidth="1"/>
    <col min="14849" max="14849" width="5.5" customWidth="1"/>
    <col min="14850" max="14850" width="33.1640625" customWidth="1"/>
    <col min="14851" max="14851" width="12.33203125" customWidth="1"/>
    <col min="14852" max="14852" width="11.5" customWidth="1"/>
    <col min="14853" max="14853" width="11.33203125" customWidth="1"/>
    <col min="14854" max="14854" width="11" customWidth="1"/>
    <col min="14855" max="14855" width="14.33203125" customWidth="1"/>
    <col min="15105" max="15105" width="5.5" customWidth="1"/>
    <col min="15106" max="15106" width="33.1640625" customWidth="1"/>
    <col min="15107" max="15107" width="12.33203125" customWidth="1"/>
    <col min="15108" max="15108" width="11.5" customWidth="1"/>
    <col min="15109" max="15109" width="11.33203125" customWidth="1"/>
    <col min="15110" max="15110" width="11" customWidth="1"/>
    <col min="15111" max="15111" width="14.33203125" customWidth="1"/>
    <col min="15361" max="15361" width="5.5" customWidth="1"/>
    <col min="15362" max="15362" width="33.1640625" customWidth="1"/>
    <col min="15363" max="15363" width="12.33203125" customWidth="1"/>
    <col min="15364" max="15364" width="11.5" customWidth="1"/>
    <col min="15365" max="15365" width="11.33203125" customWidth="1"/>
    <col min="15366" max="15366" width="11" customWidth="1"/>
    <col min="15367" max="15367" width="14.33203125" customWidth="1"/>
    <col min="15617" max="15617" width="5.5" customWidth="1"/>
    <col min="15618" max="15618" width="33.1640625" customWidth="1"/>
    <col min="15619" max="15619" width="12.33203125" customWidth="1"/>
    <col min="15620" max="15620" width="11.5" customWidth="1"/>
    <col min="15621" max="15621" width="11.33203125" customWidth="1"/>
    <col min="15622" max="15622" width="11" customWidth="1"/>
    <col min="15623" max="15623" width="14.33203125" customWidth="1"/>
    <col min="15873" max="15873" width="5.5" customWidth="1"/>
    <col min="15874" max="15874" width="33.1640625" customWidth="1"/>
    <col min="15875" max="15875" width="12.33203125" customWidth="1"/>
    <col min="15876" max="15876" width="11.5" customWidth="1"/>
    <col min="15877" max="15877" width="11.33203125" customWidth="1"/>
    <col min="15878" max="15878" width="11" customWidth="1"/>
    <col min="15879" max="15879" width="14.33203125" customWidth="1"/>
    <col min="16129" max="16129" width="5.5" customWidth="1"/>
    <col min="16130" max="16130" width="33.1640625" customWidth="1"/>
    <col min="16131" max="16131" width="12.33203125" customWidth="1"/>
    <col min="16132" max="16132" width="11.5" customWidth="1"/>
    <col min="16133" max="16133" width="11.33203125" customWidth="1"/>
    <col min="16134" max="16134" width="11" customWidth="1"/>
    <col min="16135" max="16135" width="14.33203125" customWidth="1"/>
  </cols>
  <sheetData>
    <row r="1" spans="1:7" x14ac:dyDescent="0.2">
      <c r="A1" s="1773" t="s">
        <v>722</v>
      </c>
      <c r="B1" s="1773"/>
      <c r="C1" s="1773"/>
      <c r="D1" s="1773"/>
      <c r="E1" s="1773"/>
      <c r="F1" s="1773"/>
      <c r="G1" s="1773"/>
    </row>
    <row r="2" spans="1:7" ht="33" customHeight="1" x14ac:dyDescent="0.2">
      <c r="G2" s="167"/>
    </row>
    <row r="3" spans="1:7" ht="43.5" customHeight="1" x14ac:dyDescent="0.25">
      <c r="A3" s="1857" t="s">
        <v>430</v>
      </c>
      <c r="B3" s="1857"/>
      <c r="C3" s="1857"/>
      <c r="D3" s="1857"/>
      <c r="E3" s="1857"/>
      <c r="F3" s="1857"/>
      <c r="G3" s="1857"/>
    </row>
    <row r="4" spans="1:7" ht="15.75" x14ac:dyDescent="0.25">
      <c r="A4" s="218"/>
      <c r="B4" s="218"/>
      <c r="C4" s="218"/>
      <c r="D4" s="218"/>
      <c r="E4" s="218"/>
      <c r="F4" s="218"/>
      <c r="G4" s="218"/>
    </row>
    <row r="5" spans="1:7" s="220" customFormat="1" ht="24.95" customHeight="1" x14ac:dyDescent="0.25">
      <c r="A5" s="219" t="s">
        <v>431</v>
      </c>
      <c r="B5" s="218"/>
      <c r="C5" s="1858" t="s">
        <v>432</v>
      </c>
      <c r="D5" s="1858"/>
      <c r="E5" s="1858"/>
      <c r="F5" s="1858"/>
      <c r="G5" s="1858"/>
    </row>
    <row r="6" spans="1:7" s="220" customFormat="1" ht="24.95" customHeight="1" x14ac:dyDescent="0.25">
      <c r="A6" s="218"/>
      <c r="B6" s="218"/>
      <c r="C6" s="218"/>
      <c r="D6" s="218"/>
      <c r="E6" s="218"/>
      <c r="F6" s="218"/>
      <c r="G6" s="218"/>
    </row>
    <row r="7" spans="1:7" s="220" customFormat="1" ht="24.95" customHeight="1" x14ac:dyDescent="0.25">
      <c r="A7" s="219" t="s">
        <v>433</v>
      </c>
      <c r="B7" s="218"/>
      <c r="C7" s="1858" t="s">
        <v>432</v>
      </c>
      <c r="D7" s="1858"/>
      <c r="E7" s="1858"/>
      <c r="F7" s="1858"/>
      <c r="G7" s="218"/>
    </row>
    <row r="8" spans="1:7" s="221" customFormat="1" ht="24.95" customHeight="1" x14ac:dyDescent="0.25">
      <c r="A8" s="218"/>
      <c r="B8" s="218"/>
      <c r="C8" s="218"/>
      <c r="D8" s="218"/>
      <c r="E8" s="218"/>
      <c r="F8" s="218"/>
      <c r="G8" s="218"/>
    </row>
    <row r="9" spans="1:7" s="224" customFormat="1" ht="24.95" customHeight="1" x14ac:dyDescent="0.25">
      <c r="A9" s="222" t="s">
        <v>434</v>
      </c>
      <c r="B9" s="223"/>
      <c r="C9" s="223"/>
      <c r="D9" s="218"/>
      <c r="E9" s="218" t="s">
        <v>435</v>
      </c>
      <c r="F9" s="218" t="s">
        <v>436</v>
      </c>
      <c r="G9" s="218"/>
    </row>
    <row r="10" spans="1:7" s="224" customFormat="1" ht="24.95" customHeight="1" x14ac:dyDescent="0.25">
      <c r="A10" s="222" t="s">
        <v>437</v>
      </c>
      <c r="B10" s="218"/>
      <c r="C10" s="218"/>
      <c r="D10" s="218"/>
      <c r="E10" s="218" t="s">
        <v>435</v>
      </c>
      <c r="F10" s="218" t="s">
        <v>436</v>
      </c>
      <c r="G10" s="218"/>
    </row>
    <row r="11" spans="1:7" s="224" customFormat="1" ht="24.95" customHeight="1" thickBot="1" x14ac:dyDescent="0.3">
      <c r="A11" s="222"/>
      <c r="B11" s="218"/>
      <c r="C11" s="218"/>
      <c r="D11" s="218"/>
      <c r="E11" s="218"/>
      <c r="F11" s="218"/>
      <c r="G11" s="218"/>
    </row>
    <row r="12" spans="1:7" s="228" customFormat="1" ht="42" customHeight="1" thickBot="1" x14ac:dyDescent="0.25">
      <c r="A12" s="225" t="s">
        <v>421</v>
      </c>
      <c r="B12" s="226" t="s">
        <v>438</v>
      </c>
      <c r="C12" s="226" t="s">
        <v>439</v>
      </c>
      <c r="D12" s="226" t="s">
        <v>440</v>
      </c>
      <c r="E12" s="226" t="s">
        <v>441</v>
      </c>
      <c r="F12" s="226" t="s">
        <v>442</v>
      </c>
      <c r="G12" s="227" t="s">
        <v>35</v>
      </c>
    </row>
    <row r="13" spans="1:7" ht="27" customHeight="1" x14ac:dyDescent="0.2">
      <c r="A13" s="229" t="s">
        <v>12</v>
      </c>
      <c r="B13" s="230" t="s">
        <v>443</v>
      </c>
      <c r="C13" s="231"/>
      <c r="D13" s="231"/>
      <c r="E13" s="231"/>
      <c r="F13" s="231"/>
      <c r="G13" s="232">
        <f t="shared" ref="G13:G19" si="0">SUM(C13:F13)</f>
        <v>0</v>
      </c>
    </row>
    <row r="14" spans="1:7" ht="27" customHeight="1" x14ac:dyDescent="0.2">
      <c r="A14" s="233" t="s">
        <v>13</v>
      </c>
      <c r="B14" s="234" t="s">
        <v>444</v>
      </c>
      <c r="C14" s="235"/>
      <c r="D14" s="235"/>
      <c r="E14" s="235"/>
      <c r="F14" s="235"/>
      <c r="G14" s="236">
        <f t="shared" si="0"/>
        <v>0</v>
      </c>
    </row>
    <row r="15" spans="1:7" ht="27" customHeight="1" x14ac:dyDescent="0.2">
      <c r="A15" s="233" t="s">
        <v>14</v>
      </c>
      <c r="B15" s="234" t="s">
        <v>445</v>
      </c>
      <c r="C15" s="235"/>
      <c r="D15" s="235"/>
      <c r="E15" s="235"/>
      <c r="F15" s="235"/>
      <c r="G15" s="236">
        <f t="shared" si="0"/>
        <v>0</v>
      </c>
    </row>
    <row r="16" spans="1:7" ht="27" customHeight="1" x14ac:dyDescent="0.2">
      <c r="A16" s="233" t="s">
        <v>15</v>
      </c>
      <c r="B16" s="234" t="s">
        <v>446</v>
      </c>
      <c r="C16" s="235"/>
      <c r="D16" s="235"/>
      <c r="E16" s="235"/>
      <c r="F16" s="235"/>
      <c r="G16" s="236">
        <f t="shared" si="0"/>
        <v>0</v>
      </c>
    </row>
    <row r="17" spans="1:7" ht="27" customHeight="1" x14ac:dyDescent="0.2">
      <c r="A17" s="233" t="s">
        <v>16</v>
      </c>
      <c r="B17" s="234" t="s">
        <v>447</v>
      </c>
      <c r="C17" s="235"/>
      <c r="D17" s="235"/>
      <c r="E17" s="235"/>
      <c r="F17" s="235"/>
      <c r="G17" s="236">
        <f t="shared" si="0"/>
        <v>0</v>
      </c>
    </row>
    <row r="18" spans="1:7" ht="27" customHeight="1" thickBot="1" x14ac:dyDescent="0.25">
      <c r="A18" s="237" t="s">
        <v>17</v>
      </c>
      <c r="B18" s="238" t="s">
        <v>448</v>
      </c>
      <c r="C18" s="239"/>
      <c r="D18" s="239"/>
      <c r="E18" s="239"/>
      <c r="F18" s="239"/>
      <c r="G18" s="240">
        <f t="shared" si="0"/>
        <v>0</v>
      </c>
    </row>
    <row r="19" spans="1:7" s="245" customFormat="1" ht="24" customHeight="1" thickBot="1" x14ac:dyDescent="0.25">
      <c r="A19" s="241" t="s">
        <v>18</v>
      </c>
      <c r="B19" s="242" t="s">
        <v>35</v>
      </c>
      <c r="C19" s="243">
        <f>SUM(C13:C18)</f>
        <v>0</v>
      </c>
      <c r="D19" s="243">
        <f>SUM(D13:D18)</f>
        <v>0</v>
      </c>
      <c r="E19" s="243">
        <f>SUM(E13:E18)</f>
        <v>0</v>
      </c>
      <c r="F19" s="243">
        <f>SUM(F13:F18)</f>
        <v>0</v>
      </c>
      <c r="G19" s="244">
        <f t="shared" si="0"/>
        <v>0</v>
      </c>
    </row>
    <row r="20" spans="1:7" s="221" customFormat="1" ht="15.75" x14ac:dyDescent="0.25">
      <c r="A20" s="218"/>
      <c r="B20" s="218"/>
      <c r="C20" s="218"/>
      <c r="D20" s="218"/>
      <c r="E20" s="218"/>
      <c r="F20" s="218"/>
      <c r="G20" s="539"/>
    </row>
    <row r="21" spans="1:7" s="221" customFormat="1" ht="15.75" x14ac:dyDescent="0.25">
      <c r="A21" s="218"/>
      <c r="B21" s="218"/>
      <c r="C21" s="218"/>
      <c r="D21" s="218"/>
      <c r="E21" s="218"/>
      <c r="F21" s="218"/>
      <c r="G21" s="218"/>
    </row>
    <row r="22" spans="1:7" s="221" customFormat="1" ht="15.75" x14ac:dyDescent="0.25">
      <c r="A22" s="218"/>
      <c r="B22" s="218"/>
      <c r="C22" s="218"/>
      <c r="D22" s="218"/>
      <c r="E22" s="218"/>
      <c r="F22" s="218"/>
      <c r="G22" s="218"/>
    </row>
    <row r="23" spans="1:7" s="221" customFormat="1" ht="15.75" x14ac:dyDescent="0.25">
      <c r="A23" s="223" t="s">
        <v>680</v>
      </c>
      <c r="B23" s="218"/>
      <c r="C23" s="218"/>
      <c r="D23" s="218"/>
      <c r="E23" s="218"/>
      <c r="F23" s="218"/>
      <c r="G23" s="218"/>
    </row>
    <row r="24" spans="1:7" s="221" customFormat="1" ht="15.75" x14ac:dyDescent="0.25">
      <c r="A24" s="218"/>
      <c r="B24" s="218"/>
      <c r="C24" s="218"/>
      <c r="D24" s="218"/>
      <c r="E24" s="218"/>
      <c r="F24" s="218"/>
      <c r="G24" s="218"/>
    </row>
    <row r="25" spans="1:7" ht="15.75" x14ac:dyDescent="0.25">
      <c r="A25" s="218"/>
      <c r="B25" s="218"/>
      <c r="C25" s="218"/>
      <c r="D25" s="218"/>
      <c r="E25" s="218"/>
      <c r="F25" s="218"/>
      <c r="G25" s="218"/>
    </row>
    <row r="26" spans="1:7" ht="15.75" x14ac:dyDescent="0.25">
      <c r="A26" s="218"/>
      <c r="B26" s="218"/>
      <c r="C26" s="223"/>
      <c r="D26" s="223"/>
      <c r="E26" s="223"/>
      <c r="F26" s="223"/>
      <c r="G26" s="218"/>
    </row>
    <row r="27" spans="1:7" ht="15.75" x14ac:dyDescent="0.25">
      <c r="A27" s="218"/>
      <c r="B27" s="218"/>
      <c r="C27" s="1859" t="s">
        <v>449</v>
      </c>
      <c r="D27" s="1859"/>
      <c r="E27" s="1859"/>
      <c r="F27" s="1859"/>
      <c r="G27" s="218"/>
    </row>
    <row r="28" spans="1:7" ht="15.75" x14ac:dyDescent="0.25">
      <c r="A28" s="218"/>
      <c r="B28" s="218"/>
      <c r="C28" s="218"/>
      <c r="D28" s="246"/>
      <c r="E28" s="246"/>
      <c r="F28" s="218"/>
      <c r="G28" s="539"/>
    </row>
    <row r="29" spans="1:7" ht="15.75" x14ac:dyDescent="0.25">
      <c r="A29" s="218"/>
      <c r="B29" s="218"/>
      <c r="C29" s="218"/>
      <c r="D29" s="246"/>
      <c r="E29" s="246"/>
      <c r="F29" s="218"/>
      <c r="G29" s="218"/>
    </row>
    <row r="30" spans="1:7" ht="15.75" x14ac:dyDescent="0.25">
      <c r="A30" s="218"/>
      <c r="B30" s="218"/>
      <c r="C30" s="218"/>
      <c r="D30" s="218"/>
      <c r="E30" s="218"/>
      <c r="F30" s="218"/>
      <c r="G30" s="218"/>
    </row>
    <row r="31" spans="1:7" ht="15.75" x14ac:dyDescent="0.25">
      <c r="A31" s="218"/>
      <c r="B31" s="218"/>
      <c r="C31" s="218"/>
      <c r="D31" s="218"/>
      <c r="E31" s="218"/>
      <c r="F31" s="218"/>
      <c r="G31" s="218"/>
    </row>
    <row r="32" spans="1:7" ht="15.75" x14ac:dyDescent="0.25">
      <c r="A32" s="218"/>
      <c r="B32" s="218"/>
      <c r="C32" s="218"/>
      <c r="D32" s="218"/>
      <c r="E32" s="218"/>
      <c r="F32" s="218"/>
      <c r="G32" s="218"/>
    </row>
    <row r="33" spans="1:7" ht="15.75" x14ac:dyDescent="0.25">
      <c r="A33" s="218"/>
      <c r="B33" s="218"/>
      <c r="C33" s="218"/>
      <c r="D33" s="218"/>
      <c r="E33" s="218"/>
      <c r="F33" s="218"/>
      <c r="G33" s="218"/>
    </row>
    <row r="34" spans="1:7" ht="15.75" x14ac:dyDescent="0.25">
      <c r="A34" s="218"/>
      <c r="B34" s="218"/>
      <c r="C34" s="218"/>
      <c r="D34" s="218"/>
      <c r="E34" s="218"/>
      <c r="F34" s="218"/>
      <c r="G34" s="218"/>
    </row>
  </sheetData>
  <mergeCells count="5">
    <mergeCell ref="A3:G3"/>
    <mergeCell ref="C5:G5"/>
    <mergeCell ref="C7:F7"/>
    <mergeCell ref="C27:F27"/>
    <mergeCell ref="A1:G1"/>
  </mergeCells>
  <printOptions horizontalCentered="1"/>
  <pageMargins left="0.70866141732283472" right="0.70866141732283472" top="0.78740157480314965" bottom="0.74803149606299213" header="0.31496062992125984" footer="0.31496062992125984"/>
  <pageSetup paperSize="9" scale="95" orientation="portrait" r:id="rId1"/>
  <headerFooter alignWithMargins="0">
    <oddHeader xml:space="preserve">&amp;C&amp;"Times New Roman CE,Félkövér"&amp;12
&amp;R&amp;11
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H64"/>
  <sheetViews>
    <sheetView view="pageBreakPreview" topLeftCell="A34" zoomScale="106" zoomScaleNormal="100" zoomScaleSheetLayoutView="106" workbookViewId="0">
      <selection activeCell="C53" sqref="C53"/>
    </sheetView>
  </sheetViews>
  <sheetFormatPr defaultRowHeight="12.75" x14ac:dyDescent="0.2"/>
  <cols>
    <col min="1" max="1" width="63.1640625" customWidth="1"/>
    <col min="2" max="2" width="37" customWidth="1"/>
    <col min="3" max="3" width="21.6640625" customWidth="1"/>
  </cols>
  <sheetData>
    <row r="1" spans="1:8" x14ac:dyDescent="0.2">
      <c r="A1" s="1773" t="s">
        <v>800</v>
      </c>
      <c r="B1" s="1773"/>
      <c r="C1" s="1773"/>
    </row>
    <row r="2" spans="1:8" x14ac:dyDescent="0.2">
      <c r="B2" s="1773" t="s">
        <v>776</v>
      </c>
      <c r="C2" s="1773"/>
      <c r="D2" s="164"/>
      <c r="E2" s="164"/>
      <c r="F2" s="164"/>
      <c r="G2" s="164"/>
      <c r="H2" s="164"/>
    </row>
    <row r="4" spans="1:8" ht="16.5" x14ac:dyDescent="0.2">
      <c r="A4" s="1874" t="s">
        <v>558</v>
      </c>
      <c r="B4" s="1874"/>
      <c r="C4" s="1874"/>
    </row>
    <row r="5" spans="1:8" ht="16.5" x14ac:dyDescent="0.2">
      <c r="A5" s="887"/>
      <c r="B5" s="887"/>
      <c r="C5" s="886"/>
    </row>
    <row r="6" spans="1:8" ht="16.5" x14ac:dyDescent="0.2">
      <c r="A6" s="1874" t="s">
        <v>670</v>
      </c>
      <c r="B6" s="1874"/>
      <c r="C6" s="1874"/>
    </row>
    <row r="8" spans="1:8" ht="39.950000000000003" customHeight="1" x14ac:dyDescent="0.25">
      <c r="A8" s="888" t="s">
        <v>450</v>
      </c>
      <c r="B8" s="1866" t="s">
        <v>451</v>
      </c>
      <c r="C8" s="1866" t="s">
        <v>452</v>
      </c>
    </row>
    <row r="9" spans="1:8" ht="39.950000000000003" customHeight="1" x14ac:dyDescent="0.2">
      <c r="A9" s="889" t="s">
        <v>453</v>
      </c>
      <c r="B9" s="1866"/>
      <c r="C9" s="1866"/>
    </row>
    <row r="10" spans="1:8" s="11" customFormat="1" ht="15.75" x14ac:dyDescent="0.25">
      <c r="A10" s="1862" t="s">
        <v>454</v>
      </c>
      <c r="B10" s="1863"/>
      <c r="C10" s="890">
        <v>7</v>
      </c>
    </row>
    <row r="11" spans="1:8" s="11" customFormat="1" ht="15.75" x14ac:dyDescent="0.25">
      <c r="A11" s="891" t="s">
        <v>632</v>
      </c>
      <c r="B11" s="892">
        <v>250</v>
      </c>
      <c r="C11" s="893">
        <v>1</v>
      </c>
    </row>
    <row r="12" spans="1:8" s="11" customFormat="1" ht="15.75" x14ac:dyDescent="0.25">
      <c r="A12" s="891" t="s">
        <v>633</v>
      </c>
      <c r="B12" s="892">
        <v>150</v>
      </c>
      <c r="C12" s="893">
        <v>1</v>
      </c>
    </row>
    <row r="13" spans="1:8" s="11" customFormat="1" ht="15.75" x14ac:dyDescent="0.25">
      <c r="A13" s="891" t="s">
        <v>634</v>
      </c>
      <c r="B13" s="892">
        <v>150</v>
      </c>
      <c r="C13" s="893">
        <v>1</v>
      </c>
    </row>
    <row r="14" spans="1:8" s="11" customFormat="1" ht="15.75" x14ac:dyDescent="0.25">
      <c r="A14" s="894" t="s">
        <v>456</v>
      </c>
      <c r="B14" s="895">
        <v>125</v>
      </c>
      <c r="C14" s="893">
        <v>4</v>
      </c>
    </row>
    <row r="15" spans="1:8" s="899" customFormat="1" ht="15.75" x14ac:dyDescent="0.25">
      <c r="A15" s="896"/>
      <c r="B15" s="897"/>
      <c r="C15" s="898"/>
    </row>
    <row r="16" spans="1:8" s="899" customFormat="1" ht="15.75" x14ac:dyDescent="0.25">
      <c r="A16" s="1862" t="s">
        <v>457</v>
      </c>
      <c r="B16" s="1863"/>
      <c r="C16" s="890">
        <v>14</v>
      </c>
    </row>
    <row r="17" spans="1:3" s="899" customFormat="1" ht="15.75" x14ac:dyDescent="0.25">
      <c r="A17" s="891" t="s">
        <v>455</v>
      </c>
      <c r="B17" s="892">
        <v>250</v>
      </c>
      <c r="C17" s="893">
        <v>1</v>
      </c>
    </row>
    <row r="18" spans="1:3" s="899" customFormat="1" ht="15.75" x14ac:dyDescent="0.25">
      <c r="A18" s="891" t="s">
        <v>697</v>
      </c>
      <c r="B18" s="892">
        <v>100</v>
      </c>
      <c r="C18" s="893">
        <v>1</v>
      </c>
    </row>
    <row r="19" spans="1:3" s="899" customFormat="1" ht="15.75" x14ac:dyDescent="0.25">
      <c r="A19" s="891" t="s">
        <v>698</v>
      </c>
      <c r="B19" s="892">
        <v>100</v>
      </c>
      <c r="C19" s="893">
        <v>4</v>
      </c>
    </row>
    <row r="20" spans="1:3" s="899" customFormat="1" ht="15.75" x14ac:dyDescent="0.25">
      <c r="A20" s="894" t="s">
        <v>456</v>
      </c>
      <c r="B20" s="895">
        <v>100</v>
      </c>
      <c r="C20" s="893">
        <v>8</v>
      </c>
    </row>
    <row r="21" spans="1:3" s="899" customFormat="1" ht="15.75" x14ac:dyDescent="0.25">
      <c r="A21" s="894"/>
      <c r="B21" s="895"/>
      <c r="C21" s="898"/>
    </row>
    <row r="22" spans="1:3" s="899" customFormat="1" x14ac:dyDescent="0.2">
      <c r="A22" s="900"/>
      <c r="B22" s="900"/>
      <c r="C22" s="900"/>
    </row>
    <row r="23" spans="1:3" s="899" customFormat="1" ht="15" customHeight="1" x14ac:dyDescent="0.25">
      <c r="A23" s="1864" t="s">
        <v>460</v>
      </c>
      <c r="B23" s="1865"/>
      <c r="C23" s="901">
        <v>21</v>
      </c>
    </row>
    <row r="24" spans="1:3" s="899" customFormat="1" ht="25.5" customHeight="1" x14ac:dyDescent="0.2"/>
    <row r="25" spans="1:3" s="11" customFormat="1" ht="39.950000000000003" customHeight="1" x14ac:dyDescent="0.25">
      <c r="A25" s="888" t="s">
        <v>461</v>
      </c>
      <c r="B25" s="1866" t="s">
        <v>462</v>
      </c>
      <c r="C25" s="1866" t="s">
        <v>463</v>
      </c>
    </row>
    <row r="26" spans="1:3" s="11" customFormat="1" ht="39.75" customHeight="1" x14ac:dyDescent="0.2">
      <c r="A26" s="889" t="s">
        <v>453</v>
      </c>
      <c r="B26" s="1866"/>
      <c r="C26" s="1866"/>
    </row>
    <row r="27" spans="1:3" s="1386" customFormat="1" ht="15.75" x14ac:dyDescent="0.25">
      <c r="A27" s="1860" t="s">
        <v>464</v>
      </c>
      <c r="B27" s="1867"/>
      <c r="C27" s="1385">
        <f>SUM(C28:C30)</f>
        <v>4</v>
      </c>
    </row>
    <row r="28" spans="1:3" s="1386" customFormat="1" ht="15.75" x14ac:dyDescent="0.25">
      <c r="A28" s="1387" t="s">
        <v>455</v>
      </c>
      <c r="B28" s="1388">
        <v>130</v>
      </c>
      <c r="C28" s="1389">
        <v>1</v>
      </c>
    </row>
    <row r="29" spans="1:3" s="1386" customFormat="1" ht="15.75" x14ac:dyDescent="0.25">
      <c r="A29" s="1387" t="s">
        <v>699</v>
      </c>
      <c r="B29" s="1388">
        <v>65</v>
      </c>
      <c r="C29" s="1389">
        <v>1</v>
      </c>
    </row>
    <row r="30" spans="1:3" s="1386" customFormat="1" ht="15.75" x14ac:dyDescent="0.25">
      <c r="A30" s="1387" t="s">
        <v>697</v>
      </c>
      <c r="B30" s="1388">
        <v>65</v>
      </c>
      <c r="C30" s="1389">
        <v>2</v>
      </c>
    </row>
    <row r="31" spans="1:3" s="1386" customFormat="1" x14ac:dyDescent="0.2">
      <c r="A31" s="1390"/>
      <c r="B31" s="1390"/>
      <c r="C31" s="1390"/>
    </row>
    <row r="32" spans="1:3" s="1386" customFormat="1" ht="15.75" x14ac:dyDescent="0.25">
      <c r="A32" s="1860" t="s">
        <v>460</v>
      </c>
      <c r="B32" s="1861"/>
      <c r="C32" s="1385">
        <v>4</v>
      </c>
    </row>
    <row r="33" spans="1:3" s="899" customFormat="1" x14ac:dyDescent="0.2">
      <c r="C33" s="902"/>
    </row>
    <row r="34" spans="1:3" s="899" customFormat="1" ht="39.950000000000003" customHeight="1" x14ac:dyDescent="0.25">
      <c r="A34" s="888" t="s">
        <v>450</v>
      </c>
      <c r="B34" s="1866" t="s">
        <v>591</v>
      </c>
      <c r="C34" s="1866" t="s">
        <v>452</v>
      </c>
    </row>
    <row r="35" spans="1:3" s="899" customFormat="1" ht="39.950000000000003" customHeight="1" x14ac:dyDescent="0.2">
      <c r="A35" s="889" t="s">
        <v>453</v>
      </c>
      <c r="B35" s="1866"/>
      <c r="C35" s="1866"/>
    </row>
    <row r="36" spans="1:3" s="899" customFormat="1" ht="15.75" x14ac:dyDescent="0.25">
      <c r="A36" s="1862" t="s">
        <v>494</v>
      </c>
      <c r="B36" s="1863"/>
      <c r="C36" s="890">
        <v>6</v>
      </c>
    </row>
    <row r="37" spans="1:3" s="899" customFormat="1" ht="15.75" x14ac:dyDescent="0.25">
      <c r="A37" s="891" t="s">
        <v>592</v>
      </c>
      <c r="B37" s="895" t="s">
        <v>559</v>
      </c>
      <c r="C37" s="893">
        <v>1</v>
      </c>
    </row>
    <row r="38" spans="1:3" s="899" customFormat="1" ht="15.75" x14ac:dyDescent="0.25">
      <c r="A38" s="891" t="s">
        <v>593</v>
      </c>
      <c r="B38" s="895" t="s">
        <v>560</v>
      </c>
      <c r="C38" s="893">
        <v>1</v>
      </c>
    </row>
    <row r="39" spans="1:3" s="899" customFormat="1" ht="15.75" x14ac:dyDescent="0.25">
      <c r="A39" s="891" t="s">
        <v>594</v>
      </c>
      <c r="B39" s="895" t="s">
        <v>560</v>
      </c>
      <c r="C39" s="893">
        <v>1</v>
      </c>
    </row>
    <row r="40" spans="1:3" s="899" customFormat="1" ht="15.75" x14ac:dyDescent="0.25">
      <c r="A40" s="891" t="s">
        <v>561</v>
      </c>
      <c r="B40" s="895" t="s">
        <v>562</v>
      </c>
      <c r="C40" s="893">
        <v>3</v>
      </c>
    </row>
    <row r="41" spans="1:3" s="899" customFormat="1" ht="15" customHeight="1" x14ac:dyDescent="0.25">
      <c r="A41" s="1868" t="s">
        <v>563</v>
      </c>
      <c r="B41" s="1868"/>
      <c r="C41" s="901">
        <v>6</v>
      </c>
    </row>
    <row r="42" spans="1:3" s="899" customFormat="1" x14ac:dyDescent="0.2"/>
    <row r="43" spans="1:3" s="899" customFormat="1" x14ac:dyDescent="0.2"/>
    <row r="44" spans="1:3" s="899" customFormat="1" ht="30" customHeight="1" x14ac:dyDescent="0.25">
      <c r="A44" s="903" t="s">
        <v>54</v>
      </c>
      <c r="B44" s="1869" t="s">
        <v>564</v>
      </c>
      <c r="C44" s="1866" t="s">
        <v>565</v>
      </c>
    </row>
    <row r="45" spans="1:3" s="899" customFormat="1" ht="94.5" customHeight="1" x14ac:dyDescent="0.2">
      <c r="A45" s="904" t="s">
        <v>453</v>
      </c>
      <c r="B45" s="1869"/>
      <c r="C45" s="1870"/>
    </row>
    <row r="46" spans="1:3" s="899" customFormat="1" ht="15.75" x14ac:dyDescent="0.25">
      <c r="A46" s="1871" t="s">
        <v>458</v>
      </c>
      <c r="B46" s="1871"/>
      <c r="C46" s="905">
        <v>7</v>
      </c>
    </row>
    <row r="47" spans="1:3" s="899" customFormat="1" ht="15.75" x14ac:dyDescent="0.25">
      <c r="A47" s="891" t="s">
        <v>700</v>
      </c>
      <c r="B47" s="893">
        <v>150</v>
      </c>
      <c r="C47" s="893">
        <v>1</v>
      </c>
    </row>
    <row r="48" spans="1:3" s="899" customFormat="1" ht="15.75" x14ac:dyDescent="0.25">
      <c r="A48" s="891" t="s">
        <v>701</v>
      </c>
      <c r="B48" s="892">
        <v>150</v>
      </c>
      <c r="C48" s="893">
        <v>1</v>
      </c>
    </row>
    <row r="49" spans="1:3" s="899" customFormat="1" ht="15.75" x14ac:dyDescent="0.25">
      <c r="A49" s="891" t="s">
        <v>459</v>
      </c>
      <c r="B49" s="892">
        <v>150</v>
      </c>
      <c r="C49" s="893">
        <v>1</v>
      </c>
    </row>
    <row r="50" spans="1:3" s="899" customFormat="1" ht="15.75" x14ac:dyDescent="0.25">
      <c r="A50" s="891" t="s">
        <v>702</v>
      </c>
      <c r="B50" s="893">
        <v>100</v>
      </c>
      <c r="C50" s="893">
        <v>1</v>
      </c>
    </row>
    <row r="51" spans="1:3" s="899" customFormat="1" ht="15.75" x14ac:dyDescent="0.25">
      <c r="A51" s="891" t="s">
        <v>456</v>
      </c>
      <c r="B51" s="893">
        <v>100</v>
      </c>
      <c r="C51" s="1389">
        <v>3</v>
      </c>
    </row>
    <row r="52" spans="1:3" s="899" customFormat="1" ht="15.75" x14ac:dyDescent="0.25">
      <c r="A52" s="1872" t="s">
        <v>563</v>
      </c>
      <c r="B52" s="1873"/>
      <c r="C52" s="901">
        <f>SUM(C47:C51)</f>
        <v>7</v>
      </c>
    </row>
    <row r="53" spans="1:3" s="899" customFormat="1" x14ac:dyDescent="0.2">
      <c r="A53" s="11"/>
      <c r="B53" s="11"/>
      <c r="C53" s="11"/>
    </row>
    <row r="54" spans="1:3" s="899" customFormat="1" ht="15.75" x14ac:dyDescent="0.25">
      <c r="A54" s="1864" t="s">
        <v>465</v>
      </c>
      <c r="B54" s="1865"/>
      <c r="C54" s="901">
        <f>+C52+C41+C32+C23</f>
        <v>38</v>
      </c>
    </row>
    <row r="55" spans="1:3" s="899" customFormat="1" x14ac:dyDescent="0.2">
      <c r="C55" s="935" t="s">
        <v>734</v>
      </c>
    </row>
    <row r="56" spans="1:3" s="899" customFormat="1" x14ac:dyDescent="0.2"/>
    <row r="57" spans="1:3" s="899" customFormat="1" x14ac:dyDescent="0.2"/>
    <row r="58" spans="1:3" s="899" customFormat="1" x14ac:dyDescent="0.2"/>
    <row r="59" spans="1:3" s="899" customFormat="1" x14ac:dyDescent="0.2"/>
    <row r="60" spans="1:3" s="899" customFormat="1" x14ac:dyDescent="0.2"/>
    <row r="61" spans="1:3" s="899" customFormat="1" x14ac:dyDescent="0.2"/>
    <row r="62" spans="1:3" s="899" customFormat="1" x14ac:dyDescent="0.2"/>
    <row r="63" spans="1:3" s="899" customFormat="1" x14ac:dyDescent="0.2"/>
    <row r="64" spans="1:3" s="899" customFormat="1" x14ac:dyDescent="0.2"/>
  </sheetData>
  <mergeCells count="22">
    <mergeCell ref="A1:C1"/>
    <mergeCell ref="A54:B54"/>
    <mergeCell ref="A36:B36"/>
    <mergeCell ref="A41:B41"/>
    <mergeCell ref="B44:B45"/>
    <mergeCell ref="C44:C45"/>
    <mergeCell ref="A46:B46"/>
    <mergeCell ref="A52:B52"/>
    <mergeCell ref="B2:C2"/>
    <mergeCell ref="B34:B35"/>
    <mergeCell ref="C34:C35"/>
    <mergeCell ref="A4:C4"/>
    <mergeCell ref="A6:C6"/>
    <mergeCell ref="B8:B9"/>
    <mergeCell ref="C8:C9"/>
    <mergeCell ref="A10:B10"/>
    <mergeCell ref="A32:B32"/>
    <mergeCell ref="A16:B16"/>
    <mergeCell ref="A23:B23"/>
    <mergeCell ref="B25:B26"/>
    <mergeCell ref="C25:C26"/>
    <mergeCell ref="A27:B27"/>
  </mergeCells>
  <printOptions horizontalCentered="1" verticalCentered="1"/>
  <pageMargins left="0.74803149606299213" right="0.74803149606299213" top="0.39370078740157483" bottom="0.59055118110236227" header="0.51181102362204722" footer="0.51181102362204722"/>
  <pageSetup paperSize="9" scale="7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O19"/>
  <sheetViews>
    <sheetView view="pageBreakPreview" zoomScaleNormal="100" zoomScaleSheetLayoutView="100" workbookViewId="0">
      <selection activeCell="L14" sqref="L14"/>
    </sheetView>
  </sheetViews>
  <sheetFormatPr defaultRowHeight="12.75" x14ac:dyDescent="0.2"/>
  <cols>
    <col min="1" max="1" width="38.83203125" customWidth="1"/>
    <col min="2" max="2" width="13.83203125" customWidth="1"/>
    <col min="3" max="3" width="15.83203125" customWidth="1"/>
    <col min="4" max="6" width="13.83203125" customWidth="1"/>
    <col min="7" max="7" width="14.33203125" customWidth="1"/>
    <col min="8" max="9" width="13.83203125" customWidth="1"/>
    <col min="10" max="10" width="14.33203125" customWidth="1"/>
    <col min="11" max="11" width="13.6640625" customWidth="1"/>
    <col min="12" max="13" width="13.83203125" customWidth="1"/>
    <col min="14" max="14" width="32.83203125" customWidth="1"/>
    <col min="253" max="253" width="38.6640625" customWidth="1"/>
    <col min="254" max="254" width="12.83203125" customWidth="1"/>
    <col min="255" max="255" width="16.33203125" customWidth="1"/>
    <col min="256" max="256" width="18" customWidth="1"/>
    <col min="257" max="257" width="14" customWidth="1"/>
    <col min="258" max="259" width="13.5" customWidth="1"/>
    <col min="260" max="260" width="14.83203125" customWidth="1"/>
    <col min="261" max="261" width="13.6640625" customWidth="1"/>
    <col min="262" max="262" width="12.83203125" customWidth="1"/>
    <col min="263" max="263" width="15.1640625" customWidth="1"/>
    <col min="264" max="264" width="17.1640625" customWidth="1"/>
    <col min="265" max="267" width="15.83203125" customWidth="1"/>
    <col min="268" max="268" width="35.6640625" customWidth="1"/>
    <col min="509" max="509" width="38.6640625" customWidth="1"/>
    <col min="510" max="510" width="12.83203125" customWidth="1"/>
    <col min="511" max="511" width="16.33203125" customWidth="1"/>
    <col min="512" max="512" width="18" customWidth="1"/>
    <col min="513" max="513" width="14" customWidth="1"/>
    <col min="514" max="515" width="13.5" customWidth="1"/>
    <col min="516" max="516" width="14.83203125" customWidth="1"/>
    <col min="517" max="517" width="13.6640625" customWidth="1"/>
    <col min="518" max="518" width="12.83203125" customWidth="1"/>
    <col min="519" max="519" width="15.1640625" customWidth="1"/>
    <col min="520" max="520" width="17.1640625" customWidth="1"/>
    <col min="521" max="523" width="15.83203125" customWidth="1"/>
    <col min="524" max="524" width="35.6640625" customWidth="1"/>
    <col min="765" max="765" width="38.6640625" customWidth="1"/>
    <col min="766" max="766" width="12.83203125" customWidth="1"/>
    <col min="767" max="767" width="16.33203125" customWidth="1"/>
    <col min="768" max="768" width="18" customWidth="1"/>
    <col min="769" max="769" width="14" customWidth="1"/>
    <col min="770" max="771" width="13.5" customWidth="1"/>
    <col min="772" max="772" width="14.83203125" customWidth="1"/>
    <col min="773" max="773" width="13.6640625" customWidth="1"/>
    <col min="774" max="774" width="12.83203125" customWidth="1"/>
    <col min="775" max="775" width="15.1640625" customWidth="1"/>
    <col min="776" max="776" width="17.1640625" customWidth="1"/>
    <col min="777" max="779" width="15.83203125" customWidth="1"/>
    <col min="780" max="780" width="35.6640625" customWidth="1"/>
    <col min="1021" max="1021" width="38.6640625" customWidth="1"/>
    <col min="1022" max="1022" width="12.83203125" customWidth="1"/>
    <col min="1023" max="1023" width="16.33203125" customWidth="1"/>
    <col min="1024" max="1024" width="18" customWidth="1"/>
    <col min="1025" max="1025" width="14" customWidth="1"/>
    <col min="1026" max="1027" width="13.5" customWidth="1"/>
    <col min="1028" max="1028" width="14.83203125" customWidth="1"/>
    <col min="1029" max="1029" width="13.6640625" customWidth="1"/>
    <col min="1030" max="1030" width="12.83203125" customWidth="1"/>
    <col min="1031" max="1031" width="15.1640625" customWidth="1"/>
    <col min="1032" max="1032" width="17.1640625" customWidth="1"/>
    <col min="1033" max="1035" width="15.83203125" customWidth="1"/>
    <col min="1036" max="1036" width="35.6640625" customWidth="1"/>
    <col min="1277" max="1277" width="38.6640625" customWidth="1"/>
    <col min="1278" max="1278" width="12.83203125" customWidth="1"/>
    <col min="1279" max="1279" width="16.33203125" customWidth="1"/>
    <col min="1280" max="1280" width="18" customWidth="1"/>
    <col min="1281" max="1281" width="14" customWidth="1"/>
    <col min="1282" max="1283" width="13.5" customWidth="1"/>
    <col min="1284" max="1284" width="14.83203125" customWidth="1"/>
    <col min="1285" max="1285" width="13.6640625" customWidth="1"/>
    <col min="1286" max="1286" width="12.83203125" customWidth="1"/>
    <col min="1287" max="1287" width="15.1640625" customWidth="1"/>
    <col min="1288" max="1288" width="17.1640625" customWidth="1"/>
    <col min="1289" max="1291" width="15.83203125" customWidth="1"/>
    <col min="1292" max="1292" width="35.6640625" customWidth="1"/>
    <col min="1533" max="1533" width="38.6640625" customWidth="1"/>
    <col min="1534" max="1534" width="12.83203125" customWidth="1"/>
    <col min="1535" max="1535" width="16.33203125" customWidth="1"/>
    <col min="1536" max="1536" width="18" customWidth="1"/>
    <col min="1537" max="1537" width="14" customWidth="1"/>
    <col min="1538" max="1539" width="13.5" customWidth="1"/>
    <col min="1540" max="1540" width="14.83203125" customWidth="1"/>
    <col min="1541" max="1541" width="13.6640625" customWidth="1"/>
    <col min="1542" max="1542" width="12.83203125" customWidth="1"/>
    <col min="1543" max="1543" width="15.1640625" customWidth="1"/>
    <col min="1544" max="1544" width="17.1640625" customWidth="1"/>
    <col min="1545" max="1547" width="15.83203125" customWidth="1"/>
    <col min="1548" max="1548" width="35.6640625" customWidth="1"/>
    <col min="1789" max="1789" width="38.6640625" customWidth="1"/>
    <col min="1790" max="1790" width="12.83203125" customWidth="1"/>
    <col min="1791" max="1791" width="16.33203125" customWidth="1"/>
    <col min="1792" max="1792" width="18" customWidth="1"/>
    <col min="1793" max="1793" width="14" customWidth="1"/>
    <col min="1794" max="1795" width="13.5" customWidth="1"/>
    <col min="1796" max="1796" width="14.83203125" customWidth="1"/>
    <col min="1797" max="1797" width="13.6640625" customWidth="1"/>
    <col min="1798" max="1798" width="12.83203125" customWidth="1"/>
    <col min="1799" max="1799" width="15.1640625" customWidth="1"/>
    <col min="1800" max="1800" width="17.1640625" customWidth="1"/>
    <col min="1801" max="1803" width="15.83203125" customWidth="1"/>
    <col min="1804" max="1804" width="35.6640625" customWidth="1"/>
    <col min="2045" max="2045" width="38.6640625" customWidth="1"/>
    <col min="2046" max="2046" width="12.83203125" customWidth="1"/>
    <col min="2047" max="2047" width="16.33203125" customWidth="1"/>
    <col min="2048" max="2048" width="18" customWidth="1"/>
    <col min="2049" max="2049" width="14" customWidth="1"/>
    <col min="2050" max="2051" width="13.5" customWidth="1"/>
    <col min="2052" max="2052" width="14.83203125" customWidth="1"/>
    <col min="2053" max="2053" width="13.6640625" customWidth="1"/>
    <col min="2054" max="2054" width="12.83203125" customWidth="1"/>
    <col min="2055" max="2055" width="15.1640625" customWidth="1"/>
    <col min="2056" max="2056" width="17.1640625" customWidth="1"/>
    <col min="2057" max="2059" width="15.83203125" customWidth="1"/>
    <col min="2060" max="2060" width="35.6640625" customWidth="1"/>
    <col min="2301" max="2301" width="38.6640625" customWidth="1"/>
    <col min="2302" max="2302" width="12.83203125" customWidth="1"/>
    <col min="2303" max="2303" width="16.33203125" customWidth="1"/>
    <col min="2304" max="2304" width="18" customWidth="1"/>
    <col min="2305" max="2305" width="14" customWidth="1"/>
    <col min="2306" max="2307" width="13.5" customWidth="1"/>
    <col min="2308" max="2308" width="14.83203125" customWidth="1"/>
    <col min="2309" max="2309" width="13.6640625" customWidth="1"/>
    <col min="2310" max="2310" width="12.83203125" customWidth="1"/>
    <col min="2311" max="2311" width="15.1640625" customWidth="1"/>
    <col min="2312" max="2312" width="17.1640625" customWidth="1"/>
    <col min="2313" max="2315" width="15.83203125" customWidth="1"/>
    <col min="2316" max="2316" width="35.6640625" customWidth="1"/>
    <col min="2557" max="2557" width="38.6640625" customWidth="1"/>
    <col min="2558" max="2558" width="12.83203125" customWidth="1"/>
    <col min="2559" max="2559" width="16.33203125" customWidth="1"/>
    <col min="2560" max="2560" width="18" customWidth="1"/>
    <col min="2561" max="2561" width="14" customWidth="1"/>
    <col min="2562" max="2563" width="13.5" customWidth="1"/>
    <col min="2564" max="2564" width="14.83203125" customWidth="1"/>
    <col min="2565" max="2565" width="13.6640625" customWidth="1"/>
    <col min="2566" max="2566" width="12.83203125" customWidth="1"/>
    <col min="2567" max="2567" width="15.1640625" customWidth="1"/>
    <col min="2568" max="2568" width="17.1640625" customWidth="1"/>
    <col min="2569" max="2571" width="15.83203125" customWidth="1"/>
    <col min="2572" max="2572" width="35.6640625" customWidth="1"/>
    <col min="2813" max="2813" width="38.6640625" customWidth="1"/>
    <col min="2814" max="2814" width="12.83203125" customWidth="1"/>
    <col min="2815" max="2815" width="16.33203125" customWidth="1"/>
    <col min="2816" max="2816" width="18" customWidth="1"/>
    <col min="2817" max="2817" width="14" customWidth="1"/>
    <col min="2818" max="2819" width="13.5" customWidth="1"/>
    <col min="2820" max="2820" width="14.83203125" customWidth="1"/>
    <col min="2821" max="2821" width="13.6640625" customWidth="1"/>
    <col min="2822" max="2822" width="12.83203125" customWidth="1"/>
    <col min="2823" max="2823" width="15.1640625" customWidth="1"/>
    <col min="2824" max="2824" width="17.1640625" customWidth="1"/>
    <col min="2825" max="2827" width="15.83203125" customWidth="1"/>
    <col min="2828" max="2828" width="35.6640625" customWidth="1"/>
    <col min="3069" max="3069" width="38.6640625" customWidth="1"/>
    <col min="3070" max="3070" width="12.83203125" customWidth="1"/>
    <col min="3071" max="3071" width="16.33203125" customWidth="1"/>
    <col min="3072" max="3072" width="18" customWidth="1"/>
    <col min="3073" max="3073" width="14" customWidth="1"/>
    <col min="3074" max="3075" width="13.5" customWidth="1"/>
    <col min="3076" max="3076" width="14.83203125" customWidth="1"/>
    <col min="3077" max="3077" width="13.6640625" customWidth="1"/>
    <col min="3078" max="3078" width="12.83203125" customWidth="1"/>
    <col min="3079" max="3079" width="15.1640625" customWidth="1"/>
    <col min="3080" max="3080" width="17.1640625" customWidth="1"/>
    <col min="3081" max="3083" width="15.83203125" customWidth="1"/>
    <col min="3084" max="3084" width="35.6640625" customWidth="1"/>
    <col min="3325" max="3325" width="38.6640625" customWidth="1"/>
    <col min="3326" max="3326" width="12.83203125" customWidth="1"/>
    <col min="3327" max="3327" width="16.33203125" customWidth="1"/>
    <col min="3328" max="3328" width="18" customWidth="1"/>
    <col min="3329" max="3329" width="14" customWidth="1"/>
    <col min="3330" max="3331" width="13.5" customWidth="1"/>
    <col min="3332" max="3332" width="14.83203125" customWidth="1"/>
    <col min="3333" max="3333" width="13.6640625" customWidth="1"/>
    <col min="3334" max="3334" width="12.83203125" customWidth="1"/>
    <col min="3335" max="3335" width="15.1640625" customWidth="1"/>
    <col min="3336" max="3336" width="17.1640625" customWidth="1"/>
    <col min="3337" max="3339" width="15.83203125" customWidth="1"/>
    <col min="3340" max="3340" width="35.6640625" customWidth="1"/>
    <col min="3581" max="3581" width="38.6640625" customWidth="1"/>
    <col min="3582" max="3582" width="12.83203125" customWidth="1"/>
    <col min="3583" max="3583" width="16.33203125" customWidth="1"/>
    <col min="3584" max="3584" width="18" customWidth="1"/>
    <col min="3585" max="3585" width="14" customWidth="1"/>
    <col min="3586" max="3587" width="13.5" customWidth="1"/>
    <col min="3588" max="3588" width="14.83203125" customWidth="1"/>
    <col min="3589" max="3589" width="13.6640625" customWidth="1"/>
    <col min="3590" max="3590" width="12.83203125" customWidth="1"/>
    <col min="3591" max="3591" width="15.1640625" customWidth="1"/>
    <col min="3592" max="3592" width="17.1640625" customWidth="1"/>
    <col min="3593" max="3595" width="15.83203125" customWidth="1"/>
    <col min="3596" max="3596" width="35.6640625" customWidth="1"/>
    <col min="3837" max="3837" width="38.6640625" customWidth="1"/>
    <col min="3838" max="3838" width="12.83203125" customWidth="1"/>
    <col min="3839" max="3839" width="16.33203125" customWidth="1"/>
    <col min="3840" max="3840" width="18" customWidth="1"/>
    <col min="3841" max="3841" width="14" customWidth="1"/>
    <col min="3842" max="3843" width="13.5" customWidth="1"/>
    <col min="3844" max="3844" width="14.83203125" customWidth="1"/>
    <col min="3845" max="3845" width="13.6640625" customWidth="1"/>
    <col min="3846" max="3846" width="12.83203125" customWidth="1"/>
    <col min="3847" max="3847" width="15.1640625" customWidth="1"/>
    <col min="3848" max="3848" width="17.1640625" customWidth="1"/>
    <col min="3849" max="3851" width="15.83203125" customWidth="1"/>
    <col min="3852" max="3852" width="35.6640625" customWidth="1"/>
    <col min="4093" max="4093" width="38.6640625" customWidth="1"/>
    <col min="4094" max="4094" width="12.83203125" customWidth="1"/>
    <col min="4095" max="4095" width="16.33203125" customWidth="1"/>
    <col min="4096" max="4096" width="18" customWidth="1"/>
    <col min="4097" max="4097" width="14" customWidth="1"/>
    <col min="4098" max="4099" width="13.5" customWidth="1"/>
    <col min="4100" max="4100" width="14.83203125" customWidth="1"/>
    <col min="4101" max="4101" width="13.6640625" customWidth="1"/>
    <col min="4102" max="4102" width="12.83203125" customWidth="1"/>
    <col min="4103" max="4103" width="15.1640625" customWidth="1"/>
    <col min="4104" max="4104" width="17.1640625" customWidth="1"/>
    <col min="4105" max="4107" width="15.83203125" customWidth="1"/>
    <col min="4108" max="4108" width="35.6640625" customWidth="1"/>
    <col min="4349" max="4349" width="38.6640625" customWidth="1"/>
    <col min="4350" max="4350" width="12.83203125" customWidth="1"/>
    <col min="4351" max="4351" width="16.33203125" customWidth="1"/>
    <col min="4352" max="4352" width="18" customWidth="1"/>
    <col min="4353" max="4353" width="14" customWidth="1"/>
    <col min="4354" max="4355" width="13.5" customWidth="1"/>
    <col min="4356" max="4356" width="14.83203125" customWidth="1"/>
    <col min="4357" max="4357" width="13.6640625" customWidth="1"/>
    <col min="4358" max="4358" width="12.83203125" customWidth="1"/>
    <col min="4359" max="4359" width="15.1640625" customWidth="1"/>
    <col min="4360" max="4360" width="17.1640625" customWidth="1"/>
    <col min="4361" max="4363" width="15.83203125" customWidth="1"/>
    <col min="4364" max="4364" width="35.6640625" customWidth="1"/>
    <col min="4605" max="4605" width="38.6640625" customWidth="1"/>
    <col min="4606" max="4606" width="12.83203125" customWidth="1"/>
    <col min="4607" max="4607" width="16.33203125" customWidth="1"/>
    <col min="4608" max="4608" width="18" customWidth="1"/>
    <col min="4609" max="4609" width="14" customWidth="1"/>
    <col min="4610" max="4611" width="13.5" customWidth="1"/>
    <col min="4612" max="4612" width="14.83203125" customWidth="1"/>
    <col min="4613" max="4613" width="13.6640625" customWidth="1"/>
    <col min="4614" max="4614" width="12.83203125" customWidth="1"/>
    <col min="4615" max="4615" width="15.1640625" customWidth="1"/>
    <col min="4616" max="4616" width="17.1640625" customWidth="1"/>
    <col min="4617" max="4619" width="15.83203125" customWidth="1"/>
    <col min="4620" max="4620" width="35.6640625" customWidth="1"/>
    <col min="4861" max="4861" width="38.6640625" customWidth="1"/>
    <col min="4862" max="4862" width="12.83203125" customWidth="1"/>
    <col min="4863" max="4863" width="16.33203125" customWidth="1"/>
    <col min="4864" max="4864" width="18" customWidth="1"/>
    <col min="4865" max="4865" width="14" customWidth="1"/>
    <col min="4866" max="4867" width="13.5" customWidth="1"/>
    <col min="4868" max="4868" width="14.83203125" customWidth="1"/>
    <col min="4869" max="4869" width="13.6640625" customWidth="1"/>
    <col min="4870" max="4870" width="12.83203125" customWidth="1"/>
    <col min="4871" max="4871" width="15.1640625" customWidth="1"/>
    <col min="4872" max="4872" width="17.1640625" customWidth="1"/>
    <col min="4873" max="4875" width="15.83203125" customWidth="1"/>
    <col min="4876" max="4876" width="35.6640625" customWidth="1"/>
    <col min="5117" max="5117" width="38.6640625" customWidth="1"/>
    <col min="5118" max="5118" width="12.83203125" customWidth="1"/>
    <col min="5119" max="5119" width="16.33203125" customWidth="1"/>
    <col min="5120" max="5120" width="18" customWidth="1"/>
    <col min="5121" max="5121" width="14" customWidth="1"/>
    <col min="5122" max="5123" width="13.5" customWidth="1"/>
    <col min="5124" max="5124" width="14.83203125" customWidth="1"/>
    <col min="5125" max="5125" width="13.6640625" customWidth="1"/>
    <col min="5126" max="5126" width="12.83203125" customWidth="1"/>
    <col min="5127" max="5127" width="15.1640625" customWidth="1"/>
    <col min="5128" max="5128" width="17.1640625" customWidth="1"/>
    <col min="5129" max="5131" width="15.83203125" customWidth="1"/>
    <col min="5132" max="5132" width="35.6640625" customWidth="1"/>
    <col min="5373" max="5373" width="38.6640625" customWidth="1"/>
    <col min="5374" max="5374" width="12.83203125" customWidth="1"/>
    <col min="5375" max="5375" width="16.33203125" customWidth="1"/>
    <col min="5376" max="5376" width="18" customWidth="1"/>
    <col min="5377" max="5377" width="14" customWidth="1"/>
    <col min="5378" max="5379" width="13.5" customWidth="1"/>
    <col min="5380" max="5380" width="14.83203125" customWidth="1"/>
    <col min="5381" max="5381" width="13.6640625" customWidth="1"/>
    <col min="5382" max="5382" width="12.83203125" customWidth="1"/>
    <col min="5383" max="5383" width="15.1640625" customWidth="1"/>
    <col min="5384" max="5384" width="17.1640625" customWidth="1"/>
    <col min="5385" max="5387" width="15.83203125" customWidth="1"/>
    <col min="5388" max="5388" width="35.6640625" customWidth="1"/>
    <col min="5629" max="5629" width="38.6640625" customWidth="1"/>
    <col min="5630" max="5630" width="12.83203125" customWidth="1"/>
    <col min="5631" max="5631" width="16.33203125" customWidth="1"/>
    <col min="5632" max="5632" width="18" customWidth="1"/>
    <col min="5633" max="5633" width="14" customWidth="1"/>
    <col min="5634" max="5635" width="13.5" customWidth="1"/>
    <col min="5636" max="5636" width="14.83203125" customWidth="1"/>
    <col min="5637" max="5637" width="13.6640625" customWidth="1"/>
    <col min="5638" max="5638" width="12.83203125" customWidth="1"/>
    <col min="5639" max="5639" width="15.1640625" customWidth="1"/>
    <col min="5640" max="5640" width="17.1640625" customWidth="1"/>
    <col min="5641" max="5643" width="15.83203125" customWidth="1"/>
    <col min="5644" max="5644" width="35.6640625" customWidth="1"/>
    <col min="5885" max="5885" width="38.6640625" customWidth="1"/>
    <col min="5886" max="5886" width="12.83203125" customWidth="1"/>
    <col min="5887" max="5887" width="16.33203125" customWidth="1"/>
    <col min="5888" max="5888" width="18" customWidth="1"/>
    <col min="5889" max="5889" width="14" customWidth="1"/>
    <col min="5890" max="5891" width="13.5" customWidth="1"/>
    <col min="5892" max="5892" width="14.83203125" customWidth="1"/>
    <col min="5893" max="5893" width="13.6640625" customWidth="1"/>
    <col min="5894" max="5894" width="12.83203125" customWidth="1"/>
    <col min="5895" max="5895" width="15.1640625" customWidth="1"/>
    <col min="5896" max="5896" width="17.1640625" customWidth="1"/>
    <col min="5897" max="5899" width="15.83203125" customWidth="1"/>
    <col min="5900" max="5900" width="35.6640625" customWidth="1"/>
    <col min="6141" max="6141" width="38.6640625" customWidth="1"/>
    <col min="6142" max="6142" width="12.83203125" customWidth="1"/>
    <col min="6143" max="6143" width="16.33203125" customWidth="1"/>
    <col min="6144" max="6144" width="18" customWidth="1"/>
    <col min="6145" max="6145" width="14" customWidth="1"/>
    <col min="6146" max="6147" width="13.5" customWidth="1"/>
    <col min="6148" max="6148" width="14.83203125" customWidth="1"/>
    <col min="6149" max="6149" width="13.6640625" customWidth="1"/>
    <col min="6150" max="6150" width="12.83203125" customWidth="1"/>
    <col min="6151" max="6151" width="15.1640625" customWidth="1"/>
    <col min="6152" max="6152" width="17.1640625" customWidth="1"/>
    <col min="6153" max="6155" width="15.83203125" customWidth="1"/>
    <col min="6156" max="6156" width="35.6640625" customWidth="1"/>
    <col min="6397" max="6397" width="38.6640625" customWidth="1"/>
    <col min="6398" max="6398" width="12.83203125" customWidth="1"/>
    <col min="6399" max="6399" width="16.33203125" customWidth="1"/>
    <col min="6400" max="6400" width="18" customWidth="1"/>
    <col min="6401" max="6401" width="14" customWidth="1"/>
    <col min="6402" max="6403" width="13.5" customWidth="1"/>
    <col min="6404" max="6404" width="14.83203125" customWidth="1"/>
    <col min="6405" max="6405" width="13.6640625" customWidth="1"/>
    <col min="6406" max="6406" width="12.83203125" customWidth="1"/>
    <col min="6407" max="6407" width="15.1640625" customWidth="1"/>
    <col min="6408" max="6408" width="17.1640625" customWidth="1"/>
    <col min="6409" max="6411" width="15.83203125" customWidth="1"/>
    <col min="6412" max="6412" width="35.6640625" customWidth="1"/>
    <col min="6653" max="6653" width="38.6640625" customWidth="1"/>
    <col min="6654" max="6654" width="12.83203125" customWidth="1"/>
    <col min="6655" max="6655" width="16.33203125" customWidth="1"/>
    <col min="6656" max="6656" width="18" customWidth="1"/>
    <col min="6657" max="6657" width="14" customWidth="1"/>
    <col min="6658" max="6659" width="13.5" customWidth="1"/>
    <col min="6660" max="6660" width="14.83203125" customWidth="1"/>
    <col min="6661" max="6661" width="13.6640625" customWidth="1"/>
    <col min="6662" max="6662" width="12.83203125" customWidth="1"/>
    <col min="6663" max="6663" width="15.1640625" customWidth="1"/>
    <col min="6664" max="6664" width="17.1640625" customWidth="1"/>
    <col min="6665" max="6667" width="15.83203125" customWidth="1"/>
    <col min="6668" max="6668" width="35.6640625" customWidth="1"/>
    <col min="6909" max="6909" width="38.6640625" customWidth="1"/>
    <col min="6910" max="6910" width="12.83203125" customWidth="1"/>
    <col min="6911" max="6911" width="16.33203125" customWidth="1"/>
    <col min="6912" max="6912" width="18" customWidth="1"/>
    <col min="6913" max="6913" width="14" customWidth="1"/>
    <col min="6914" max="6915" width="13.5" customWidth="1"/>
    <col min="6916" max="6916" width="14.83203125" customWidth="1"/>
    <col min="6917" max="6917" width="13.6640625" customWidth="1"/>
    <col min="6918" max="6918" width="12.83203125" customWidth="1"/>
    <col min="6919" max="6919" width="15.1640625" customWidth="1"/>
    <col min="6920" max="6920" width="17.1640625" customWidth="1"/>
    <col min="6921" max="6923" width="15.83203125" customWidth="1"/>
    <col min="6924" max="6924" width="35.6640625" customWidth="1"/>
    <col min="7165" max="7165" width="38.6640625" customWidth="1"/>
    <col min="7166" max="7166" width="12.83203125" customWidth="1"/>
    <col min="7167" max="7167" width="16.33203125" customWidth="1"/>
    <col min="7168" max="7168" width="18" customWidth="1"/>
    <col min="7169" max="7169" width="14" customWidth="1"/>
    <col min="7170" max="7171" width="13.5" customWidth="1"/>
    <col min="7172" max="7172" width="14.83203125" customWidth="1"/>
    <col min="7173" max="7173" width="13.6640625" customWidth="1"/>
    <col min="7174" max="7174" width="12.83203125" customWidth="1"/>
    <col min="7175" max="7175" width="15.1640625" customWidth="1"/>
    <col min="7176" max="7176" width="17.1640625" customWidth="1"/>
    <col min="7177" max="7179" width="15.83203125" customWidth="1"/>
    <col min="7180" max="7180" width="35.6640625" customWidth="1"/>
    <col min="7421" max="7421" width="38.6640625" customWidth="1"/>
    <col min="7422" max="7422" width="12.83203125" customWidth="1"/>
    <col min="7423" max="7423" width="16.33203125" customWidth="1"/>
    <col min="7424" max="7424" width="18" customWidth="1"/>
    <col min="7425" max="7425" width="14" customWidth="1"/>
    <col min="7426" max="7427" width="13.5" customWidth="1"/>
    <col min="7428" max="7428" width="14.83203125" customWidth="1"/>
    <col min="7429" max="7429" width="13.6640625" customWidth="1"/>
    <col min="7430" max="7430" width="12.83203125" customWidth="1"/>
    <col min="7431" max="7431" width="15.1640625" customWidth="1"/>
    <col min="7432" max="7432" width="17.1640625" customWidth="1"/>
    <col min="7433" max="7435" width="15.83203125" customWidth="1"/>
    <col min="7436" max="7436" width="35.6640625" customWidth="1"/>
    <col min="7677" max="7677" width="38.6640625" customWidth="1"/>
    <col min="7678" max="7678" width="12.83203125" customWidth="1"/>
    <col min="7679" max="7679" width="16.33203125" customWidth="1"/>
    <col min="7680" max="7680" width="18" customWidth="1"/>
    <col min="7681" max="7681" width="14" customWidth="1"/>
    <col min="7682" max="7683" width="13.5" customWidth="1"/>
    <col min="7684" max="7684" width="14.83203125" customWidth="1"/>
    <col min="7685" max="7685" width="13.6640625" customWidth="1"/>
    <col min="7686" max="7686" width="12.83203125" customWidth="1"/>
    <col min="7687" max="7687" width="15.1640625" customWidth="1"/>
    <col min="7688" max="7688" width="17.1640625" customWidth="1"/>
    <col min="7689" max="7691" width="15.83203125" customWidth="1"/>
    <col min="7692" max="7692" width="35.6640625" customWidth="1"/>
    <col min="7933" max="7933" width="38.6640625" customWidth="1"/>
    <col min="7934" max="7934" width="12.83203125" customWidth="1"/>
    <col min="7935" max="7935" width="16.33203125" customWidth="1"/>
    <col min="7936" max="7936" width="18" customWidth="1"/>
    <col min="7937" max="7937" width="14" customWidth="1"/>
    <col min="7938" max="7939" width="13.5" customWidth="1"/>
    <col min="7940" max="7940" width="14.83203125" customWidth="1"/>
    <col min="7941" max="7941" width="13.6640625" customWidth="1"/>
    <col min="7942" max="7942" width="12.83203125" customWidth="1"/>
    <col min="7943" max="7943" width="15.1640625" customWidth="1"/>
    <col min="7944" max="7944" width="17.1640625" customWidth="1"/>
    <col min="7945" max="7947" width="15.83203125" customWidth="1"/>
    <col min="7948" max="7948" width="35.6640625" customWidth="1"/>
    <col min="8189" max="8189" width="38.6640625" customWidth="1"/>
    <col min="8190" max="8190" width="12.83203125" customWidth="1"/>
    <col min="8191" max="8191" width="16.33203125" customWidth="1"/>
    <col min="8192" max="8192" width="18" customWidth="1"/>
    <col min="8193" max="8193" width="14" customWidth="1"/>
    <col min="8194" max="8195" width="13.5" customWidth="1"/>
    <col min="8196" max="8196" width="14.83203125" customWidth="1"/>
    <col min="8197" max="8197" width="13.6640625" customWidth="1"/>
    <col min="8198" max="8198" width="12.83203125" customWidth="1"/>
    <col min="8199" max="8199" width="15.1640625" customWidth="1"/>
    <col min="8200" max="8200" width="17.1640625" customWidth="1"/>
    <col min="8201" max="8203" width="15.83203125" customWidth="1"/>
    <col min="8204" max="8204" width="35.6640625" customWidth="1"/>
    <col min="8445" max="8445" width="38.6640625" customWidth="1"/>
    <col min="8446" max="8446" width="12.83203125" customWidth="1"/>
    <col min="8447" max="8447" width="16.33203125" customWidth="1"/>
    <col min="8448" max="8448" width="18" customWidth="1"/>
    <col min="8449" max="8449" width="14" customWidth="1"/>
    <col min="8450" max="8451" width="13.5" customWidth="1"/>
    <col min="8452" max="8452" width="14.83203125" customWidth="1"/>
    <col min="8453" max="8453" width="13.6640625" customWidth="1"/>
    <col min="8454" max="8454" width="12.83203125" customWidth="1"/>
    <col min="8455" max="8455" width="15.1640625" customWidth="1"/>
    <col min="8456" max="8456" width="17.1640625" customWidth="1"/>
    <col min="8457" max="8459" width="15.83203125" customWidth="1"/>
    <col min="8460" max="8460" width="35.6640625" customWidth="1"/>
    <col min="8701" max="8701" width="38.6640625" customWidth="1"/>
    <col min="8702" max="8702" width="12.83203125" customWidth="1"/>
    <col min="8703" max="8703" width="16.33203125" customWidth="1"/>
    <col min="8704" max="8704" width="18" customWidth="1"/>
    <col min="8705" max="8705" width="14" customWidth="1"/>
    <col min="8706" max="8707" width="13.5" customWidth="1"/>
    <col min="8708" max="8708" width="14.83203125" customWidth="1"/>
    <col min="8709" max="8709" width="13.6640625" customWidth="1"/>
    <col min="8710" max="8710" width="12.83203125" customWidth="1"/>
    <col min="8711" max="8711" width="15.1640625" customWidth="1"/>
    <col min="8712" max="8712" width="17.1640625" customWidth="1"/>
    <col min="8713" max="8715" width="15.83203125" customWidth="1"/>
    <col min="8716" max="8716" width="35.6640625" customWidth="1"/>
    <col min="8957" max="8957" width="38.6640625" customWidth="1"/>
    <col min="8958" max="8958" width="12.83203125" customWidth="1"/>
    <col min="8959" max="8959" width="16.33203125" customWidth="1"/>
    <col min="8960" max="8960" width="18" customWidth="1"/>
    <col min="8961" max="8961" width="14" customWidth="1"/>
    <col min="8962" max="8963" width="13.5" customWidth="1"/>
    <col min="8964" max="8964" width="14.83203125" customWidth="1"/>
    <col min="8965" max="8965" width="13.6640625" customWidth="1"/>
    <col min="8966" max="8966" width="12.83203125" customWidth="1"/>
    <col min="8967" max="8967" width="15.1640625" customWidth="1"/>
    <col min="8968" max="8968" width="17.1640625" customWidth="1"/>
    <col min="8969" max="8971" width="15.83203125" customWidth="1"/>
    <col min="8972" max="8972" width="35.6640625" customWidth="1"/>
    <col min="9213" max="9213" width="38.6640625" customWidth="1"/>
    <col min="9214" max="9214" width="12.83203125" customWidth="1"/>
    <col min="9215" max="9215" width="16.33203125" customWidth="1"/>
    <col min="9216" max="9216" width="18" customWidth="1"/>
    <col min="9217" max="9217" width="14" customWidth="1"/>
    <col min="9218" max="9219" width="13.5" customWidth="1"/>
    <col min="9220" max="9220" width="14.83203125" customWidth="1"/>
    <col min="9221" max="9221" width="13.6640625" customWidth="1"/>
    <col min="9222" max="9222" width="12.83203125" customWidth="1"/>
    <col min="9223" max="9223" width="15.1640625" customWidth="1"/>
    <col min="9224" max="9224" width="17.1640625" customWidth="1"/>
    <col min="9225" max="9227" width="15.83203125" customWidth="1"/>
    <col min="9228" max="9228" width="35.6640625" customWidth="1"/>
    <col min="9469" max="9469" width="38.6640625" customWidth="1"/>
    <col min="9470" max="9470" width="12.83203125" customWidth="1"/>
    <col min="9471" max="9471" width="16.33203125" customWidth="1"/>
    <col min="9472" max="9472" width="18" customWidth="1"/>
    <col min="9473" max="9473" width="14" customWidth="1"/>
    <col min="9474" max="9475" width="13.5" customWidth="1"/>
    <col min="9476" max="9476" width="14.83203125" customWidth="1"/>
    <col min="9477" max="9477" width="13.6640625" customWidth="1"/>
    <col min="9478" max="9478" width="12.83203125" customWidth="1"/>
    <col min="9479" max="9479" width="15.1640625" customWidth="1"/>
    <col min="9480" max="9480" width="17.1640625" customWidth="1"/>
    <col min="9481" max="9483" width="15.83203125" customWidth="1"/>
    <col min="9484" max="9484" width="35.6640625" customWidth="1"/>
    <col min="9725" max="9725" width="38.6640625" customWidth="1"/>
    <col min="9726" max="9726" width="12.83203125" customWidth="1"/>
    <col min="9727" max="9727" width="16.33203125" customWidth="1"/>
    <col min="9728" max="9728" width="18" customWidth="1"/>
    <col min="9729" max="9729" width="14" customWidth="1"/>
    <col min="9730" max="9731" width="13.5" customWidth="1"/>
    <col min="9732" max="9732" width="14.83203125" customWidth="1"/>
    <col min="9733" max="9733" width="13.6640625" customWidth="1"/>
    <col min="9734" max="9734" width="12.83203125" customWidth="1"/>
    <col min="9735" max="9735" width="15.1640625" customWidth="1"/>
    <col min="9736" max="9736" width="17.1640625" customWidth="1"/>
    <col min="9737" max="9739" width="15.83203125" customWidth="1"/>
    <col min="9740" max="9740" width="35.6640625" customWidth="1"/>
    <col min="9981" max="9981" width="38.6640625" customWidth="1"/>
    <col min="9982" max="9982" width="12.83203125" customWidth="1"/>
    <col min="9983" max="9983" width="16.33203125" customWidth="1"/>
    <col min="9984" max="9984" width="18" customWidth="1"/>
    <col min="9985" max="9985" width="14" customWidth="1"/>
    <col min="9986" max="9987" width="13.5" customWidth="1"/>
    <col min="9988" max="9988" width="14.83203125" customWidth="1"/>
    <col min="9989" max="9989" width="13.6640625" customWidth="1"/>
    <col min="9990" max="9990" width="12.83203125" customWidth="1"/>
    <col min="9991" max="9991" width="15.1640625" customWidth="1"/>
    <col min="9992" max="9992" width="17.1640625" customWidth="1"/>
    <col min="9993" max="9995" width="15.83203125" customWidth="1"/>
    <col min="9996" max="9996" width="35.6640625" customWidth="1"/>
    <col min="10237" max="10237" width="38.6640625" customWidth="1"/>
    <col min="10238" max="10238" width="12.83203125" customWidth="1"/>
    <col min="10239" max="10239" width="16.33203125" customWidth="1"/>
    <col min="10240" max="10240" width="18" customWidth="1"/>
    <col min="10241" max="10241" width="14" customWidth="1"/>
    <col min="10242" max="10243" width="13.5" customWidth="1"/>
    <col min="10244" max="10244" width="14.83203125" customWidth="1"/>
    <col min="10245" max="10245" width="13.6640625" customWidth="1"/>
    <col min="10246" max="10246" width="12.83203125" customWidth="1"/>
    <col min="10247" max="10247" width="15.1640625" customWidth="1"/>
    <col min="10248" max="10248" width="17.1640625" customWidth="1"/>
    <col min="10249" max="10251" width="15.83203125" customWidth="1"/>
    <col min="10252" max="10252" width="35.6640625" customWidth="1"/>
    <col min="10493" max="10493" width="38.6640625" customWidth="1"/>
    <col min="10494" max="10494" width="12.83203125" customWidth="1"/>
    <col min="10495" max="10495" width="16.33203125" customWidth="1"/>
    <col min="10496" max="10496" width="18" customWidth="1"/>
    <col min="10497" max="10497" width="14" customWidth="1"/>
    <col min="10498" max="10499" width="13.5" customWidth="1"/>
    <col min="10500" max="10500" width="14.83203125" customWidth="1"/>
    <col min="10501" max="10501" width="13.6640625" customWidth="1"/>
    <col min="10502" max="10502" width="12.83203125" customWidth="1"/>
    <col min="10503" max="10503" width="15.1640625" customWidth="1"/>
    <col min="10504" max="10504" width="17.1640625" customWidth="1"/>
    <col min="10505" max="10507" width="15.83203125" customWidth="1"/>
    <col min="10508" max="10508" width="35.6640625" customWidth="1"/>
    <col min="10749" max="10749" width="38.6640625" customWidth="1"/>
    <col min="10750" max="10750" width="12.83203125" customWidth="1"/>
    <col min="10751" max="10751" width="16.33203125" customWidth="1"/>
    <col min="10752" max="10752" width="18" customWidth="1"/>
    <col min="10753" max="10753" width="14" customWidth="1"/>
    <col min="10754" max="10755" width="13.5" customWidth="1"/>
    <col min="10756" max="10756" width="14.83203125" customWidth="1"/>
    <col min="10757" max="10757" width="13.6640625" customWidth="1"/>
    <col min="10758" max="10758" width="12.83203125" customWidth="1"/>
    <col min="10759" max="10759" width="15.1640625" customWidth="1"/>
    <col min="10760" max="10760" width="17.1640625" customWidth="1"/>
    <col min="10761" max="10763" width="15.83203125" customWidth="1"/>
    <col min="10764" max="10764" width="35.6640625" customWidth="1"/>
    <col min="11005" max="11005" width="38.6640625" customWidth="1"/>
    <col min="11006" max="11006" width="12.83203125" customWidth="1"/>
    <col min="11007" max="11007" width="16.33203125" customWidth="1"/>
    <col min="11008" max="11008" width="18" customWidth="1"/>
    <col min="11009" max="11009" width="14" customWidth="1"/>
    <col min="11010" max="11011" width="13.5" customWidth="1"/>
    <col min="11012" max="11012" width="14.83203125" customWidth="1"/>
    <col min="11013" max="11013" width="13.6640625" customWidth="1"/>
    <col min="11014" max="11014" width="12.83203125" customWidth="1"/>
    <col min="11015" max="11015" width="15.1640625" customWidth="1"/>
    <col min="11016" max="11016" width="17.1640625" customWidth="1"/>
    <col min="11017" max="11019" width="15.83203125" customWidth="1"/>
    <col min="11020" max="11020" width="35.6640625" customWidth="1"/>
    <col min="11261" max="11261" width="38.6640625" customWidth="1"/>
    <col min="11262" max="11262" width="12.83203125" customWidth="1"/>
    <col min="11263" max="11263" width="16.33203125" customWidth="1"/>
    <col min="11264" max="11264" width="18" customWidth="1"/>
    <col min="11265" max="11265" width="14" customWidth="1"/>
    <col min="11266" max="11267" width="13.5" customWidth="1"/>
    <col min="11268" max="11268" width="14.83203125" customWidth="1"/>
    <col min="11269" max="11269" width="13.6640625" customWidth="1"/>
    <col min="11270" max="11270" width="12.83203125" customWidth="1"/>
    <col min="11271" max="11271" width="15.1640625" customWidth="1"/>
    <col min="11272" max="11272" width="17.1640625" customWidth="1"/>
    <col min="11273" max="11275" width="15.83203125" customWidth="1"/>
    <col min="11276" max="11276" width="35.6640625" customWidth="1"/>
    <col min="11517" max="11517" width="38.6640625" customWidth="1"/>
    <col min="11518" max="11518" width="12.83203125" customWidth="1"/>
    <col min="11519" max="11519" width="16.33203125" customWidth="1"/>
    <col min="11520" max="11520" width="18" customWidth="1"/>
    <col min="11521" max="11521" width="14" customWidth="1"/>
    <col min="11522" max="11523" width="13.5" customWidth="1"/>
    <col min="11524" max="11524" width="14.83203125" customWidth="1"/>
    <col min="11525" max="11525" width="13.6640625" customWidth="1"/>
    <col min="11526" max="11526" width="12.83203125" customWidth="1"/>
    <col min="11527" max="11527" width="15.1640625" customWidth="1"/>
    <col min="11528" max="11528" width="17.1640625" customWidth="1"/>
    <col min="11529" max="11531" width="15.83203125" customWidth="1"/>
    <col min="11532" max="11532" width="35.6640625" customWidth="1"/>
    <col min="11773" max="11773" width="38.6640625" customWidth="1"/>
    <col min="11774" max="11774" width="12.83203125" customWidth="1"/>
    <col min="11775" max="11775" width="16.33203125" customWidth="1"/>
    <col min="11776" max="11776" width="18" customWidth="1"/>
    <col min="11777" max="11777" width="14" customWidth="1"/>
    <col min="11778" max="11779" width="13.5" customWidth="1"/>
    <col min="11780" max="11780" width="14.83203125" customWidth="1"/>
    <col min="11781" max="11781" width="13.6640625" customWidth="1"/>
    <col min="11782" max="11782" width="12.83203125" customWidth="1"/>
    <col min="11783" max="11783" width="15.1640625" customWidth="1"/>
    <col min="11784" max="11784" width="17.1640625" customWidth="1"/>
    <col min="11785" max="11787" width="15.83203125" customWidth="1"/>
    <col min="11788" max="11788" width="35.6640625" customWidth="1"/>
    <col min="12029" max="12029" width="38.6640625" customWidth="1"/>
    <col min="12030" max="12030" width="12.83203125" customWidth="1"/>
    <col min="12031" max="12031" width="16.33203125" customWidth="1"/>
    <col min="12032" max="12032" width="18" customWidth="1"/>
    <col min="12033" max="12033" width="14" customWidth="1"/>
    <col min="12034" max="12035" width="13.5" customWidth="1"/>
    <col min="12036" max="12036" width="14.83203125" customWidth="1"/>
    <col min="12037" max="12037" width="13.6640625" customWidth="1"/>
    <col min="12038" max="12038" width="12.83203125" customWidth="1"/>
    <col min="12039" max="12039" width="15.1640625" customWidth="1"/>
    <col min="12040" max="12040" width="17.1640625" customWidth="1"/>
    <col min="12041" max="12043" width="15.83203125" customWidth="1"/>
    <col min="12044" max="12044" width="35.6640625" customWidth="1"/>
    <col min="12285" max="12285" width="38.6640625" customWidth="1"/>
    <col min="12286" max="12286" width="12.83203125" customWidth="1"/>
    <col min="12287" max="12287" width="16.33203125" customWidth="1"/>
    <col min="12288" max="12288" width="18" customWidth="1"/>
    <col min="12289" max="12289" width="14" customWidth="1"/>
    <col min="12290" max="12291" width="13.5" customWidth="1"/>
    <col min="12292" max="12292" width="14.83203125" customWidth="1"/>
    <col min="12293" max="12293" width="13.6640625" customWidth="1"/>
    <col min="12294" max="12294" width="12.83203125" customWidth="1"/>
    <col min="12295" max="12295" width="15.1640625" customWidth="1"/>
    <col min="12296" max="12296" width="17.1640625" customWidth="1"/>
    <col min="12297" max="12299" width="15.83203125" customWidth="1"/>
    <col min="12300" max="12300" width="35.6640625" customWidth="1"/>
    <col min="12541" max="12541" width="38.6640625" customWidth="1"/>
    <col min="12542" max="12542" width="12.83203125" customWidth="1"/>
    <col min="12543" max="12543" width="16.33203125" customWidth="1"/>
    <col min="12544" max="12544" width="18" customWidth="1"/>
    <col min="12545" max="12545" width="14" customWidth="1"/>
    <col min="12546" max="12547" width="13.5" customWidth="1"/>
    <col min="12548" max="12548" width="14.83203125" customWidth="1"/>
    <col min="12549" max="12549" width="13.6640625" customWidth="1"/>
    <col min="12550" max="12550" width="12.83203125" customWidth="1"/>
    <col min="12551" max="12551" width="15.1640625" customWidth="1"/>
    <col min="12552" max="12552" width="17.1640625" customWidth="1"/>
    <col min="12553" max="12555" width="15.83203125" customWidth="1"/>
    <col min="12556" max="12556" width="35.6640625" customWidth="1"/>
    <col min="12797" max="12797" width="38.6640625" customWidth="1"/>
    <col min="12798" max="12798" width="12.83203125" customWidth="1"/>
    <col min="12799" max="12799" width="16.33203125" customWidth="1"/>
    <col min="12800" max="12800" width="18" customWidth="1"/>
    <col min="12801" max="12801" width="14" customWidth="1"/>
    <col min="12802" max="12803" width="13.5" customWidth="1"/>
    <col min="12804" max="12804" width="14.83203125" customWidth="1"/>
    <col min="12805" max="12805" width="13.6640625" customWidth="1"/>
    <col min="12806" max="12806" width="12.83203125" customWidth="1"/>
    <col min="12807" max="12807" width="15.1640625" customWidth="1"/>
    <col min="12808" max="12808" width="17.1640625" customWidth="1"/>
    <col min="12809" max="12811" width="15.83203125" customWidth="1"/>
    <col min="12812" max="12812" width="35.6640625" customWidth="1"/>
    <col min="13053" max="13053" width="38.6640625" customWidth="1"/>
    <col min="13054" max="13054" width="12.83203125" customWidth="1"/>
    <col min="13055" max="13055" width="16.33203125" customWidth="1"/>
    <col min="13056" max="13056" width="18" customWidth="1"/>
    <col min="13057" max="13057" width="14" customWidth="1"/>
    <col min="13058" max="13059" width="13.5" customWidth="1"/>
    <col min="13060" max="13060" width="14.83203125" customWidth="1"/>
    <col min="13061" max="13061" width="13.6640625" customWidth="1"/>
    <col min="13062" max="13062" width="12.83203125" customWidth="1"/>
    <col min="13063" max="13063" width="15.1640625" customWidth="1"/>
    <col min="13064" max="13064" width="17.1640625" customWidth="1"/>
    <col min="13065" max="13067" width="15.83203125" customWidth="1"/>
    <col min="13068" max="13068" width="35.6640625" customWidth="1"/>
    <col min="13309" max="13309" width="38.6640625" customWidth="1"/>
    <col min="13310" max="13310" width="12.83203125" customWidth="1"/>
    <col min="13311" max="13311" width="16.33203125" customWidth="1"/>
    <col min="13312" max="13312" width="18" customWidth="1"/>
    <col min="13313" max="13313" width="14" customWidth="1"/>
    <col min="13314" max="13315" width="13.5" customWidth="1"/>
    <col min="13316" max="13316" width="14.83203125" customWidth="1"/>
    <col min="13317" max="13317" width="13.6640625" customWidth="1"/>
    <col min="13318" max="13318" width="12.83203125" customWidth="1"/>
    <col min="13319" max="13319" width="15.1640625" customWidth="1"/>
    <col min="13320" max="13320" width="17.1640625" customWidth="1"/>
    <col min="13321" max="13323" width="15.83203125" customWidth="1"/>
    <col min="13324" max="13324" width="35.6640625" customWidth="1"/>
    <col min="13565" max="13565" width="38.6640625" customWidth="1"/>
    <col min="13566" max="13566" width="12.83203125" customWidth="1"/>
    <col min="13567" max="13567" width="16.33203125" customWidth="1"/>
    <col min="13568" max="13568" width="18" customWidth="1"/>
    <col min="13569" max="13569" width="14" customWidth="1"/>
    <col min="13570" max="13571" width="13.5" customWidth="1"/>
    <col min="13572" max="13572" width="14.83203125" customWidth="1"/>
    <col min="13573" max="13573" width="13.6640625" customWidth="1"/>
    <col min="13574" max="13574" width="12.83203125" customWidth="1"/>
    <col min="13575" max="13575" width="15.1640625" customWidth="1"/>
    <col min="13576" max="13576" width="17.1640625" customWidth="1"/>
    <col min="13577" max="13579" width="15.83203125" customWidth="1"/>
    <col min="13580" max="13580" width="35.6640625" customWidth="1"/>
    <col min="13821" max="13821" width="38.6640625" customWidth="1"/>
    <col min="13822" max="13822" width="12.83203125" customWidth="1"/>
    <col min="13823" max="13823" width="16.33203125" customWidth="1"/>
    <col min="13824" max="13824" width="18" customWidth="1"/>
    <col min="13825" max="13825" width="14" customWidth="1"/>
    <col min="13826" max="13827" width="13.5" customWidth="1"/>
    <col min="13828" max="13828" width="14.83203125" customWidth="1"/>
    <col min="13829" max="13829" width="13.6640625" customWidth="1"/>
    <col min="13830" max="13830" width="12.83203125" customWidth="1"/>
    <col min="13831" max="13831" width="15.1640625" customWidth="1"/>
    <col min="13832" max="13832" width="17.1640625" customWidth="1"/>
    <col min="13833" max="13835" width="15.83203125" customWidth="1"/>
    <col min="13836" max="13836" width="35.6640625" customWidth="1"/>
    <col min="14077" max="14077" width="38.6640625" customWidth="1"/>
    <col min="14078" max="14078" width="12.83203125" customWidth="1"/>
    <col min="14079" max="14079" width="16.33203125" customWidth="1"/>
    <col min="14080" max="14080" width="18" customWidth="1"/>
    <col min="14081" max="14081" width="14" customWidth="1"/>
    <col min="14082" max="14083" width="13.5" customWidth="1"/>
    <col min="14084" max="14084" width="14.83203125" customWidth="1"/>
    <col min="14085" max="14085" width="13.6640625" customWidth="1"/>
    <col min="14086" max="14086" width="12.83203125" customWidth="1"/>
    <col min="14087" max="14087" width="15.1640625" customWidth="1"/>
    <col min="14088" max="14088" width="17.1640625" customWidth="1"/>
    <col min="14089" max="14091" width="15.83203125" customWidth="1"/>
    <col min="14092" max="14092" width="35.6640625" customWidth="1"/>
    <col min="14333" max="14333" width="38.6640625" customWidth="1"/>
    <col min="14334" max="14334" width="12.83203125" customWidth="1"/>
    <col min="14335" max="14335" width="16.33203125" customWidth="1"/>
    <col min="14336" max="14336" width="18" customWidth="1"/>
    <col min="14337" max="14337" width="14" customWidth="1"/>
    <col min="14338" max="14339" width="13.5" customWidth="1"/>
    <col min="14340" max="14340" width="14.83203125" customWidth="1"/>
    <col min="14341" max="14341" width="13.6640625" customWidth="1"/>
    <col min="14342" max="14342" width="12.83203125" customWidth="1"/>
    <col min="14343" max="14343" width="15.1640625" customWidth="1"/>
    <col min="14344" max="14344" width="17.1640625" customWidth="1"/>
    <col min="14345" max="14347" width="15.83203125" customWidth="1"/>
    <col min="14348" max="14348" width="35.6640625" customWidth="1"/>
    <col min="14589" max="14589" width="38.6640625" customWidth="1"/>
    <col min="14590" max="14590" width="12.83203125" customWidth="1"/>
    <col min="14591" max="14591" width="16.33203125" customWidth="1"/>
    <col min="14592" max="14592" width="18" customWidth="1"/>
    <col min="14593" max="14593" width="14" customWidth="1"/>
    <col min="14594" max="14595" width="13.5" customWidth="1"/>
    <col min="14596" max="14596" width="14.83203125" customWidth="1"/>
    <col min="14597" max="14597" width="13.6640625" customWidth="1"/>
    <col min="14598" max="14598" width="12.83203125" customWidth="1"/>
    <col min="14599" max="14599" width="15.1640625" customWidth="1"/>
    <col min="14600" max="14600" width="17.1640625" customWidth="1"/>
    <col min="14601" max="14603" width="15.83203125" customWidth="1"/>
    <col min="14604" max="14604" width="35.6640625" customWidth="1"/>
    <col min="14845" max="14845" width="38.6640625" customWidth="1"/>
    <col min="14846" max="14846" width="12.83203125" customWidth="1"/>
    <col min="14847" max="14847" width="16.33203125" customWidth="1"/>
    <col min="14848" max="14848" width="18" customWidth="1"/>
    <col min="14849" max="14849" width="14" customWidth="1"/>
    <col min="14850" max="14851" width="13.5" customWidth="1"/>
    <col min="14852" max="14852" width="14.83203125" customWidth="1"/>
    <col min="14853" max="14853" width="13.6640625" customWidth="1"/>
    <col min="14854" max="14854" width="12.83203125" customWidth="1"/>
    <col min="14855" max="14855" width="15.1640625" customWidth="1"/>
    <col min="14856" max="14856" width="17.1640625" customWidth="1"/>
    <col min="14857" max="14859" width="15.83203125" customWidth="1"/>
    <col min="14860" max="14860" width="35.6640625" customWidth="1"/>
    <col min="15101" max="15101" width="38.6640625" customWidth="1"/>
    <col min="15102" max="15102" width="12.83203125" customWidth="1"/>
    <col min="15103" max="15103" width="16.33203125" customWidth="1"/>
    <col min="15104" max="15104" width="18" customWidth="1"/>
    <col min="15105" max="15105" width="14" customWidth="1"/>
    <col min="15106" max="15107" width="13.5" customWidth="1"/>
    <col min="15108" max="15108" width="14.83203125" customWidth="1"/>
    <col min="15109" max="15109" width="13.6640625" customWidth="1"/>
    <col min="15110" max="15110" width="12.83203125" customWidth="1"/>
    <col min="15111" max="15111" width="15.1640625" customWidth="1"/>
    <col min="15112" max="15112" width="17.1640625" customWidth="1"/>
    <col min="15113" max="15115" width="15.83203125" customWidth="1"/>
    <col min="15116" max="15116" width="35.6640625" customWidth="1"/>
    <col min="15357" max="15357" width="38.6640625" customWidth="1"/>
    <col min="15358" max="15358" width="12.83203125" customWidth="1"/>
    <col min="15359" max="15359" width="16.33203125" customWidth="1"/>
    <col min="15360" max="15360" width="18" customWidth="1"/>
    <col min="15361" max="15361" width="14" customWidth="1"/>
    <col min="15362" max="15363" width="13.5" customWidth="1"/>
    <col min="15364" max="15364" width="14.83203125" customWidth="1"/>
    <col min="15365" max="15365" width="13.6640625" customWidth="1"/>
    <col min="15366" max="15366" width="12.83203125" customWidth="1"/>
    <col min="15367" max="15367" width="15.1640625" customWidth="1"/>
    <col min="15368" max="15368" width="17.1640625" customWidth="1"/>
    <col min="15369" max="15371" width="15.83203125" customWidth="1"/>
    <col min="15372" max="15372" width="35.6640625" customWidth="1"/>
    <col min="15613" max="15613" width="38.6640625" customWidth="1"/>
    <col min="15614" max="15614" width="12.83203125" customWidth="1"/>
    <col min="15615" max="15615" width="16.33203125" customWidth="1"/>
    <col min="15616" max="15616" width="18" customWidth="1"/>
    <col min="15617" max="15617" width="14" customWidth="1"/>
    <col min="15618" max="15619" width="13.5" customWidth="1"/>
    <col min="15620" max="15620" width="14.83203125" customWidth="1"/>
    <col min="15621" max="15621" width="13.6640625" customWidth="1"/>
    <col min="15622" max="15622" width="12.83203125" customWidth="1"/>
    <col min="15623" max="15623" width="15.1640625" customWidth="1"/>
    <col min="15624" max="15624" width="17.1640625" customWidth="1"/>
    <col min="15625" max="15627" width="15.83203125" customWidth="1"/>
    <col min="15628" max="15628" width="35.6640625" customWidth="1"/>
    <col min="15869" max="15869" width="38.6640625" customWidth="1"/>
    <col min="15870" max="15870" width="12.83203125" customWidth="1"/>
    <col min="15871" max="15871" width="16.33203125" customWidth="1"/>
    <col min="15872" max="15872" width="18" customWidth="1"/>
    <col min="15873" max="15873" width="14" customWidth="1"/>
    <col min="15874" max="15875" width="13.5" customWidth="1"/>
    <col min="15876" max="15876" width="14.83203125" customWidth="1"/>
    <col min="15877" max="15877" width="13.6640625" customWidth="1"/>
    <col min="15878" max="15878" width="12.83203125" customWidth="1"/>
    <col min="15879" max="15879" width="15.1640625" customWidth="1"/>
    <col min="15880" max="15880" width="17.1640625" customWidth="1"/>
    <col min="15881" max="15883" width="15.83203125" customWidth="1"/>
    <col min="15884" max="15884" width="35.6640625" customWidth="1"/>
    <col min="16125" max="16125" width="38.6640625" customWidth="1"/>
    <col min="16126" max="16126" width="12.83203125" customWidth="1"/>
    <col min="16127" max="16127" width="16.33203125" customWidth="1"/>
    <col min="16128" max="16128" width="18" customWidth="1"/>
    <col min="16129" max="16129" width="14" customWidth="1"/>
    <col min="16130" max="16131" width="13.5" customWidth="1"/>
    <col min="16132" max="16132" width="14.83203125" customWidth="1"/>
    <col min="16133" max="16133" width="13.6640625" customWidth="1"/>
    <col min="16134" max="16134" width="12.83203125" customWidth="1"/>
    <col min="16135" max="16135" width="15.1640625" customWidth="1"/>
    <col min="16136" max="16136" width="17.1640625" customWidth="1"/>
    <col min="16137" max="16139" width="15.83203125" customWidth="1"/>
    <col min="16140" max="16140" width="35.6640625" customWidth="1"/>
  </cols>
  <sheetData>
    <row r="1" spans="1:15" ht="16.5" x14ac:dyDescent="0.2">
      <c r="A1" s="1875" t="s">
        <v>801</v>
      </c>
      <c r="B1" s="1875"/>
      <c r="C1" s="1875"/>
      <c r="D1" s="1875"/>
      <c r="E1" s="1875"/>
      <c r="F1" s="1875"/>
      <c r="G1" s="1875"/>
      <c r="H1" s="1875"/>
      <c r="I1" s="1875"/>
      <c r="J1" s="1875"/>
      <c r="K1" s="1875"/>
      <c r="L1" s="1875"/>
      <c r="M1" s="1875"/>
      <c r="N1" s="1875"/>
    </row>
    <row r="2" spans="1:15" ht="16.5" x14ac:dyDescent="0.2">
      <c r="A2" s="1875" t="s">
        <v>777</v>
      </c>
      <c r="B2" s="1875"/>
      <c r="C2" s="1875"/>
      <c r="D2" s="1875"/>
      <c r="E2" s="1875"/>
      <c r="F2" s="1875"/>
      <c r="G2" s="1875"/>
      <c r="H2" s="1875"/>
      <c r="I2" s="1875"/>
      <c r="J2" s="1875"/>
      <c r="K2" s="1875"/>
      <c r="L2" s="1875"/>
      <c r="M2" s="1875"/>
      <c r="N2" s="1875"/>
      <c r="O2" s="164"/>
    </row>
    <row r="3" spans="1:15" ht="16.5" x14ac:dyDescent="0.2">
      <c r="A3" s="906"/>
      <c r="B3" s="906"/>
      <c r="C3" s="906"/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906"/>
      <c r="O3" s="164"/>
    </row>
    <row r="5" spans="1:15" ht="16.5" x14ac:dyDescent="0.2">
      <c r="A5" s="1829" t="s">
        <v>566</v>
      </c>
      <c r="B5" s="1829"/>
      <c r="C5" s="1829"/>
      <c r="D5" s="1829"/>
      <c r="E5" s="1829"/>
      <c r="F5" s="1829"/>
      <c r="G5" s="1829"/>
      <c r="H5" s="1829"/>
      <c r="I5" s="1829"/>
      <c r="J5" s="1829"/>
      <c r="K5" s="1829"/>
      <c r="L5" s="1829"/>
      <c r="M5" s="1829"/>
      <c r="N5" s="1829"/>
    </row>
    <row r="6" spans="1:15" ht="16.5" x14ac:dyDescent="0.2">
      <c r="A6" s="907"/>
      <c r="B6" s="907"/>
      <c r="C6" s="907"/>
      <c r="D6" s="907"/>
      <c r="E6" s="907"/>
      <c r="F6" s="907"/>
      <c r="G6" s="907"/>
      <c r="H6" s="619"/>
      <c r="I6" s="907"/>
      <c r="J6" s="907"/>
      <c r="K6" s="907"/>
      <c r="L6" s="619"/>
      <c r="M6" s="619"/>
      <c r="N6" s="907"/>
    </row>
    <row r="7" spans="1:15" ht="16.5" x14ac:dyDescent="0.2">
      <c r="A7" s="1874" t="s">
        <v>670</v>
      </c>
      <c r="B7" s="1874"/>
      <c r="C7" s="1874"/>
      <c r="D7" s="1874"/>
      <c r="E7" s="1874"/>
      <c r="F7" s="1874"/>
      <c r="G7" s="1874"/>
      <c r="H7" s="1874"/>
      <c r="I7" s="1874"/>
      <c r="J7" s="1874"/>
      <c r="K7" s="1874"/>
      <c r="L7" s="1874"/>
      <c r="M7" s="1874"/>
      <c r="N7" s="1874"/>
    </row>
    <row r="8" spans="1:15" ht="18.75" x14ac:dyDescent="0.2">
      <c r="A8" s="908"/>
      <c r="B8" s="908"/>
      <c r="C8" s="908"/>
      <c r="D8" s="908"/>
      <c r="E8" s="908"/>
      <c r="F8" s="908"/>
      <c r="G8" s="908"/>
      <c r="H8" s="909"/>
      <c r="I8" s="908"/>
      <c r="J8" s="908"/>
      <c r="K8" s="908"/>
      <c r="L8" s="909"/>
      <c r="M8" s="909"/>
      <c r="N8" s="908"/>
    </row>
    <row r="9" spans="1:15" ht="13.5" thickBot="1" x14ac:dyDescent="0.25">
      <c r="A9" s="899"/>
      <c r="B9" s="899"/>
      <c r="C9" s="899"/>
      <c r="D9" s="899"/>
      <c r="E9" s="899"/>
      <c r="F9" s="899"/>
      <c r="G9" s="899"/>
      <c r="H9" s="11"/>
      <c r="I9" s="899"/>
      <c r="J9" s="899"/>
      <c r="K9" s="899"/>
      <c r="L9" s="11"/>
      <c r="M9" s="11"/>
      <c r="N9" s="899"/>
    </row>
    <row r="10" spans="1:15" ht="24" customHeight="1" thickBot="1" x14ac:dyDescent="0.3">
      <c r="A10" s="1876" t="s">
        <v>54</v>
      </c>
      <c r="B10" s="1878" t="s">
        <v>574</v>
      </c>
      <c r="C10" s="1879"/>
      <c r="D10" s="1879"/>
      <c r="E10" s="1879"/>
      <c r="F10" s="1879"/>
      <c r="G10" s="1879"/>
      <c r="H10" s="1879"/>
      <c r="I10" s="1879"/>
      <c r="J10" s="1879"/>
      <c r="K10" s="1879"/>
      <c r="L10" s="1880"/>
      <c r="M10" s="965"/>
      <c r="N10" s="910" t="s">
        <v>466</v>
      </c>
    </row>
    <row r="11" spans="1:15" ht="95.25" thickBot="1" x14ac:dyDescent="0.25">
      <c r="A11" s="1877"/>
      <c r="B11" s="911" t="s">
        <v>567</v>
      </c>
      <c r="C11" s="912" t="s">
        <v>568</v>
      </c>
      <c r="D11" s="912" t="s">
        <v>575</v>
      </c>
      <c r="E11" s="912" t="s">
        <v>467</v>
      </c>
      <c r="F11" s="913" t="s">
        <v>569</v>
      </c>
      <c r="G11" s="913" t="s">
        <v>570</v>
      </c>
      <c r="H11" s="912" t="s">
        <v>468</v>
      </c>
      <c r="I11" s="912" t="s">
        <v>469</v>
      </c>
      <c r="J11" s="914" t="s">
        <v>571</v>
      </c>
      <c r="K11" s="915" t="s">
        <v>572</v>
      </c>
      <c r="L11" s="915" t="s">
        <v>573</v>
      </c>
      <c r="M11" s="915" t="s">
        <v>581</v>
      </c>
      <c r="N11" s="966" t="s">
        <v>470</v>
      </c>
    </row>
    <row r="12" spans="1:15" ht="32.1" customHeight="1" x14ac:dyDescent="0.25">
      <c r="A12" s="916" t="s">
        <v>133</v>
      </c>
      <c r="B12" s="917">
        <v>3</v>
      </c>
      <c r="C12" s="918">
        <v>4</v>
      </c>
      <c r="D12" s="918"/>
      <c r="E12" s="918"/>
      <c r="F12" s="919"/>
      <c r="G12" s="919"/>
      <c r="H12" s="918"/>
      <c r="I12" s="918"/>
      <c r="J12" s="920"/>
      <c r="K12" s="920"/>
      <c r="L12" s="920"/>
      <c r="M12" s="920"/>
      <c r="N12" s="967"/>
    </row>
    <row r="13" spans="1:15" ht="32.1" customHeight="1" x14ac:dyDescent="0.25">
      <c r="A13" s="921" t="s">
        <v>471</v>
      </c>
      <c r="B13" s="922">
        <v>2</v>
      </c>
      <c r="C13" s="923">
        <v>12</v>
      </c>
      <c r="D13" s="923"/>
      <c r="E13" s="923"/>
      <c r="F13" s="924">
        <v>26</v>
      </c>
      <c r="G13" s="924"/>
      <c r="H13" s="923">
        <v>74</v>
      </c>
      <c r="I13" s="923">
        <v>23</v>
      </c>
      <c r="J13" s="925">
        <v>17</v>
      </c>
      <c r="K13" s="925"/>
      <c r="L13" s="1371">
        <v>5</v>
      </c>
      <c r="M13" s="925"/>
      <c r="N13" s="968">
        <v>15</v>
      </c>
    </row>
    <row r="14" spans="1:15" ht="32.1" customHeight="1" x14ac:dyDescent="0.25">
      <c r="A14" s="921" t="s">
        <v>472</v>
      </c>
      <c r="B14" s="922">
        <v>4</v>
      </c>
      <c r="C14" s="923"/>
      <c r="D14" s="926">
        <v>7</v>
      </c>
      <c r="E14" s="923"/>
      <c r="F14" s="924"/>
      <c r="G14" s="924"/>
      <c r="H14" s="923"/>
      <c r="I14" s="923"/>
      <c r="J14" s="925"/>
      <c r="K14" s="925"/>
      <c r="L14" s="1371">
        <v>46</v>
      </c>
      <c r="M14" s="925">
        <f>0+1</f>
        <v>1</v>
      </c>
      <c r="N14" s="968"/>
    </row>
    <row r="15" spans="1:15" ht="32.1" customHeight="1" x14ac:dyDescent="0.25">
      <c r="A15" s="921" t="s">
        <v>387</v>
      </c>
      <c r="B15" s="922">
        <v>0</v>
      </c>
      <c r="C15" s="923">
        <v>6</v>
      </c>
      <c r="D15" s="923"/>
      <c r="E15" s="923"/>
      <c r="F15" s="924"/>
      <c r="G15" s="924"/>
      <c r="H15" s="923"/>
      <c r="I15" s="923"/>
      <c r="J15" s="925"/>
      <c r="K15" s="925"/>
      <c r="L15" s="925"/>
      <c r="M15" s="925"/>
      <c r="N15" s="968"/>
    </row>
    <row r="16" spans="1:15" ht="25.5" customHeight="1" thickBot="1" x14ac:dyDescent="0.3">
      <c r="A16" s="927" t="s">
        <v>8</v>
      </c>
      <c r="B16" s="928">
        <v>3</v>
      </c>
      <c r="C16" s="929">
        <v>4</v>
      </c>
      <c r="D16" s="929"/>
      <c r="E16" s="929">
        <v>1</v>
      </c>
      <c r="F16" s="958"/>
      <c r="G16" s="958">
        <v>59</v>
      </c>
      <c r="H16" s="929"/>
      <c r="I16" s="929"/>
      <c r="J16" s="930"/>
      <c r="K16" s="930">
        <v>0</v>
      </c>
      <c r="L16" s="959"/>
      <c r="M16" s="959"/>
      <c r="N16" s="969"/>
    </row>
    <row r="17" spans="1:14" ht="24" customHeight="1" thickBot="1" x14ac:dyDescent="0.3">
      <c r="A17" s="931" t="s">
        <v>56</v>
      </c>
      <c r="B17" s="932">
        <f t="shared" ref="B17:N17" si="0">SUM(B12:B16)</f>
        <v>12</v>
      </c>
      <c r="C17" s="933">
        <f t="shared" si="0"/>
        <v>26</v>
      </c>
      <c r="D17" s="933">
        <f t="shared" si="0"/>
        <v>7</v>
      </c>
      <c r="E17" s="933">
        <f t="shared" si="0"/>
        <v>1</v>
      </c>
      <c r="F17" s="933">
        <f t="shared" si="0"/>
        <v>26</v>
      </c>
      <c r="G17" s="933">
        <f t="shared" si="0"/>
        <v>59</v>
      </c>
      <c r="H17" s="933">
        <f t="shared" si="0"/>
        <v>74</v>
      </c>
      <c r="I17" s="933">
        <f t="shared" si="0"/>
        <v>23</v>
      </c>
      <c r="J17" s="933">
        <f t="shared" si="0"/>
        <v>17</v>
      </c>
      <c r="K17" s="934">
        <f t="shared" si="0"/>
        <v>0</v>
      </c>
      <c r="L17" s="934">
        <f t="shared" si="0"/>
        <v>51</v>
      </c>
      <c r="M17" s="934">
        <f t="shared" si="0"/>
        <v>1</v>
      </c>
      <c r="N17" s="970">
        <f t="shared" si="0"/>
        <v>15</v>
      </c>
    </row>
    <row r="18" spans="1:14" x14ac:dyDescent="0.2">
      <c r="A18" s="899"/>
      <c r="B18" s="899"/>
      <c r="C18" s="899"/>
      <c r="D18" s="899"/>
      <c r="E18" s="899"/>
      <c r="F18" s="899"/>
      <c r="G18" s="899"/>
      <c r="H18" s="11"/>
      <c r="I18" s="899"/>
      <c r="J18" s="899"/>
      <c r="K18" s="899"/>
      <c r="L18" s="11"/>
      <c r="M18" s="11"/>
      <c r="N18" s="935" t="s">
        <v>734</v>
      </c>
    </row>
    <row r="19" spans="1:14" x14ac:dyDescent="0.2">
      <c r="A19" s="899"/>
      <c r="B19" s="899"/>
      <c r="C19" s="899"/>
      <c r="D19" s="899"/>
      <c r="E19" s="899"/>
      <c r="F19" s="899"/>
      <c r="G19" s="899"/>
      <c r="H19" s="11"/>
      <c r="I19" s="899"/>
      <c r="J19" s="899"/>
      <c r="K19" s="899"/>
      <c r="L19" s="11"/>
      <c r="M19" s="11"/>
      <c r="N19" s="899"/>
    </row>
  </sheetData>
  <mergeCells count="6">
    <mergeCell ref="A1:N1"/>
    <mergeCell ref="A5:N5"/>
    <mergeCell ref="A7:N7"/>
    <mergeCell ref="A10:A11"/>
    <mergeCell ref="B10:L10"/>
    <mergeCell ref="A2:N2"/>
  </mergeCells>
  <printOptions horizontalCentered="1"/>
  <pageMargins left="0.59055118110236227" right="0.59055118110236227" top="0.78740157480314965" bottom="0.98425196850393704" header="0.51181102362204722" footer="0.51181102362204722"/>
  <pageSetup paperSize="9" scale="60" orientation="landscape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showWhiteSpace="0" view="pageBreakPreview" zoomScale="106" zoomScaleNormal="100" zoomScaleSheetLayoutView="106" workbookViewId="0">
      <selection activeCell="H22" sqref="H22"/>
    </sheetView>
  </sheetViews>
  <sheetFormatPr defaultRowHeight="12.75" x14ac:dyDescent="0.2"/>
  <cols>
    <col min="1" max="1" width="41.83203125" customWidth="1"/>
    <col min="2" max="6" width="18.83203125" customWidth="1"/>
    <col min="257" max="257" width="41.83203125" customWidth="1"/>
    <col min="258" max="262" width="18.83203125" customWidth="1"/>
    <col min="513" max="513" width="41.83203125" customWidth="1"/>
    <col min="514" max="518" width="18.83203125" customWidth="1"/>
    <col min="769" max="769" width="41.83203125" customWidth="1"/>
    <col min="770" max="774" width="18.83203125" customWidth="1"/>
    <col min="1025" max="1025" width="41.83203125" customWidth="1"/>
    <col min="1026" max="1030" width="18.83203125" customWidth="1"/>
    <col min="1281" max="1281" width="41.83203125" customWidth="1"/>
    <col min="1282" max="1286" width="18.83203125" customWidth="1"/>
    <col min="1537" max="1537" width="41.83203125" customWidth="1"/>
    <col min="1538" max="1542" width="18.83203125" customWidth="1"/>
    <col min="1793" max="1793" width="41.83203125" customWidth="1"/>
    <col min="1794" max="1798" width="18.83203125" customWidth="1"/>
    <col min="2049" max="2049" width="41.83203125" customWidth="1"/>
    <col min="2050" max="2054" width="18.83203125" customWidth="1"/>
    <col min="2305" max="2305" width="41.83203125" customWidth="1"/>
    <col min="2306" max="2310" width="18.83203125" customWidth="1"/>
    <col min="2561" max="2561" width="41.83203125" customWidth="1"/>
    <col min="2562" max="2566" width="18.83203125" customWidth="1"/>
    <col min="2817" max="2817" width="41.83203125" customWidth="1"/>
    <col min="2818" max="2822" width="18.83203125" customWidth="1"/>
    <col min="3073" max="3073" width="41.83203125" customWidth="1"/>
    <col min="3074" max="3078" width="18.83203125" customWidth="1"/>
    <col min="3329" max="3329" width="41.83203125" customWidth="1"/>
    <col min="3330" max="3334" width="18.83203125" customWidth="1"/>
    <col min="3585" max="3585" width="41.83203125" customWidth="1"/>
    <col min="3586" max="3590" width="18.83203125" customWidth="1"/>
    <col min="3841" max="3841" width="41.83203125" customWidth="1"/>
    <col min="3842" max="3846" width="18.83203125" customWidth="1"/>
    <col min="4097" max="4097" width="41.83203125" customWidth="1"/>
    <col min="4098" max="4102" width="18.83203125" customWidth="1"/>
    <col min="4353" max="4353" width="41.83203125" customWidth="1"/>
    <col min="4354" max="4358" width="18.83203125" customWidth="1"/>
    <col min="4609" max="4609" width="41.83203125" customWidth="1"/>
    <col min="4610" max="4614" width="18.83203125" customWidth="1"/>
    <col min="4865" max="4865" width="41.83203125" customWidth="1"/>
    <col min="4866" max="4870" width="18.83203125" customWidth="1"/>
    <col min="5121" max="5121" width="41.83203125" customWidth="1"/>
    <col min="5122" max="5126" width="18.83203125" customWidth="1"/>
    <col min="5377" max="5377" width="41.83203125" customWidth="1"/>
    <col min="5378" max="5382" width="18.83203125" customWidth="1"/>
    <col min="5633" max="5633" width="41.83203125" customWidth="1"/>
    <col min="5634" max="5638" width="18.83203125" customWidth="1"/>
    <col min="5889" max="5889" width="41.83203125" customWidth="1"/>
    <col min="5890" max="5894" width="18.83203125" customWidth="1"/>
    <col min="6145" max="6145" width="41.83203125" customWidth="1"/>
    <col min="6146" max="6150" width="18.83203125" customWidth="1"/>
    <col min="6401" max="6401" width="41.83203125" customWidth="1"/>
    <col min="6402" max="6406" width="18.83203125" customWidth="1"/>
    <col min="6657" max="6657" width="41.83203125" customWidth="1"/>
    <col min="6658" max="6662" width="18.83203125" customWidth="1"/>
    <col min="6913" max="6913" width="41.83203125" customWidth="1"/>
    <col min="6914" max="6918" width="18.83203125" customWidth="1"/>
    <col min="7169" max="7169" width="41.83203125" customWidth="1"/>
    <col min="7170" max="7174" width="18.83203125" customWidth="1"/>
    <col min="7425" max="7425" width="41.83203125" customWidth="1"/>
    <col min="7426" max="7430" width="18.83203125" customWidth="1"/>
    <col min="7681" max="7681" width="41.83203125" customWidth="1"/>
    <col min="7682" max="7686" width="18.83203125" customWidth="1"/>
    <col min="7937" max="7937" width="41.83203125" customWidth="1"/>
    <col min="7938" max="7942" width="18.83203125" customWidth="1"/>
    <col min="8193" max="8193" width="41.83203125" customWidth="1"/>
    <col min="8194" max="8198" width="18.83203125" customWidth="1"/>
    <col min="8449" max="8449" width="41.83203125" customWidth="1"/>
    <col min="8450" max="8454" width="18.83203125" customWidth="1"/>
    <col min="8705" max="8705" width="41.83203125" customWidth="1"/>
    <col min="8706" max="8710" width="18.83203125" customWidth="1"/>
    <col min="8961" max="8961" width="41.83203125" customWidth="1"/>
    <col min="8962" max="8966" width="18.83203125" customWidth="1"/>
    <col min="9217" max="9217" width="41.83203125" customWidth="1"/>
    <col min="9218" max="9222" width="18.83203125" customWidth="1"/>
    <col min="9473" max="9473" width="41.83203125" customWidth="1"/>
    <col min="9474" max="9478" width="18.83203125" customWidth="1"/>
    <col min="9729" max="9729" width="41.83203125" customWidth="1"/>
    <col min="9730" max="9734" width="18.83203125" customWidth="1"/>
    <col min="9985" max="9985" width="41.83203125" customWidth="1"/>
    <col min="9986" max="9990" width="18.83203125" customWidth="1"/>
    <col min="10241" max="10241" width="41.83203125" customWidth="1"/>
    <col min="10242" max="10246" width="18.83203125" customWidth="1"/>
    <col min="10497" max="10497" width="41.83203125" customWidth="1"/>
    <col min="10498" max="10502" width="18.83203125" customWidth="1"/>
    <col min="10753" max="10753" width="41.83203125" customWidth="1"/>
    <col min="10754" max="10758" width="18.83203125" customWidth="1"/>
    <col min="11009" max="11009" width="41.83203125" customWidth="1"/>
    <col min="11010" max="11014" width="18.83203125" customWidth="1"/>
    <col min="11265" max="11265" width="41.83203125" customWidth="1"/>
    <col min="11266" max="11270" width="18.83203125" customWidth="1"/>
    <col min="11521" max="11521" width="41.83203125" customWidth="1"/>
    <col min="11522" max="11526" width="18.83203125" customWidth="1"/>
    <col min="11777" max="11777" width="41.83203125" customWidth="1"/>
    <col min="11778" max="11782" width="18.83203125" customWidth="1"/>
    <col min="12033" max="12033" width="41.83203125" customWidth="1"/>
    <col min="12034" max="12038" width="18.83203125" customWidth="1"/>
    <col min="12289" max="12289" width="41.83203125" customWidth="1"/>
    <col min="12290" max="12294" width="18.83203125" customWidth="1"/>
    <col min="12545" max="12545" width="41.83203125" customWidth="1"/>
    <col min="12546" max="12550" width="18.83203125" customWidth="1"/>
    <col min="12801" max="12801" width="41.83203125" customWidth="1"/>
    <col min="12802" max="12806" width="18.83203125" customWidth="1"/>
    <col min="13057" max="13057" width="41.83203125" customWidth="1"/>
    <col min="13058" max="13062" width="18.83203125" customWidth="1"/>
    <col min="13313" max="13313" width="41.83203125" customWidth="1"/>
    <col min="13314" max="13318" width="18.83203125" customWidth="1"/>
    <col min="13569" max="13569" width="41.83203125" customWidth="1"/>
    <col min="13570" max="13574" width="18.83203125" customWidth="1"/>
    <col min="13825" max="13825" width="41.83203125" customWidth="1"/>
    <col min="13826" max="13830" width="18.83203125" customWidth="1"/>
    <col min="14081" max="14081" width="41.83203125" customWidth="1"/>
    <col min="14082" max="14086" width="18.83203125" customWidth="1"/>
    <col min="14337" max="14337" width="41.83203125" customWidth="1"/>
    <col min="14338" max="14342" width="18.83203125" customWidth="1"/>
    <col min="14593" max="14593" width="41.83203125" customWidth="1"/>
    <col min="14594" max="14598" width="18.83203125" customWidth="1"/>
    <col min="14849" max="14849" width="41.83203125" customWidth="1"/>
    <col min="14850" max="14854" width="18.83203125" customWidth="1"/>
    <col min="15105" max="15105" width="41.83203125" customWidth="1"/>
    <col min="15106" max="15110" width="18.83203125" customWidth="1"/>
    <col min="15361" max="15361" width="41.83203125" customWidth="1"/>
    <col min="15362" max="15366" width="18.83203125" customWidth="1"/>
    <col min="15617" max="15617" width="41.83203125" customWidth="1"/>
    <col min="15618" max="15622" width="18.83203125" customWidth="1"/>
    <col min="15873" max="15873" width="41.83203125" customWidth="1"/>
    <col min="15874" max="15878" width="18.83203125" customWidth="1"/>
    <col min="16129" max="16129" width="41.83203125" customWidth="1"/>
    <col min="16130" max="16134" width="18.83203125" customWidth="1"/>
  </cols>
  <sheetData>
    <row r="1" spans="1:7" x14ac:dyDescent="0.2">
      <c r="A1" s="1773" t="s">
        <v>723</v>
      </c>
      <c r="B1" s="1773"/>
      <c r="C1" s="1773"/>
      <c r="D1" s="1773"/>
      <c r="E1" s="1773"/>
      <c r="F1" s="1773"/>
    </row>
    <row r="5" spans="1:7" ht="16.5" x14ac:dyDescent="0.25">
      <c r="A5" s="1881" t="s">
        <v>473</v>
      </c>
      <c r="B5" s="1881"/>
      <c r="C5" s="1881"/>
      <c r="D5" s="1881"/>
      <c r="E5" s="1881"/>
      <c r="F5" s="1881"/>
    </row>
    <row r="6" spans="1:7" ht="16.5" x14ac:dyDescent="0.25">
      <c r="A6" s="1881" t="s">
        <v>670</v>
      </c>
      <c r="B6" s="1881"/>
      <c r="C6" s="1881"/>
      <c r="D6" s="1881"/>
      <c r="E6" s="1881"/>
      <c r="F6" s="1881"/>
    </row>
    <row r="7" spans="1:7" ht="18.75" x14ac:dyDescent="0.3">
      <c r="A7" s="936"/>
      <c r="B7" s="936"/>
      <c r="C7" s="936"/>
      <c r="D7" s="936"/>
      <c r="E7" s="936"/>
      <c r="F7" s="936"/>
    </row>
    <row r="8" spans="1:7" x14ac:dyDescent="0.2">
      <c r="A8" s="899"/>
      <c r="B8" s="899"/>
      <c r="C8" s="899"/>
      <c r="D8" s="899"/>
      <c r="E8" s="899"/>
      <c r="F8" s="899"/>
    </row>
    <row r="9" spans="1:7" ht="13.5" thickBot="1" x14ac:dyDescent="0.25">
      <c r="A9" s="899"/>
      <c r="B9" s="899"/>
      <c r="C9" s="899"/>
      <c r="D9" s="899"/>
      <c r="E9" s="899"/>
      <c r="F9" s="899"/>
    </row>
    <row r="10" spans="1:7" ht="33.75" thickBot="1" x14ac:dyDescent="0.25">
      <c r="A10" s="937" t="s">
        <v>54</v>
      </c>
      <c r="B10" s="938" t="s">
        <v>61</v>
      </c>
      <c r="C10" s="938" t="s">
        <v>474</v>
      </c>
      <c r="D10" s="938" t="s">
        <v>475</v>
      </c>
      <c r="E10" s="939" t="s">
        <v>65</v>
      </c>
      <c r="F10" s="940" t="s">
        <v>56</v>
      </c>
    </row>
    <row r="11" spans="1:7" ht="33" x14ac:dyDescent="0.25">
      <c r="A11" s="941" t="s">
        <v>133</v>
      </c>
      <c r="B11" s="942">
        <v>1</v>
      </c>
      <c r="C11" s="942">
        <v>1</v>
      </c>
      <c r="D11" s="942">
        <v>1</v>
      </c>
      <c r="E11" s="943">
        <f>3-1</f>
        <v>2</v>
      </c>
      <c r="F11" s="944">
        <f>B11+C11+D11+E11</f>
        <v>5</v>
      </c>
      <c r="G11" s="945"/>
    </row>
    <row r="12" spans="1:7" s="11" customFormat="1" ht="33" x14ac:dyDescent="0.2">
      <c r="A12" s="946" t="s">
        <v>476</v>
      </c>
      <c r="B12" s="947"/>
      <c r="C12" s="947"/>
      <c r="D12" s="947"/>
      <c r="E12" s="961">
        <v>1</v>
      </c>
      <c r="F12" s="944">
        <f>B12+C12+D12+E12</f>
        <v>1</v>
      </c>
    </row>
    <row r="13" spans="1:7" ht="33" x14ac:dyDescent="0.2">
      <c r="A13" s="948" t="s">
        <v>472</v>
      </c>
      <c r="B13" s="949"/>
      <c r="C13" s="949"/>
      <c r="D13" s="949"/>
      <c r="E13" s="960"/>
      <c r="F13" s="944"/>
    </row>
    <row r="14" spans="1:7" ht="33" x14ac:dyDescent="0.2">
      <c r="A14" s="948" t="s">
        <v>387</v>
      </c>
      <c r="B14" s="949"/>
      <c r="C14" s="949"/>
      <c r="D14" s="949"/>
      <c r="E14" s="960"/>
      <c r="F14" s="944"/>
    </row>
    <row r="15" spans="1:7" ht="33.75" thickBot="1" x14ac:dyDescent="0.25">
      <c r="A15" s="950" t="s">
        <v>8</v>
      </c>
      <c r="B15" s="951">
        <v>1</v>
      </c>
      <c r="C15" s="952"/>
      <c r="D15" s="952"/>
      <c r="E15" s="953"/>
      <c r="F15" s="944">
        <f>B15+C15+D15+E15</f>
        <v>1</v>
      </c>
      <c r="G15" s="954"/>
    </row>
    <row r="16" spans="1:7" ht="17.25" thickBot="1" x14ac:dyDescent="0.25">
      <c r="A16" s="955" t="s">
        <v>56</v>
      </c>
      <c r="B16" s="956">
        <f>B11+B12+B13+B14+B15</f>
        <v>2</v>
      </c>
      <c r="C16" s="956">
        <f t="shared" ref="C16:F16" si="0">C11+C12+C13+C14+C15</f>
        <v>1</v>
      </c>
      <c r="D16" s="956">
        <f t="shared" si="0"/>
        <v>1</v>
      </c>
      <c r="E16" s="962">
        <f t="shared" si="0"/>
        <v>3</v>
      </c>
      <c r="F16" s="963">
        <f t="shared" si="0"/>
        <v>7</v>
      </c>
    </row>
    <row r="17" spans="6:12" x14ac:dyDescent="0.2">
      <c r="F17" s="355"/>
    </row>
    <row r="18" spans="6:12" x14ac:dyDescent="0.2">
      <c r="L18" s="957"/>
    </row>
  </sheetData>
  <mergeCells count="3">
    <mergeCell ref="A6:F6"/>
    <mergeCell ref="A1:F1"/>
    <mergeCell ref="A5:F5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9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9"/>
  <sheetViews>
    <sheetView view="pageBreakPreview" zoomScaleNormal="100" zoomScaleSheetLayoutView="100" workbookViewId="0">
      <selection activeCell="F80" sqref="F80"/>
    </sheetView>
  </sheetViews>
  <sheetFormatPr defaultRowHeight="12.75" x14ac:dyDescent="0.2"/>
  <cols>
    <col min="1" max="1" width="36.1640625" customWidth="1"/>
    <col min="2" max="6" width="13.83203125" customWidth="1"/>
    <col min="257" max="257" width="36.1640625" customWidth="1"/>
    <col min="258" max="262" width="13.83203125" customWidth="1"/>
    <col min="513" max="513" width="36.1640625" customWidth="1"/>
    <col min="514" max="518" width="13.83203125" customWidth="1"/>
    <col min="769" max="769" width="36.1640625" customWidth="1"/>
    <col min="770" max="774" width="13.83203125" customWidth="1"/>
    <col min="1025" max="1025" width="36.1640625" customWidth="1"/>
    <col min="1026" max="1030" width="13.83203125" customWidth="1"/>
    <col min="1281" max="1281" width="36.1640625" customWidth="1"/>
    <col min="1282" max="1286" width="13.83203125" customWidth="1"/>
    <col min="1537" max="1537" width="36.1640625" customWidth="1"/>
    <col min="1538" max="1542" width="13.83203125" customWidth="1"/>
    <col min="1793" max="1793" width="36.1640625" customWidth="1"/>
    <col min="1794" max="1798" width="13.83203125" customWidth="1"/>
    <col min="2049" max="2049" width="36.1640625" customWidth="1"/>
    <col min="2050" max="2054" width="13.83203125" customWidth="1"/>
    <col min="2305" max="2305" width="36.1640625" customWidth="1"/>
    <col min="2306" max="2310" width="13.83203125" customWidth="1"/>
    <col min="2561" max="2561" width="36.1640625" customWidth="1"/>
    <col min="2562" max="2566" width="13.83203125" customWidth="1"/>
    <col min="2817" max="2817" width="36.1640625" customWidth="1"/>
    <col min="2818" max="2822" width="13.83203125" customWidth="1"/>
    <col min="3073" max="3073" width="36.1640625" customWidth="1"/>
    <col min="3074" max="3078" width="13.83203125" customWidth="1"/>
    <col min="3329" max="3329" width="36.1640625" customWidth="1"/>
    <col min="3330" max="3334" width="13.83203125" customWidth="1"/>
    <col min="3585" max="3585" width="36.1640625" customWidth="1"/>
    <col min="3586" max="3590" width="13.83203125" customWidth="1"/>
    <col min="3841" max="3841" width="36.1640625" customWidth="1"/>
    <col min="3842" max="3846" width="13.83203125" customWidth="1"/>
    <col min="4097" max="4097" width="36.1640625" customWidth="1"/>
    <col min="4098" max="4102" width="13.83203125" customWidth="1"/>
    <col min="4353" max="4353" width="36.1640625" customWidth="1"/>
    <col min="4354" max="4358" width="13.83203125" customWidth="1"/>
    <col min="4609" max="4609" width="36.1640625" customWidth="1"/>
    <col min="4610" max="4614" width="13.83203125" customWidth="1"/>
    <col min="4865" max="4865" width="36.1640625" customWidth="1"/>
    <col min="4866" max="4870" width="13.83203125" customWidth="1"/>
    <col min="5121" max="5121" width="36.1640625" customWidth="1"/>
    <col min="5122" max="5126" width="13.83203125" customWidth="1"/>
    <col min="5377" max="5377" width="36.1640625" customWidth="1"/>
    <col min="5378" max="5382" width="13.83203125" customWidth="1"/>
    <col min="5633" max="5633" width="36.1640625" customWidth="1"/>
    <col min="5634" max="5638" width="13.83203125" customWidth="1"/>
    <col min="5889" max="5889" width="36.1640625" customWidth="1"/>
    <col min="5890" max="5894" width="13.83203125" customWidth="1"/>
    <col min="6145" max="6145" width="36.1640625" customWidth="1"/>
    <col min="6146" max="6150" width="13.83203125" customWidth="1"/>
    <col min="6401" max="6401" width="36.1640625" customWidth="1"/>
    <col min="6402" max="6406" width="13.83203125" customWidth="1"/>
    <col min="6657" max="6657" width="36.1640625" customWidth="1"/>
    <col min="6658" max="6662" width="13.83203125" customWidth="1"/>
    <col min="6913" max="6913" width="36.1640625" customWidth="1"/>
    <col min="6914" max="6918" width="13.83203125" customWidth="1"/>
    <col min="7169" max="7169" width="36.1640625" customWidth="1"/>
    <col min="7170" max="7174" width="13.83203125" customWidth="1"/>
    <col min="7425" max="7425" width="36.1640625" customWidth="1"/>
    <col min="7426" max="7430" width="13.83203125" customWidth="1"/>
    <col min="7681" max="7681" width="36.1640625" customWidth="1"/>
    <col min="7682" max="7686" width="13.83203125" customWidth="1"/>
    <col min="7937" max="7937" width="36.1640625" customWidth="1"/>
    <col min="7938" max="7942" width="13.83203125" customWidth="1"/>
    <col min="8193" max="8193" width="36.1640625" customWidth="1"/>
    <col min="8194" max="8198" width="13.83203125" customWidth="1"/>
    <col min="8449" max="8449" width="36.1640625" customWidth="1"/>
    <col min="8450" max="8454" width="13.83203125" customWidth="1"/>
    <col min="8705" max="8705" width="36.1640625" customWidth="1"/>
    <col min="8706" max="8710" width="13.83203125" customWidth="1"/>
    <col min="8961" max="8961" width="36.1640625" customWidth="1"/>
    <col min="8962" max="8966" width="13.83203125" customWidth="1"/>
    <col min="9217" max="9217" width="36.1640625" customWidth="1"/>
    <col min="9218" max="9222" width="13.83203125" customWidth="1"/>
    <col min="9473" max="9473" width="36.1640625" customWidth="1"/>
    <col min="9474" max="9478" width="13.83203125" customWidth="1"/>
    <col min="9729" max="9729" width="36.1640625" customWidth="1"/>
    <col min="9730" max="9734" width="13.83203125" customWidth="1"/>
    <col min="9985" max="9985" width="36.1640625" customWidth="1"/>
    <col min="9986" max="9990" width="13.83203125" customWidth="1"/>
    <col min="10241" max="10241" width="36.1640625" customWidth="1"/>
    <col min="10242" max="10246" width="13.83203125" customWidth="1"/>
    <col min="10497" max="10497" width="36.1640625" customWidth="1"/>
    <col min="10498" max="10502" width="13.83203125" customWidth="1"/>
    <col min="10753" max="10753" width="36.1640625" customWidth="1"/>
    <col min="10754" max="10758" width="13.83203125" customWidth="1"/>
    <col min="11009" max="11009" width="36.1640625" customWidth="1"/>
    <col min="11010" max="11014" width="13.83203125" customWidth="1"/>
    <col min="11265" max="11265" width="36.1640625" customWidth="1"/>
    <col min="11266" max="11270" width="13.83203125" customWidth="1"/>
    <col min="11521" max="11521" width="36.1640625" customWidth="1"/>
    <col min="11522" max="11526" width="13.83203125" customWidth="1"/>
    <col min="11777" max="11777" width="36.1640625" customWidth="1"/>
    <col min="11778" max="11782" width="13.83203125" customWidth="1"/>
    <col min="12033" max="12033" width="36.1640625" customWidth="1"/>
    <col min="12034" max="12038" width="13.83203125" customWidth="1"/>
    <col min="12289" max="12289" width="36.1640625" customWidth="1"/>
    <col min="12290" max="12294" width="13.83203125" customWidth="1"/>
    <col min="12545" max="12545" width="36.1640625" customWidth="1"/>
    <col min="12546" max="12550" width="13.83203125" customWidth="1"/>
    <col min="12801" max="12801" width="36.1640625" customWidth="1"/>
    <col min="12802" max="12806" width="13.83203125" customWidth="1"/>
    <col min="13057" max="13057" width="36.1640625" customWidth="1"/>
    <col min="13058" max="13062" width="13.83203125" customWidth="1"/>
    <col min="13313" max="13313" width="36.1640625" customWidth="1"/>
    <col min="13314" max="13318" width="13.83203125" customWidth="1"/>
    <col min="13569" max="13569" width="36.1640625" customWidth="1"/>
    <col min="13570" max="13574" width="13.83203125" customWidth="1"/>
    <col min="13825" max="13825" width="36.1640625" customWidth="1"/>
    <col min="13826" max="13830" width="13.83203125" customWidth="1"/>
    <col min="14081" max="14081" width="36.1640625" customWidth="1"/>
    <col min="14082" max="14086" width="13.83203125" customWidth="1"/>
    <col min="14337" max="14337" width="36.1640625" customWidth="1"/>
    <col min="14338" max="14342" width="13.83203125" customWidth="1"/>
    <col min="14593" max="14593" width="36.1640625" customWidth="1"/>
    <col min="14594" max="14598" width="13.83203125" customWidth="1"/>
    <col min="14849" max="14849" width="36.1640625" customWidth="1"/>
    <col min="14850" max="14854" width="13.83203125" customWidth="1"/>
    <col min="15105" max="15105" width="36.1640625" customWidth="1"/>
    <col min="15106" max="15110" width="13.83203125" customWidth="1"/>
    <col min="15361" max="15361" width="36.1640625" customWidth="1"/>
    <col min="15362" max="15366" width="13.83203125" customWidth="1"/>
    <col min="15617" max="15617" width="36.1640625" customWidth="1"/>
    <col min="15618" max="15622" width="13.83203125" customWidth="1"/>
    <col min="15873" max="15873" width="36.1640625" customWidth="1"/>
    <col min="15874" max="15878" width="13.83203125" customWidth="1"/>
    <col min="16129" max="16129" width="36.1640625" customWidth="1"/>
    <col min="16130" max="16134" width="13.83203125" customWidth="1"/>
  </cols>
  <sheetData>
    <row r="1" spans="1:8" x14ac:dyDescent="0.2">
      <c r="A1" s="1774" t="s">
        <v>802</v>
      </c>
      <c r="B1" s="1774"/>
      <c r="C1" s="1774"/>
      <c r="D1" s="1774"/>
      <c r="E1" s="1774"/>
      <c r="F1" s="1774"/>
      <c r="G1" s="535"/>
      <c r="H1" s="535"/>
    </row>
    <row r="2" spans="1:8" s="25" customFormat="1" x14ac:dyDescent="0.2">
      <c r="A2" s="1774" t="s">
        <v>796</v>
      </c>
      <c r="B2" s="1774"/>
      <c r="C2" s="1774"/>
      <c r="D2" s="1774"/>
      <c r="E2" s="1774"/>
      <c r="F2" s="1774"/>
    </row>
    <row r="3" spans="1:8" s="25" customFormat="1" x14ac:dyDescent="0.2">
      <c r="A3" s="363"/>
      <c r="B3" s="363"/>
      <c r="C3" s="363"/>
      <c r="D3" s="363"/>
      <c r="E3" s="363"/>
      <c r="F3" s="363"/>
    </row>
    <row r="4" spans="1:8" x14ac:dyDescent="0.2">
      <c r="A4" s="1884"/>
      <c r="B4" s="1884"/>
      <c r="C4" s="1884"/>
      <c r="D4" s="1884"/>
      <c r="E4" s="1884"/>
      <c r="F4" s="1884"/>
    </row>
    <row r="5" spans="1:8" ht="15.75" x14ac:dyDescent="0.2">
      <c r="A5" s="1882" t="s">
        <v>663</v>
      </c>
      <c r="B5" s="1882"/>
      <c r="C5" s="1882"/>
      <c r="D5" s="1882"/>
      <c r="E5" s="1882"/>
      <c r="F5" s="1882"/>
    </row>
    <row r="6" spans="1:8" ht="15.75" x14ac:dyDescent="0.2">
      <c r="A6" s="1883" t="s">
        <v>664</v>
      </c>
      <c r="B6" s="1883"/>
      <c r="C6" s="1883"/>
      <c r="D6" s="1883"/>
      <c r="E6" s="1883"/>
      <c r="F6" s="1883"/>
    </row>
    <row r="7" spans="1:8" ht="39.75" customHeight="1" x14ac:dyDescent="0.2">
      <c r="A7" s="247" t="s">
        <v>477</v>
      </c>
      <c r="B7" s="1886" t="s">
        <v>707</v>
      </c>
      <c r="C7" s="1886"/>
      <c r="D7" s="1886"/>
      <c r="E7" s="1886"/>
      <c r="F7" s="1886"/>
    </row>
    <row r="8" spans="1:8" ht="14.25" thickBot="1" x14ac:dyDescent="0.3">
      <c r="E8" s="1887" t="s">
        <v>362</v>
      </c>
      <c r="F8" s="1887"/>
    </row>
    <row r="9" spans="1:8" ht="15" customHeight="1" thickBot="1" x14ac:dyDescent="0.25">
      <c r="A9" s="248" t="s">
        <v>478</v>
      </c>
      <c r="B9" s="249" t="s">
        <v>671</v>
      </c>
      <c r="C9" s="249" t="s">
        <v>509</v>
      </c>
      <c r="D9" s="249" t="s">
        <v>630</v>
      </c>
      <c r="E9" s="249" t="s">
        <v>630</v>
      </c>
      <c r="F9" s="250" t="s">
        <v>56</v>
      </c>
    </row>
    <row r="10" spans="1:8" x14ac:dyDescent="0.2">
      <c r="A10" s="251" t="s">
        <v>479</v>
      </c>
      <c r="B10" s="252"/>
      <c r="C10" s="252">
        <v>23509647</v>
      </c>
      <c r="D10" s="252"/>
      <c r="E10" s="252"/>
      <c r="F10" s="253">
        <f t="shared" ref="F10:F16" si="0">SUM(B10:E10)</f>
        <v>23509647</v>
      </c>
    </row>
    <row r="11" spans="1:8" x14ac:dyDescent="0.2">
      <c r="A11" s="389" t="s">
        <v>480</v>
      </c>
      <c r="B11" s="390"/>
      <c r="C11" s="390"/>
      <c r="D11" s="390"/>
      <c r="E11" s="390"/>
      <c r="F11" s="391">
        <f t="shared" si="0"/>
        <v>0</v>
      </c>
    </row>
    <row r="12" spans="1:8" x14ac:dyDescent="0.2">
      <c r="A12" s="392" t="s">
        <v>481</v>
      </c>
      <c r="B12" s="393">
        <v>8297340</v>
      </c>
      <c r="C12" s="393">
        <v>136975753</v>
      </c>
      <c r="D12" s="393"/>
      <c r="E12" s="393"/>
      <c r="F12" s="394">
        <f t="shared" si="0"/>
        <v>145273093</v>
      </c>
    </row>
    <row r="13" spans="1:8" x14ac:dyDescent="0.2">
      <c r="A13" s="392" t="s">
        <v>482</v>
      </c>
      <c r="B13" s="393"/>
      <c r="C13" s="393"/>
      <c r="D13" s="393"/>
      <c r="E13" s="393"/>
      <c r="F13" s="394">
        <f t="shared" si="0"/>
        <v>0</v>
      </c>
    </row>
    <row r="14" spans="1:8" x14ac:dyDescent="0.2">
      <c r="A14" s="392" t="s">
        <v>483</v>
      </c>
      <c r="B14" s="393"/>
      <c r="C14" s="393"/>
      <c r="D14" s="393"/>
      <c r="E14" s="393"/>
      <c r="F14" s="394">
        <f t="shared" si="0"/>
        <v>0</v>
      </c>
    </row>
    <row r="15" spans="1:8" x14ac:dyDescent="0.2">
      <c r="A15" s="392" t="s">
        <v>484</v>
      </c>
      <c r="B15" s="393"/>
      <c r="C15" s="393"/>
      <c r="D15" s="393"/>
      <c r="E15" s="393"/>
      <c r="F15" s="394">
        <f t="shared" si="0"/>
        <v>0</v>
      </c>
    </row>
    <row r="16" spans="1:8" ht="13.5" thickBot="1" x14ac:dyDescent="0.25">
      <c r="A16" s="395"/>
      <c r="B16" s="396"/>
      <c r="C16" s="396"/>
      <c r="D16" s="396"/>
      <c r="E16" s="396"/>
      <c r="F16" s="394">
        <f t="shared" si="0"/>
        <v>0</v>
      </c>
    </row>
    <row r="17" spans="1:13" ht="13.5" thickBot="1" x14ac:dyDescent="0.25">
      <c r="A17" s="262" t="s">
        <v>485</v>
      </c>
      <c r="B17" s="263">
        <f>B10+SUM(B12:B16)</f>
        <v>8297340</v>
      </c>
      <c r="C17" s="263">
        <f>C10+SUM(C12:C16)</f>
        <v>160485400</v>
      </c>
      <c r="D17" s="263">
        <f>D10+SUM(D12:D16)</f>
        <v>0</v>
      </c>
      <c r="E17" s="263">
        <f>E10+SUM(E12:E16)</f>
        <v>0</v>
      </c>
      <c r="F17" s="264">
        <f>F10+SUM(F12:F16)</f>
        <v>168782740</v>
      </c>
    </row>
    <row r="18" spans="1:13" ht="13.5" thickBot="1" x14ac:dyDescent="0.25">
      <c r="A18" s="265"/>
      <c r="B18" s="265"/>
      <c r="C18" s="265"/>
      <c r="D18" s="265"/>
      <c r="E18" s="265"/>
      <c r="F18" s="265"/>
    </row>
    <row r="19" spans="1:13" ht="15" customHeight="1" thickBot="1" x14ac:dyDescent="0.25">
      <c r="A19" s="248" t="s">
        <v>486</v>
      </c>
      <c r="B19" s="249" t="s">
        <v>671</v>
      </c>
      <c r="C19" s="249" t="s">
        <v>509</v>
      </c>
      <c r="D19" s="249" t="s">
        <v>630</v>
      </c>
      <c r="E19" s="249" t="s">
        <v>630</v>
      </c>
      <c r="F19" s="250" t="s">
        <v>56</v>
      </c>
    </row>
    <row r="20" spans="1:13" x14ac:dyDescent="0.2">
      <c r="A20" s="251" t="s">
        <v>487</v>
      </c>
      <c r="B20" s="252">
        <f>5225000+679250</f>
        <v>5904250</v>
      </c>
      <c r="C20" s="252">
        <f>1425000+185250</f>
        <v>1610250</v>
      </c>
      <c r="D20" s="252"/>
      <c r="E20" s="252"/>
      <c r="F20" s="253">
        <f t="shared" ref="F20:F26" si="1">SUM(B20:E20)</f>
        <v>7514500</v>
      </c>
    </row>
    <row r="21" spans="1:13" x14ac:dyDescent="0.2">
      <c r="A21" s="397" t="s">
        <v>531</v>
      </c>
      <c r="B21" s="393"/>
      <c r="C21" s="393">
        <f>131957503+23509647</f>
        <v>155467150</v>
      </c>
      <c r="D21" s="393"/>
      <c r="E21" s="393"/>
      <c r="F21" s="394">
        <f t="shared" si="1"/>
        <v>155467150</v>
      </c>
    </row>
    <row r="22" spans="1:13" x14ac:dyDescent="0.2">
      <c r="A22" s="392" t="s">
        <v>488</v>
      </c>
      <c r="B22" s="393">
        <v>2393090</v>
      </c>
      <c r="C22" s="393">
        <v>3408000</v>
      </c>
      <c r="D22" s="393"/>
      <c r="E22" s="393"/>
      <c r="F22" s="394">
        <f t="shared" si="1"/>
        <v>5801090</v>
      </c>
      <c r="I22" t="s">
        <v>489</v>
      </c>
    </row>
    <row r="23" spans="1:13" x14ac:dyDescent="0.2">
      <c r="A23" s="392" t="s">
        <v>490</v>
      </c>
      <c r="B23" s="393"/>
      <c r="C23" s="393"/>
      <c r="D23" s="393"/>
      <c r="E23" s="393"/>
      <c r="F23" s="394">
        <f t="shared" si="1"/>
        <v>0</v>
      </c>
      <c r="M23" t="s">
        <v>385</v>
      </c>
    </row>
    <row r="24" spans="1:13" x14ac:dyDescent="0.2">
      <c r="A24" s="398" t="s">
        <v>491</v>
      </c>
      <c r="B24" s="393"/>
      <c r="C24" s="393"/>
      <c r="D24" s="393"/>
      <c r="E24" s="393"/>
      <c r="F24" s="394">
        <f t="shared" si="1"/>
        <v>0</v>
      </c>
    </row>
    <row r="25" spans="1:13" x14ac:dyDescent="0.2">
      <c r="A25" s="398"/>
      <c r="B25" s="393"/>
      <c r="C25" s="393"/>
      <c r="D25" s="393"/>
      <c r="E25" s="393"/>
      <c r="F25" s="394">
        <f t="shared" si="1"/>
        <v>0</v>
      </c>
    </row>
    <row r="26" spans="1:13" ht="13.5" thickBot="1" x14ac:dyDescent="0.25">
      <c r="A26" s="395"/>
      <c r="B26" s="396"/>
      <c r="C26" s="396"/>
      <c r="D26" s="396"/>
      <c r="E26" s="396"/>
      <c r="F26" s="394">
        <f t="shared" si="1"/>
        <v>0</v>
      </c>
    </row>
    <row r="27" spans="1:13" ht="13.5" thickBot="1" x14ac:dyDescent="0.25">
      <c r="A27" s="262" t="s">
        <v>35</v>
      </c>
      <c r="B27" s="263">
        <f>SUM(B20:B26)</f>
        <v>8297340</v>
      </c>
      <c r="C27" s="263">
        <f>SUM(C20:C26)</f>
        <v>160485400</v>
      </c>
      <c r="D27" s="263">
        <f>SUM(D20:D26)</f>
        <v>0</v>
      </c>
      <c r="E27" s="263">
        <f>SUM(E20:E26)</f>
        <v>0</v>
      </c>
      <c r="F27" s="264">
        <f>SUM(F20:F26)</f>
        <v>168782740</v>
      </c>
    </row>
    <row r="29" spans="1:13" ht="44.45" customHeight="1" x14ac:dyDescent="0.2">
      <c r="A29" s="247" t="s">
        <v>477</v>
      </c>
      <c r="B29" s="1908" t="s">
        <v>794</v>
      </c>
      <c r="C29" s="1908"/>
      <c r="D29" s="1908"/>
      <c r="E29" s="1908"/>
      <c r="F29" s="1908"/>
    </row>
    <row r="30" spans="1:13" ht="14.25" thickBot="1" x14ac:dyDescent="0.3">
      <c r="E30" s="1887" t="s">
        <v>362</v>
      </c>
      <c r="F30" s="1887"/>
    </row>
    <row r="31" spans="1:13" ht="13.5" thickBot="1" x14ac:dyDescent="0.25">
      <c r="A31" s="248" t="s">
        <v>478</v>
      </c>
      <c r="B31" s="249" t="s">
        <v>671</v>
      </c>
      <c r="C31" s="249" t="s">
        <v>509</v>
      </c>
      <c r="D31" s="249" t="s">
        <v>630</v>
      </c>
      <c r="E31" s="249" t="s">
        <v>630</v>
      </c>
      <c r="F31" s="250" t="s">
        <v>56</v>
      </c>
    </row>
    <row r="32" spans="1:13" x14ac:dyDescent="0.2">
      <c r="A32" s="251" t="s">
        <v>479</v>
      </c>
      <c r="B32" s="252"/>
      <c r="C32" s="252"/>
      <c r="D32" s="252"/>
      <c r="E32" s="252"/>
      <c r="F32" s="253">
        <f t="shared" ref="F32:F38" si="2">SUM(B32:E32)</f>
        <v>0</v>
      </c>
    </row>
    <row r="33" spans="1:6" x14ac:dyDescent="0.2">
      <c r="A33" s="254" t="s">
        <v>480</v>
      </c>
      <c r="B33" s="255"/>
      <c r="C33" s="255"/>
      <c r="D33" s="255"/>
      <c r="E33" s="255"/>
      <c r="F33" s="256">
        <f t="shared" si="2"/>
        <v>0</v>
      </c>
    </row>
    <row r="34" spans="1:6" x14ac:dyDescent="0.2">
      <c r="A34" s="257" t="s">
        <v>481</v>
      </c>
      <c r="B34" s="258"/>
      <c r="C34" s="1404">
        <v>61686035</v>
      </c>
      <c r="D34" s="258"/>
      <c r="E34" s="258"/>
      <c r="F34" s="259">
        <f t="shared" si="2"/>
        <v>61686035</v>
      </c>
    </row>
    <row r="35" spans="1:6" x14ac:dyDescent="0.2">
      <c r="A35" s="257" t="s">
        <v>482</v>
      </c>
      <c r="B35" s="258"/>
      <c r="C35" s="258"/>
      <c r="D35" s="258"/>
      <c r="E35" s="258"/>
      <c r="F35" s="259">
        <f t="shared" si="2"/>
        <v>0</v>
      </c>
    </row>
    <row r="36" spans="1:6" x14ac:dyDescent="0.2">
      <c r="A36" s="257" t="s">
        <v>483</v>
      </c>
      <c r="B36" s="258"/>
      <c r="C36" s="258"/>
      <c r="D36" s="258"/>
      <c r="E36" s="258"/>
      <c r="F36" s="259">
        <f t="shared" si="2"/>
        <v>0</v>
      </c>
    </row>
    <row r="37" spans="1:6" x14ac:dyDescent="0.2">
      <c r="A37" s="257" t="s">
        <v>484</v>
      </c>
      <c r="B37" s="258"/>
      <c r="C37" s="258"/>
      <c r="D37" s="258"/>
      <c r="E37" s="258"/>
      <c r="F37" s="259">
        <f t="shared" si="2"/>
        <v>0</v>
      </c>
    </row>
    <row r="38" spans="1:6" ht="13.5" thickBot="1" x14ac:dyDescent="0.25">
      <c r="A38" s="260"/>
      <c r="B38" s="261"/>
      <c r="C38" s="261"/>
      <c r="D38" s="261"/>
      <c r="E38" s="261"/>
      <c r="F38" s="259">
        <f t="shared" si="2"/>
        <v>0</v>
      </c>
    </row>
    <row r="39" spans="1:6" ht="13.5" thickBot="1" x14ac:dyDescent="0.25">
      <c r="A39" s="262" t="s">
        <v>485</v>
      </c>
      <c r="B39" s="263">
        <f>B32+SUM(B34:B38)</f>
        <v>0</v>
      </c>
      <c r="C39" s="263">
        <f>C32+SUM(C34:C38)</f>
        <v>61686035</v>
      </c>
      <c r="D39" s="263">
        <f>D32+SUM(D34:D38)</f>
        <v>0</v>
      </c>
      <c r="E39" s="263">
        <f>E32+SUM(E34:E38)</f>
        <v>0</v>
      </c>
      <c r="F39" s="264">
        <f>F32+SUM(F34:F38)</f>
        <v>61686035</v>
      </c>
    </row>
    <row r="40" spans="1:6" ht="13.5" thickBot="1" x14ac:dyDescent="0.25">
      <c r="A40" s="265"/>
      <c r="B40" s="265"/>
      <c r="C40" s="265"/>
      <c r="D40" s="265"/>
      <c r="E40" s="265"/>
      <c r="F40" s="265"/>
    </row>
    <row r="41" spans="1:6" ht="13.5" thickBot="1" x14ac:dyDescent="0.25">
      <c r="A41" s="248" t="s">
        <v>486</v>
      </c>
      <c r="B41" s="249" t="s">
        <v>671</v>
      </c>
      <c r="C41" s="249" t="s">
        <v>509</v>
      </c>
      <c r="D41" s="249" t="s">
        <v>630</v>
      </c>
      <c r="E41" s="249" t="s">
        <v>630</v>
      </c>
      <c r="F41" s="250" t="s">
        <v>56</v>
      </c>
    </row>
    <row r="42" spans="1:6" x14ac:dyDescent="0.2">
      <c r="A42" s="251" t="s">
        <v>487</v>
      </c>
      <c r="B42" s="1405"/>
      <c r="C42" s="1405">
        <v>1457435.1862130708</v>
      </c>
      <c r="D42" s="252"/>
      <c r="E42" s="252"/>
      <c r="F42" s="253">
        <f t="shared" ref="F42:F48" si="3">SUM(B42:E42)</f>
        <v>1457435.1862130708</v>
      </c>
    </row>
    <row r="43" spans="1:6" x14ac:dyDescent="0.2">
      <c r="A43" s="266" t="s">
        <v>531</v>
      </c>
      <c r="B43" s="1404"/>
      <c r="C43" s="1404">
        <v>56894300</v>
      </c>
      <c r="D43" s="258"/>
      <c r="E43" s="258"/>
      <c r="F43" s="259">
        <f t="shared" si="3"/>
        <v>56894300</v>
      </c>
    </row>
    <row r="44" spans="1:6" x14ac:dyDescent="0.2">
      <c r="A44" s="257" t="s">
        <v>488</v>
      </c>
      <c r="B44" s="1404">
        <v>1778000</v>
      </c>
      <c r="C44" s="1404">
        <f>3334300-1778000</f>
        <v>1556300</v>
      </c>
      <c r="D44" s="258"/>
      <c r="E44" s="258"/>
      <c r="F44" s="259">
        <f t="shared" si="3"/>
        <v>3334300</v>
      </c>
    </row>
    <row r="45" spans="1:6" x14ac:dyDescent="0.2">
      <c r="A45" s="257" t="s">
        <v>490</v>
      </c>
      <c r="B45" s="1404"/>
      <c r="C45" s="1404"/>
      <c r="D45" s="258"/>
      <c r="E45" s="258"/>
      <c r="F45" s="259">
        <f t="shared" si="3"/>
        <v>0</v>
      </c>
    </row>
    <row r="46" spans="1:6" x14ac:dyDescent="0.2">
      <c r="A46" s="267"/>
      <c r="B46" s="1404"/>
      <c r="C46" s="1404"/>
      <c r="D46" s="258"/>
      <c r="E46" s="258"/>
      <c r="F46" s="259">
        <f t="shared" si="3"/>
        <v>0</v>
      </c>
    </row>
    <row r="47" spans="1:6" x14ac:dyDescent="0.2">
      <c r="A47" s="267"/>
      <c r="B47" s="1404"/>
      <c r="C47" s="1404"/>
      <c r="D47" s="258"/>
      <c r="E47" s="258"/>
      <c r="F47" s="259">
        <f t="shared" si="3"/>
        <v>0</v>
      </c>
    </row>
    <row r="48" spans="1:6" ht="13.5" thickBot="1" x14ac:dyDescent="0.25">
      <c r="A48" s="260"/>
      <c r="B48" s="1406"/>
      <c r="C48" s="1406"/>
      <c r="D48" s="261"/>
      <c r="E48" s="261"/>
      <c r="F48" s="259">
        <f t="shared" si="3"/>
        <v>0</v>
      </c>
    </row>
    <row r="49" spans="1:6" ht="13.5" thickBot="1" x14ac:dyDescent="0.25">
      <c r="A49" s="262" t="s">
        <v>35</v>
      </c>
      <c r="B49" s="263">
        <f>SUM(B42:B48)</f>
        <v>1778000</v>
      </c>
      <c r="C49" s="263">
        <f>SUM(C42:C48)</f>
        <v>59908035.186213069</v>
      </c>
      <c r="D49" s="263">
        <f>SUM(D42:D48)</f>
        <v>0</v>
      </c>
      <c r="E49" s="263">
        <f>SUM(E42:E48)</f>
        <v>0</v>
      </c>
      <c r="F49" s="264">
        <f>SUM(F42:F48)</f>
        <v>61686035.186213069</v>
      </c>
    </row>
    <row r="50" spans="1:6" x14ac:dyDescent="0.2">
      <c r="A50" s="268"/>
      <c r="B50" s="269"/>
      <c r="C50" s="269"/>
      <c r="D50" s="269"/>
      <c r="E50" s="269"/>
      <c r="F50" s="269"/>
    </row>
    <row r="51" spans="1:6" ht="44.45" customHeight="1" x14ac:dyDescent="0.2">
      <c r="A51" s="247" t="s">
        <v>477</v>
      </c>
      <c r="B51" s="1908" t="s">
        <v>795</v>
      </c>
      <c r="C51" s="1908"/>
      <c r="D51" s="1908"/>
      <c r="E51" s="1908"/>
      <c r="F51" s="1908"/>
    </row>
    <row r="52" spans="1:6" ht="14.25" thickBot="1" x14ac:dyDescent="0.3">
      <c r="E52" s="1887" t="s">
        <v>362</v>
      </c>
      <c r="F52" s="1887"/>
    </row>
    <row r="53" spans="1:6" ht="13.5" thickBot="1" x14ac:dyDescent="0.25">
      <c r="A53" s="248" t="s">
        <v>478</v>
      </c>
      <c r="B53" s="249" t="s">
        <v>671</v>
      </c>
      <c r="C53" s="249" t="s">
        <v>509</v>
      </c>
      <c r="D53" s="249" t="s">
        <v>630</v>
      </c>
      <c r="E53" s="249" t="s">
        <v>630</v>
      </c>
      <c r="F53" s="250" t="s">
        <v>56</v>
      </c>
    </row>
    <row r="54" spans="1:6" x14ac:dyDescent="0.2">
      <c r="A54" s="251" t="s">
        <v>479</v>
      </c>
      <c r="B54" s="252"/>
      <c r="C54" s="252"/>
      <c r="D54" s="252"/>
      <c r="E54" s="252"/>
      <c r="F54" s="253">
        <f t="shared" ref="F54:F60" si="4">SUM(B54:E54)</f>
        <v>0</v>
      </c>
    </row>
    <row r="55" spans="1:6" x14ac:dyDescent="0.2">
      <c r="A55" s="254" t="s">
        <v>480</v>
      </c>
      <c r="B55" s="255"/>
      <c r="C55" s="255"/>
      <c r="D55" s="255"/>
      <c r="E55" s="255"/>
      <c r="F55" s="256">
        <f t="shared" si="4"/>
        <v>0</v>
      </c>
    </row>
    <row r="56" spans="1:6" x14ac:dyDescent="0.2">
      <c r="A56" s="257" t="s">
        <v>481</v>
      </c>
      <c r="B56" s="258"/>
      <c r="C56" s="1404">
        <v>184501406</v>
      </c>
      <c r="D56" s="258"/>
      <c r="E56" s="258"/>
      <c r="F56" s="259">
        <f t="shared" si="4"/>
        <v>184501406</v>
      </c>
    </row>
    <row r="57" spans="1:6" x14ac:dyDescent="0.2">
      <c r="A57" s="257" t="s">
        <v>482</v>
      </c>
      <c r="B57" s="258"/>
      <c r="C57" s="258"/>
      <c r="D57" s="258"/>
      <c r="E57" s="258"/>
      <c r="F57" s="259">
        <f t="shared" si="4"/>
        <v>0</v>
      </c>
    </row>
    <row r="58" spans="1:6" x14ac:dyDescent="0.2">
      <c r="A58" s="257" t="s">
        <v>483</v>
      </c>
      <c r="B58" s="258"/>
      <c r="C58" s="258"/>
      <c r="D58" s="258"/>
      <c r="E58" s="258"/>
      <c r="F58" s="259">
        <f t="shared" si="4"/>
        <v>0</v>
      </c>
    </row>
    <row r="59" spans="1:6" x14ac:dyDescent="0.2">
      <c r="A59" s="257" t="s">
        <v>484</v>
      </c>
      <c r="B59" s="258"/>
      <c r="C59" s="258"/>
      <c r="D59" s="258"/>
      <c r="E59" s="258"/>
      <c r="F59" s="259">
        <f t="shared" si="4"/>
        <v>0</v>
      </c>
    </row>
    <row r="60" spans="1:6" ht="13.5" thickBot="1" x14ac:dyDescent="0.25">
      <c r="A60" s="260"/>
      <c r="B60" s="261"/>
      <c r="C60" s="261"/>
      <c r="D60" s="261"/>
      <c r="E60" s="261"/>
      <c r="F60" s="259">
        <f t="shared" si="4"/>
        <v>0</v>
      </c>
    </row>
    <row r="61" spans="1:6" ht="13.5" thickBot="1" x14ac:dyDescent="0.25">
      <c r="A61" s="262" t="s">
        <v>485</v>
      </c>
      <c r="B61" s="263">
        <f>B54+SUM(B56:B60)</f>
        <v>0</v>
      </c>
      <c r="C61" s="263">
        <f>C54+SUM(C56:C60)</f>
        <v>184501406</v>
      </c>
      <c r="D61" s="263">
        <f>D54+SUM(D56:D60)</f>
        <v>0</v>
      </c>
      <c r="E61" s="263">
        <f>E54+SUM(E56:E60)</f>
        <v>0</v>
      </c>
      <c r="F61" s="264">
        <f>F54+SUM(F56:F60)</f>
        <v>184501406</v>
      </c>
    </row>
    <row r="62" spans="1:6" ht="13.5" thickBot="1" x14ac:dyDescent="0.25">
      <c r="A62" s="265"/>
      <c r="B62" s="265"/>
      <c r="C62" s="265"/>
      <c r="D62" s="265"/>
      <c r="E62" s="265"/>
      <c r="F62" s="265"/>
    </row>
    <row r="63" spans="1:6" ht="13.5" thickBot="1" x14ac:dyDescent="0.25">
      <c r="A63" s="248" t="s">
        <v>486</v>
      </c>
      <c r="B63" s="249" t="s">
        <v>671</v>
      </c>
      <c r="C63" s="249" t="s">
        <v>509</v>
      </c>
      <c r="D63" s="249" t="s">
        <v>630</v>
      </c>
      <c r="E63" s="249" t="s">
        <v>630</v>
      </c>
      <c r="F63" s="250" t="s">
        <v>56</v>
      </c>
    </row>
    <row r="64" spans="1:6" x14ac:dyDescent="0.2">
      <c r="A64" s="251" t="s">
        <v>487</v>
      </c>
      <c r="B64" s="252"/>
      <c r="C64" s="252">
        <v>4612535</v>
      </c>
      <c r="D64" s="252"/>
      <c r="E64" s="252"/>
      <c r="F64" s="253">
        <f t="shared" ref="F64:F70" si="5">SUM(B64:E64)</f>
        <v>4612535</v>
      </c>
    </row>
    <row r="65" spans="1:6" x14ac:dyDescent="0.2">
      <c r="A65" s="266" t="s">
        <v>531</v>
      </c>
      <c r="B65" s="258"/>
      <c r="C65" s="258">
        <v>172803287</v>
      </c>
      <c r="D65" s="258"/>
      <c r="E65" s="258"/>
      <c r="F65" s="259">
        <f t="shared" si="5"/>
        <v>172803287</v>
      </c>
    </row>
    <row r="66" spans="1:6" x14ac:dyDescent="0.2">
      <c r="A66" s="257" t="s">
        <v>488</v>
      </c>
      <c r="B66" s="258"/>
      <c r="C66" s="258">
        <v>7085584</v>
      </c>
      <c r="D66" s="258"/>
      <c r="E66" s="258"/>
      <c r="F66" s="259">
        <f t="shared" si="5"/>
        <v>7085584</v>
      </c>
    </row>
    <row r="67" spans="1:6" x14ac:dyDescent="0.2">
      <c r="A67" s="257" t="s">
        <v>490</v>
      </c>
      <c r="B67" s="258"/>
      <c r="C67" s="258"/>
      <c r="D67" s="258"/>
      <c r="E67" s="258"/>
      <c r="F67" s="259">
        <f t="shared" si="5"/>
        <v>0</v>
      </c>
    </row>
    <row r="68" spans="1:6" x14ac:dyDescent="0.2">
      <c r="A68" s="267"/>
      <c r="B68" s="258"/>
      <c r="C68" s="258"/>
      <c r="D68" s="258"/>
      <c r="E68" s="258"/>
      <c r="F68" s="259">
        <f t="shared" si="5"/>
        <v>0</v>
      </c>
    </row>
    <row r="69" spans="1:6" x14ac:dyDescent="0.2">
      <c r="A69" s="267"/>
      <c r="B69" s="258"/>
      <c r="C69" s="258"/>
      <c r="D69" s="258"/>
      <c r="E69" s="258"/>
      <c r="F69" s="259">
        <f t="shared" si="5"/>
        <v>0</v>
      </c>
    </row>
    <row r="70" spans="1:6" ht="13.5" thickBot="1" x14ac:dyDescent="0.25">
      <c r="A70" s="260"/>
      <c r="B70" s="261"/>
      <c r="C70" s="261"/>
      <c r="D70" s="261"/>
      <c r="E70" s="261"/>
      <c r="F70" s="259">
        <f t="shared" si="5"/>
        <v>0</v>
      </c>
    </row>
    <row r="71" spans="1:6" ht="13.5" thickBot="1" x14ac:dyDescent="0.25">
      <c r="A71" s="262" t="s">
        <v>35</v>
      </c>
      <c r="B71" s="263">
        <f>SUM(B64:B70)</f>
        <v>0</v>
      </c>
      <c r="C71" s="263">
        <f>SUM(C64:C70)</f>
        <v>184501406</v>
      </c>
      <c r="D71" s="263">
        <f>SUM(D64:D70)</f>
        <v>0</v>
      </c>
      <c r="E71" s="263">
        <f>SUM(E64:E70)</f>
        <v>0</v>
      </c>
      <c r="F71" s="264">
        <f>SUM(F64:F70)</f>
        <v>184501406</v>
      </c>
    </row>
    <row r="72" spans="1:6" x14ac:dyDescent="0.2">
      <c r="A72" s="268"/>
      <c r="B72" s="269"/>
      <c r="C72" s="269"/>
      <c r="D72" s="269"/>
      <c r="E72" s="269"/>
      <c r="F72" s="269"/>
    </row>
    <row r="73" spans="1:6" ht="15.75" x14ac:dyDescent="0.2">
      <c r="A73" s="1885" t="s">
        <v>672</v>
      </c>
      <c r="B73" s="1885"/>
      <c r="C73" s="1885"/>
      <c r="D73" s="1885"/>
      <c r="E73" s="1885"/>
      <c r="F73" s="1885"/>
    </row>
    <row r="74" spans="1:6" ht="13.5" thickBot="1" x14ac:dyDescent="0.25"/>
    <row r="75" spans="1:6" ht="13.5" thickBot="1" x14ac:dyDescent="0.25">
      <c r="A75" s="1893" t="s">
        <v>492</v>
      </c>
      <c r="B75" s="1894"/>
      <c r="C75" s="1894"/>
      <c r="D75" s="1895"/>
      <c r="E75" s="1896" t="s">
        <v>493</v>
      </c>
      <c r="F75" s="1897"/>
    </row>
    <row r="76" spans="1:6" x14ac:dyDescent="0.2">
      <c r="A76" s="1898"/>
      <c r="B76" s="1899"/>
      <c r="C76" s="1899"/>
      <c r="D76" s="1900"/>
      <c r="E76" s="1901"/>
      <c r="F76" s="1902"/>
    </row>
    <row r="77" spans="1:6" ht="13.5" thickBot="1" x14ac:dyDescent="0.25">
      <c r="A77" s="1903"/>
      <c r="B77" s="1904"/>
      <c r="C77" s="1904"/>
      <c r="D77" s="1905"/>
      <c r="E77" s="1906"/>
      <c r="F77" s="1907"/>
    </row>
    <row r="78" spans="1:6" ht="13.5" thickBot="1" x14ac:dyDescent="0.25">
      <c r="A78" s="1888" t="s">
        <v>35</v>
      </c>
      <c r="B78" s="1889"/>
      <c r="C78" s="1889"/>
      <c r="D78" s="1890"/>
      <c r="E78" s="1891">
        <f>SUM(E76:F77)</f>
        <v>0</v>
      </c>
      <c r="F78" s="1892"/>
    </row>
    <row r="79" spans="1:6" x14ac:dyDescent="0.2">
      <c r="F79" s="355" t="s">
        <v>734</v>
      </c>
    </row>
  </sheetData>
  <mergeCells count="20">
    <mergeCell ref="A73:F73"/>
    <mergeCell ref="B7:F7"/>
    <mergeCell ref="E8:F8"/>
    <mergeCell ref="A78:D78"/>
    <mergeCell ref="E78:F78"/>
    <mergeCell ref="A75:D75"/>
    <mergeCell ref="E75:F75"/>
    <mergeCell ref="A76:D76"/>
    <mergeCell ref="E76:F76"/>
    <mergeCell ref="A77:D77"/>
    <mergeCell ref="E77:F77"/>
    <mergeCell ref="B29:F29"/>
    <mergeCell ref="E30:F30"/>
    <mergeCell ref="B51:F51"/>
    <mergeCell ref="E52:F52"/>
    <mergeCell ref="A1:F1"/>
    <mergeCell ref="A5:F5"/>
    <mergeCell ref="A6:F6"/>
    <mergeCell ref="A2:F2"/>
    <mergeCell ref="A4:F4"/>
  </mergeCells>
  <conditionalFormatting sqref="E78:F78 B72:F72">
    <cfRule type="cellIs" dxfId="3" priority="4" stopIfTrue="1" operator="equal">
      <formula>0</formula>
    </cfRule>
  </conditionalFormatting>
  <conditionalFormatting sqref="F32:F39 F42:F50 B49:E50 B39:E39">
    <cfRule type="cellIs" dxfId="2" priority="3" stopIfTrue="1" operator="equal">
      <formula>0</formula>
    </cfRule>
  </conditionalFormatting>
  <conditionalFormatting sqref="F10:F17 F20:F26 B27:F27 B17:E17">
    <cfRule type="cellIs" dxfId="1" priority="2" stopIfTrue="1" operator="equal">
      <formula>0</formula>
    </cfRule>
  </conditionalFormatting>
  <conditionalFormatting sqref="F54:F61 F64:F71 B71:E71 B61:E61">
    <cfRule type="cellIs" dxfId="0" priority="1" stopIfTrue="1" operator="equal">
      <formula>0</formula>
    </cfRule>
  </conditionalFormatting>
  <printOptions horizontalCentered="1"/>
  <pageMargins left="0.78740157480314965" right="0.78740157480314965" top="0.78740157480314965" bottom="0.59055118110236227" header="0.78740157480314965" footer="0.78740157480314965"/>
  <pageSetup paperSize="9" scale="90" orientation="portrait" r:id="rId1"/>
  <headerFooter>
    <oddHeader xml:space="preserve">&amp;R
</oddHeader>
  </headerFooter>
  <rowBreaks count="1" manualBreakCount="1">
    <brk id="50" max="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RI85"/>
  <sheetViews>
    <sheetView view="pageBreakPreview" topLeftCell="A40" zoomScale="148" zoomScaleNormal="100" zoomScaleSheetLayoutView="148" workbookViewId="0">
      <selection activeCell="A2" sqref="A2:H2"/>
    </sheetView>
  </sheetViews>
  <sheetFormatPr defaultRowHeight="12.75" x14ac:dyDescent="0.2"/>
  <cols>
    <col min="1" max="1" width="7" style="81" customWidth="1"/>
    <col min="2" max="2" width="60" style="82" customWidth="1"/>
    <col min="3" max="3" width="13.83203125" style="83" customWidth="1"/>
    <col min="4" max="4" width="15.33203125" style="83" customWidth="1"/>
    <col min="5" max="5" width="15" style="83" customWidth="1"/>
    <col min="6" max="7" width="16.33203125" style="83" hidden="1" customWidth="1"/>
    <col min="8" max="8" width="14.1640625" style="83" customWidth="1"/>
    <col min="9" max="12" width="15" style="83" hidden="1" customWidth="1"/>
    <col min="13" max="215" width="9.33203125" style="25"/>
    <col min="216" max="216" width="19.5" style="25" customWidth="1"/>
    <col min="217" max="217" width="71.33203125" style="25" customWidth="1"/>
    <col min="218" max="218" width="21.5" style="25" customWidth="1"/>
    <col min="219" max="471" width="9.33203125" style="25"/>
    <col min="472" max="472" width="19.5" style="25" customWidth="1"/>
    <col min="473" max="473" width="71.33203125" style="25" customWidth="1"/>
    <col min="474" max="474" width="21.5" style="25" customWidth="1"/>
    <col min="475" max="727" width="9.33203125" style="25"/>
    <col min="728" max="728" width="19.5" style="25" customWidth="1"/>
    <col min="729" max="729" width="71.33203125" style="25" customWidth="1"/>
    <col min="730" max="730" width="21.5" style="25" customWidth="1"/>
    <col min="731" max="983" width="9.33203125" style="25"/>
    <col min="984" max="984" width="19.5" style="25" customWidth="1"/>
    <col min="985" max="985" width="71.33203125" style="25" customWidth="1"/>
    <col min="986" max="986" width="21.5" style="25" customWidth="1"/>
    <col min="987" max="1239" width="9.33203125" style="25"/>
    <col min="1240" max="1240" width="19.5" style="25" customWidth="1"/>
    <col min="1241" max="1241" width="71.33203125" style="25" customWidth="1"/>
    <col min="1242" max="1242" width="21.5" style="25" customWidth="1"/>
    <col min="1243" max="1495" width="9.33203125" style="25"/>
    <col min="1496" max="1496" width="19.5" style="25" customWidth="1"/>
    <col min="1497" max="1497" width="71.33203125" style="25" customWidth="1"/>
    <col min="1498" max="1498" width="21.5" style="25" customWidth="1"/>
    <col min="1499" max="1751" width="9.33203125" style="25"/>
    <col min="1752" max="1752" width="19.5" style="25" customWidth="1"/>
    <col min="1753" max="1753" width="71.33203125" style="25" customWidth="1"/>
    <col min="1754" max="1754" width="21.5" style="25" customWidth="1"/>
    <col min="1755" max="2007" width="9.33203125" style="25"/>
    <col min="2008" max="2008" width="19.5" style="25" customWidth="1"/>
    <col min="2009" max="2009" width="71.33203125" style="25" customWidth="1"/>
    <col min="2010" max="2010" width="21.5" style="25" customWidth="1"/>
    <col min="2011" max="2263" width="9.33203125" style="25"/>
    <col min="2264" max="2264" width="19.5" style="25" customWidth="1"/>
    <col min="2265" max="2265" width="71.33203125" style="25" customWidth="1"/>
    <col min="2266" max="2266" width="21.5" style="25" customWidth="1"/>
    <col min="2267" max="2519" width="9.33203125" style="25"/>
    <col min="2520" max="2520" width="19.5" style="25" customWidth="1"/>
    <col min="2521" max="2521" width="71.33203125" style="25" customWidth="1"/>
    <col min="2522" max="2522" width="21.5" style="25" customWidth="1"/>
    <col min="2523" max="2775" width="9.33203125" style="25"/>
    <col min="2776" max="2776" width="19.5" style="25" customWidth="1"/>
    <col min="2777" max="2777" width="71.33203125" style="25" customWidth="1"/>
    <col min="2778" max="2778" width="21.5" style="25" customWidth="1"/>
    <col min="2779" max="3031" width="9.33203125" style="25"/>
    <col min="3032" max="3032" width="19.5" style="25" customWidth="1"/>
    <col min="3033" max="3033" width="71.33203125" style="25" customWidth="1"/>
    <col min="3034" max="3034" width="21.5" style="25" customWidth="1"/>
    <col min="3035" max="3287" width="9.33203125" style="25"/>
    <col min="3288" max="3288" width="19.5" style="25" customWidth="1"/>
    <col min="3289" max="3289" width="71.33203125" style="25" customWidth="1"/>
    <col min="3290" max="3290" width="21.5" style="25" customWidth="1"/>
    <col min="3291" max="3543" width="9.33203125" style="25"/>
    <col min="3544" max="3544" width="19.5" style="25" customWidth="1"/>
    <col min="3545" max="3545" width="71.33203125" style="25" customWidth="1"/>
    <col min="3546" max="3546" width="21.5" style="25" customWidth="1"/>
    <col min="3547" max="3799" width="9.33203125" style="25"/>
    <col min="3800" max="3800" width="19.5" style="25" customWidth="1"/>
    <col min="3801" max="3801" width="71.33203125" style="25" customWidth="1"/>
    <col min="3802" max="3802" width="21.5" style="25" customWidth="1"/>
    <col min="3803" max="4055" width="9.33203125" style="25"/>
    <col min="4056" max="4056" width="19.5" style="25" customWidth="1"/>
    <col min="4057" max="4057" width="71.33203125" style="25" customWidth="1"/>
    <col min="4058" max="4058" width="21.5" style="25" customWidth="1"/>
    <col min="4059" max="4311" width="9.33203125" style="25"/>
    <col min="4312" max="4312" width="19.5" style="25" customWidth="1"/>
    <col min="4313" max="4313" width="71.33203125" style="25" customWidth="1"/>
    <col min="4314" max="4314" width="21.5" style="25" customWidth="1"/>
    <col min="4315" max="4567" width="9.33203125" style="25"/>
    <col min="4568" max="4568" width="19.5" style="25" customWidth="1"/>
    <col min="4569" max="4569" width="71.33203125" style="25" customWidth="1"/>
    <col min="4570" max="4570" width="21.5" style="25" customWidth="1"/>
    <col min="4571" max="4823" width="9.33203125" style="25"/>
    <col min="4824" max="4824" width="19.5" style="25" customWidth="1"/>
    <col min="4825" max="4825" width="71.33203125" style="25" customWidth="1"/>
    <col min="4826" max="4826" width="21.5" style="25" customWidth="1"/>
    <col min="4827" max="5079" width="9.33203125" style="25"/>
    <col min="5080" max="5080" width="19.5" style="25" customWidth="1"/>
    <col min="5081" max="5081" width="71.33203125" style="25" customWidth="1"/>
    <col min="5082" max="5082" width="21.5" style="25" customWidth="1"/>
    <col min="5083" max="5335" width="9.33203125" style="25"/>
    <col min="5336" max="5336" width="19.5" style="25" customWidth="1"/>
    <col min="5337" max="5337" width="71.33203125" style="25" customWidth="1"/>
    <col min="5338" max="5338" width="21.5" style="25" customWidth="1"/>
    <col min="5339" max="5591" width="9.33203125" style="25"/>
    <col min="5592" max="5592" width="19.5" style="25" customWidth="1"/>
    <col min="5593" max="5593" width="71.33203125" style="25" customWidth="1"/>
    <col min="5594" max="5594" width="21.5" style="25" customWidth="1"/>
    <col min="5595" max="5847" width="9.33203125" style="25"/>
    <col min="5848" max="5848" width="19.5" style="25" customWidth="1"/>
    <col min="5849" max="5849" width="71.33203125" style="25" customWidth="1"/>
    <col min="5850" max="5850" width="21.5" style="25" customWidth="1"/>
    <col min="5851" max="6103" width="9.33203125" style="25"/>
    <col min="6104" max="6104" width="19.5" style="25" customWidth="1"/>
    <col min="6105" max="6105" width="71.33203125" style="25" customWidth="1"/>
    <col min="6106" max="6106" width="21.5" style="25" customWidth="1"/>
    <col min="6107" max="6359" width="9.33203125" style="25"/>
    <col min="6360" max="6360" width="19.5" style="25" customWidth="1"/>
    <col min="6361" max="6361" width="71.33203125" style="25" customWidth="1"/>
    <col min="6362" max="6362" width="21.5" style="25" customWidth="1"/>
    <col min="6363" max="6615" width="9.33203125" style="25"/>
    <col min="6616" max="6616" width="19.5" style="25" customWidth="1"/>
    <col min="6617" max="6617" width="71.33203125" style="25" customWidth="1"/>
    <col min="6618" max="6618" width="21.5" style="25" customWidth="1"/>
    <col min="6619" max="6871" width="9.33203125" style="25"/>
    <col min="6872" max="6872" width="19.5" style="25" customWidth="1"/>
    <col min="6873" max="6873" width="71.33203125" style="25" customWidth="1"/>
    <col min="6874" max="6874" width="21.5" style="25" customWidth="1"/>
    <col min="6875" max="7127" width="9.33203125" style="25"/>
    <col min="7128" max="7128" width="19.5" style="25" customWidth="1"/>
    <col min="7129" max="7129" width="71.33203125" style="25" customWidth="1"/>
    <col min="7130" max="7130" width="21.5" style="25" customWidth="1"/>
    <col min="7131" max="7383" width="9.33203125" style="25"/>
    <col min="7384" max="7384" width="19.5" style="25" customWidth="1"/>
    <col min="7385" max="7385" width="71.33203125" style="25" customWidth="1"/>
    <col min="7386" max="7386" width="21.5" style="25" customWidth="1"/>
    <col min="7387" max="7639" width="9.33203125" style="25"/>
    <col min="7640" max="7640" width="19.5" style="25" customWidth="1"/>
    <col min="7641" max="7641" width="71.33203125" style="25" customWidth="1"/>
    <col min="7642" max="7642" width="21.5" style="25" customWidth="1"/>
    <col min="7643" max="7895" width="9.33203125" style="25"/>
    <col min="7896" max="7896" width="19.5" style="25" customWidth="1"/>
    <col min="7897" max="7897" width="71.33203125" style="25" customWidth="1"/>
    <col min="7898" max="7898" width="21.5" style="25" customWidth="1"/>
    <col min="7899" max="8151" width="9.33203125" style="25"/>
    <col min="8152" max="8152" width="19.5" style="25" customWidth="1"/>
    <col min="8153" max="8153" width="71.33203125" style="25" customWidth="1"/>
    <col min="8154" max="8154" width="21.5" style="25" customWidth="1"/>
    <col min="8155" max="8407" width="9.33203125" style="25"/>
    <col min="8408" max="8408" width="19.5" style="25" customWidth="1"/>
    <col min="8409" max="8409" width="71.33203125" style="25" customWidth="1"/>
    <col min="8410" max="8410" width="21.5" style="25" customWidth="1"/>
    <col min="8411" max="8663" width="9.33203125" style="25"/>
    <col min="8664" max="8664" width="19.5" style="25" customWidth="1"/>
    <col min="8665" max="8665" width="71.33203125" style="25" customWidth="1"/>
    <col min="8666" max="8666" width="21.5" style="25" customWidth="1"/>
    <col min="8667" max="8919" width="9.33203125" style="25"/>
    <col min="8920" max="8920" width="19.5" style="25" customWidth="1"/>
    <col min="8921" max="8921" width="71.33203125" style="25" customWidth="1"/>
    <col min="8922" max="8922" width="21.5" style="25" customWidth="1"/>
    <col min="8923" max="9175" width="9.33203125" style="25"/>
    <col min="9176" max="9176" width="19.5" style="25" customWidth="1"/>
    <col min="9177" max="9177" width="71.33203125" style="25" customWidth="1"/>
    <col min="9178" max="9178" width="21.5" style="25" customWidth="1"/>
    <col min="9179" max="9431" width="9.33203125" style="25"/>
    <col min="9432" max="9432" width="19.5" style="25" customWidth="1"/>
    <col min="9433" max="9433" width="71.33203125" style="25" customWidth="1"/>
    <col min="9434" max="9434" width="21.5" style="25" customWidth="1"/>
    <col min="9435" max="9687" width="9.33203125" style="25"/>
    <col min="9688" max="9688" width="19.5" style="25" customWidth="1"/>
    <col min="9689" max="9689" width="71.33203125" style="25" customWidth="1"/>
    <col min="9690" max="9690" width="21.5" style="25" customWidth="1"/>
    <col min="9691" max="9941" width="9.33203125" style="25"/>
    <col min="9942" max="9942" width="21.5" style="25" customWidth="1"/>
    <col min="9943" max="10195" width="9.33203125" style="25"/>
    <col min="10196" max="10196" width="19.5" style="25" customWidth="1"/>
    <col min="10197" max="10197" width="71.33203125" style="25" customWidth="1"/>
    <col min="10198" max="10198" width="21.5" style="25" customWidth="1"/>
    <col min="10199" max="10451" width="9.33203125" style="25"/>
    <col min="10452" max="10452" width="19.5" style="25" customWidth="1"/>
    <col min="10453" max="10453" width="71.33203125" style="25" customWidth="1"/>
    <col min="10454" max="10454" width="21.5" style="25" customWidth="1"/>
    <col min="10455" max="10707" width="9.33203125" style="25"/>
    <col min="10708" max="10708" width="19.5" style="25" customWidth="1"/>
    <col min="10709" max="10709" width="71.33203125" style="25" customWidth="1"/>
    <col min="10710" max="10710" width="21.5" style="25" customWidth="1"/>
    <col min="10711" max="10963" width="9.33203125" style="25"/>
    <col min="10964" max="10964" width="19.5" style="25" customWidth="1"/>
    <col min="10965" max="10965" width="71.33203125" style="25" customWidth="1"/>
    <col min="10966" max="10966" width="21.5" style="25" customWidth="1"/>
    <col min="10967" max="11219" width="9.33203125" style="25"/>
    <col min="11220" max="11220" width="19.5" style="25" customWidth="1"/>
    <col min="11221" max="11221" width="71.33203125" style="25" customWidth="1"/>
    <col min="11222" max="11222" width="21.5" style="25" customWidth="1"/>
    <col min="11223" max="11475" width="9.33203125" style="25"/>
    <col min="11476" max="11476" width="19.5" style="25" customWidth="1"/>
    <col min="11477" max="11477" width="71.33203125" style="25" customWidth="1"/>
    <col min="11478" max="11478" width="21.5" style="25" customWidth="1"/>
    <col min="11479" max="11731" width="9.33203125" style="25"/>
    <col min="11732" max="11732" width="19.5" style="25" customWidth="1"/>
    <col min="11733" max="11733" width="71.33203125" style="25" customWidth="1"/>
    <col min="11734" max="11734" width="21.5" style="25" customWidth="1"/>
    <col min="11735" max="11987" width="9.33203125" style="25"/>
    <col min="11988" max="11988" width="19.5" style="25" customWidth="1"/>
    <col min="11989" max="11989" width="71.33203125" style="25" customWidth="1"/>
    <col min="11990" max="11990" width="21.5" style="25" customWidth="1"/>
    <col min="11991" max="12243" width="9.33203125" style="25"/>
    <col min="12244" max="12244" width="19.5" style="25" customWidth="1"/>
    <col min="12245" max="12245" width="71.33203125" style="25" customWidth="1"/>
    <col min="12246" max="12246" width="21.5" style="25" customWidth="1"/>
    <col min="12247" max="12499" width="9.33203125" style="25"/>
    <col min="12500" max="12500" width="19.5" style="25" customWidth="1"/>
    <col min="12501" max="12501" width="71.33203125" style="25" customWidth="1"/>
    <col min="12502" max="12502" width="21.5" style="25" customWidth="1"/>
    <col min="12503" max="12755" width="9.33203125" style="25"/>
    <col min="12756" max="12756" width="19.5" style="25" customWidth="1"/>
    <col min="12757" max="12757" width="71.33203125" style="25" customWidth="1"/>
    <col min="12758" max="12758" width="21.5" style="25" customWidth="1"/>
    <col min="12759" max="13011" width="9.33203125" style="25"/>
    <col min="13012" max="13012" width="19.5" style="25" customWidth="1"/>
    <col min="13013" max="13013" width="71.33203125" style="25" customWidth="1"/>
    <col min="13014" max="13014" width="21.5" style="25" customWidth="1"/>
    <col min="13015" max="13267" width="9.33203125" style="25"/>
    <col min="13268" max="13268" width="19.5" style="25" customWidth="1"/>
    <col min="13269" max="13269" width="71.33203125" style="25" customWidth="1"/>
    <col min="13270" max="13270" width="21.5" style="25" customWidth="1"/>
    <col min="13271" max="13523" width="9.33203125" style="25"/>
    <col min="13524" max="13524" width="19.5" style="25" customWidth="1"/>
    <col min="13525" max="13525" width="71.33203125" style="25" customWidth="1"/>
    <col min="13526" max="13526" width="21.5" style="25" customWidth="1"/>
    <col min="13527" max="13779" width="9.33203125" style="25"/>
    <col min="13780" max="13780" width="19.5" style="25" customWidth="1"/>
    <col min="13781" max="13781" width="71.33203125" style="25" customWidth="1"/>
    <col min="13782" max="13782" width="21.5" style="25" customWidth="1"/>
    <col min="13783" max="14035" width="9.33203125" style="25"/>
    <col min="14036" max="14036" width="19.5" style="25" customWidth="1"/>
    <col min="14037" max="14037" width="71.33203125" style="25" customWidth="1"/>
    <col min="14038" max="14038" width="21.5" style="25" customWidth="1"/>
    <col min="14039" max="14291" width="9.33203125" style="25"/>
    <col min="14292" max="14292" width="19.5" style="25" customWidth="1"/>
    <col min="14293" max="14293" width="71.33203125" style="25" customWidth="1"/>
    <col min="14294" max="14294" width="21.5" style="25" customWidth="1"/>
    <col min="14295" max="16384" width="9.33203125" style="25"/>
  </cols>
  <sheetData>
    <row r="1" spans="1:9941" x14ac:dyDescent="0.2">
      <c r="A1" s="1774" t="s">
        <v>803</v>
      </c>
      <c r="B1" s="1774"/>
      <c r="C1" s="1774"/>
      <c r="D1" s="1774"/>
      <c r="E1" s="1774"/>
      <c r="F1" s="1774"/>
      <c r="G1" s="1774"/>
      <c r="H1" s="1774"/>
      <c r="I1" s="25"/>
      <c r="J1" s="25"/>
      <c r="K1" s="25"/>
      <c r="L1" s="25"/>
    </row>
    <row r="2" spans="1:9941" x14ac:dyDescent="0.2">
      <c r="A2" s="1774" t="s">
        <v>738</v>
      </c>
      <c r="B2" s="1774"/>
      <c r="C2" s="1774"/>
      <c r="D2" s="1774"/>
      <c r="E2" s="1774"/>
      <c r="F2" s="1774"/>
      <c r="G2" s="1774"/>
      <c r="H2" s="1774"/>
      <c r="I2" s="25"/>
      <c r="J2" s="25"/>
      <c r="K2" s="25"/>
      <c r="L2" s="25"/>
    </row>
    <row r="3" spans="1:9941" s="24" customFormat="1" ht="10.5" customHeight="1" x14ac:dyDescent="0.2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</row>
    <row r="4" spans="1:9941" s="38" customFormat="1" ht="21.2" customHeight="1" x14ac:dyDescent="0.2">
      <c r="A4" s="1771" t="s">
        <v>232</v>
      </c>
      <c r="B4" s="1771"/>
      <c r="C4" s="1771"/>
      <c r="D4" s="1771"/>
      <c r="E4" s="1771"/>
      <c r="F4" s="1771"/>
      <c r="G4" s="1771"/>
      <c r="H4" s="1771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</row>
    <row r="5" spans="1:9941" s="38" customFormat="1" ht="21.2" customHeight="1" x14ac:dyDescent="0.2">
      <c r="A5" s="1771" t="s">
        <v>673</v>
      </c>
      <c r="B5" s="1771"/>
      <c r="C5" s="1771"/>
      <c r="D5" s="1771"/>
      <c r="E5" s="1771"/>
      <c r="F5" s="1771"/>
      <c r="G5" s="1771"/>
      <c r="H5" s="1771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</row>
    <row r="6" spans="1:9941" s="38" customFormat="1" ht="21.2" customHeight="1" x14ac:dyDescent="0.2">
      <c r="A6" s="1771" t="s">
        <v>394</v>
      </c>
      <c r="B6" s="1771"/>
      <c r="C6" s="1771"/>
      <c r="D6" s="1771"/>
      <c r="E6" s="1771"/>
      <c r="F6" s="1771"/>
      <c r="G6" s="1771"/>
      <c r="H6" s="1771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</row>
    <row r="7" spans="1:9941" s="38" customFormat="1" ht="9.75" customHeight="1" x14ac:dyDescent="0.2">
      <c r="A7" s="168"/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</row>
    <row r="8" spans="1:9941" s="270" customFormat="1" ht="15.95" customHeight="1" thickBot="1" x14ac:dyDescent="0.3">
      <c r="A8" s="1805" t="s">
        <v>362</v>
      </c>
      <c r="B8" s="1805"/>
      <c r="C8" s="1805"/>
      <c r="D8" s="1805"/>
      <c r="E8" s="1805"/>
      <c r="F8" s="1805"/>
      <c r="G8" s="1805"/>
      <c r="H8" s="1805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</row>
    <row r="9" spans="1:9941" s="46" customFormat="1" ht="46.5" customHeight="1" thickBot="1" x14ac:dyDescent="0.25">
      <c r="A9" s="43" t="s">
        <v>129</v>
      </c>
      <c r="B9" s="44" t="s">
        <v>11</v>
      </c>
      <c r="C9" s="44" t="str">
        <f>'1. mell.bevétel_össz'!C8</f>
        <v>2023. évi eredeti előirányzat
2/2023. (II.14.)</v>
      </c>
      <c r="D9" s="182" t="str">
        <f>'1. mell.bevétel_össz'!D8</f>
        <v>Módosított előirányzat a 14/2023.  (VI.29.)  rendelet szerint</v>
      </c>
      <c r="E9" s="44" t="str">
        <f>'1. mell.bevétel_össz'!E8</f>
        <v>Módosított előirányzat a 18/2023. (IX.26.)  rendelet szerint</v>
      </c>
      <c r="F9" s="44" t="str">
        <f>'1. mell.bevétel_össz'!F8</f>
        <v>Módosított előirányzat 2023.09.30-án</v>
      </c>
      <c r="G9" s="44" t="str">
        <f>'1. mell.bevétel_össz'!G8</f>
        <v>Módosított előirányzat a …../2023. (II…..)  rendelet szerint</v>
      </c>
      <c r="H9" s="45" t="str">
        <f>'1. mell.bevétel_össz'!H8</f>
        <v>Változás a 14/2023. (VI.29.) rendelethez képest</v>
      </c>
      <c r="I9" s="182" t="str">
        <f>'1. mell.bevétel_össz'!I8</f>
        <v>2023. évi teljesítés              2023.06.30-ig</v>
      </c>
      <c r="J9" s="44" t="str">
        <f>'1. mell.bevétel_össz'!J8</f>
        <v>2023. évi teljesítés              2023.09.30-ig</v>
      </c>
      <c r="K9" s="44" t="str">
        <f>'1. mell.bevétel_össz'!K8</f>
        <v>2023. évi teljesítés              2023.12.31-ig</v>
      </c>
      <c r="L9" s="44" t="str">
        <f>'1. mell.bevétel_össz'!L8</f>
        <v>Teljesítés %-a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</row>
    <row r="10" spans="1:9941" s="46" customFormat="1" ht="15.95" customHeight="1" thickBot="1" x14ac:dyDescent="0.25">
      <c r="A10" s="43" t="s">
        <v>297</v>
      </c>
      <c r="B10" s="44" t="s">
        <v>298</v>
      </c>
      <c r="C10" s="989" t="s">
        <v>299</v>
      </c>
      <c r="D10" s="182" t="s">
        <v>300</v>
      </c>
      <c r="E10" s="44" t="s">
        <v>301</v>
      </c>
      <c r="F10" s="44" t="s">
        <v>388</v>
      </c>
      <c r="G10" s="44" t="s">
        <v>424</v>
      </c>
      <c r="H10" s="180" t="s">
        <v>388</v>
      </c>
      <c r="I10" s="180"/>
      <c r="J10" s="45"/>
      <c r="K10" s="45"/>
      <c r="L10" s="45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</row>
    <row r="11" spans="1:9941" s="46" customFormat="1" ht="12.2" customHeight="1" thickBot="1" x14ac:dyDescent="0.25">
      <c r="A11" s="14" t="s">
        <v>12</v>
      </c>
      <c r="B11" s="72" t="s">
        <v>622</v>
      </c>
      <c r="C11" s="113">
        <f>C19+C20+C21+C22+C23</f>
        <v>1406001307</v>
      </c>
      <c r="D11" s="186">
        <f>D19+D20+D21+D22+D23</f>
        <v>1628733083</v>
      </c>
      <c r="E11" s="113">
        <f>E19+E20+E21+E22+E23</f>
        <v>1689002989</v>
      </c>
      <c r="F11" s="113">
        <f t="shared" ref="F11:K11" si="0">F19+F20+F21+F22+F23</f>
        <v>2788165792</v>
      </c>
      <c r="G11" s="113">
        <f t="shared" si="0"/>
        <v>0</v>
      </c>
      <c r="H11" s="28">
        <f>+E11-D11</f>
        <v>60269906</v>
      </c>
      <c r="I11" s="628">
        <f t="shared" si="0"/>
        <v>0</v>
      </c>
      <c r="J11" s="28">
        <f t="shared" si="0"/>
        <v>2186945509</v>
      </c>
      <c r="K11" s="28">
        <f t="shared" si="0"/>
        <v>0</v>
      </c>
      <c r="L11" s="28" t="e">
        <f t="shared" ref="L11" si="1">+L12+L13+L14+L15+L16+L17+L18</f>
        <v>#VALUE!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</row>
    <row r="12" spans="1:9941" s="26" customFormat="1" ht="12.2" customHeight="1" x14ac:dyDescent="0.2">
      <c r="A12" s="12" t="s">
        <v>91</v>
      </c>
      <c r="B12" s="716" t="s">
        <v>188</v>
      </c>
      <c r="C12" s="114">
        <f>'1. mell.bevétel_össz'!C11-'26._önként_össz_bev'!C13-'26._államig_össz_bev'!C12</f>
        <v>347696168</v>
      </c>
      <c r="D12" s="185">
        <f>'1. mell.bevétel_össz'!D11-'26._önként_össz_bev'!D13-'26._államig_össz_bev'!D12</f>
        <v>359573768</v>
      </c>
      <c r="E12" s="567">
        <f>'1. mell.bevétel_össz'!E11-'26._önként_össz_bev'!E13-'26._államig_össz_bev'!E12</f>
        <v>359573768</v>
      </c>
      <c r="F12" s="567">
        <f>'1. mell.bevétel_össz'!F11-'26._önként_össz_bev'!F13-'26._államig_össz_bev'!F12</f>
        <v>359573768</v>
      </c>
      <c r="G12" s="567">
        <f>'1. mell.bevétel_össz'!G11-'26._önként_össz_bev'!G13-'26._államig_össz_bev'!G12</f>
        <v>0</v>
      </c>
      <c r="H12" s="16">
        <f t="shared" ref="H12:H75" si="2">+E12-D12</f>
        <v>0</v>
      </c>
      <c r="I12" s="626">
        <f>'1. mell.bevétel_össz'!I11-'26._önként_össz_bev'!I13-'26._államig_össz_bev'!I12</f>
        <v>0</v>
      </c>
      <c r="J12" s="16">
        <f>'1. mell.bevétel_össz'!J11-'26._önként_össz_bev'!J13-'26._államig_össz_bev'!J12</f>
        <v>273276053</v>
      </c>
      <c r="K12" s="16">
        <f>'1. mell.bevétel_össz'!K11-'26._önként_össz_bev'!K13-'26._államig_össz_bev'!K12</f>
        <v>0</v>
      </c>
      <c r="L12" s="16">
        <f>'1. mell.bevétel_össz'!L11-'26._önként_össz_bev'!L13</f>
        <v>75.999997029816697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</row>
    <row r="13" spans="1:9941" s="54" customFormat="1" ht="12.2" customHeight="1" x14ac:dyDescent="0.2">
      <c r="A13" s="1003" t="s">
        <v>92</v>
      </c>
      <c r="B13" s="717" t="s">
        <v>532</v>
      </c>
      <c r="C13" s="114">
        <f>'1. mell.bevétel_össz'!C12-'26._önként_össz_bev'!C14-'26._államig_össz_bev'!C13</f>
        <v>377696960</v>
      </c>
      <c r="D13" s="185">
        <f>'1. mell.bevétel_össz'!D12-'26._önként_össz_bev'!D14-'26._államig_össz_bev'!D13</f>
        <v>424643546</v>
      </c>
      <c r="E13" s="567">
        <f>'1. mell.bevétel_össz'!E12-'26._önként_össz_bev'!E14-'26._államig_össz_bev'!E13</f>
        <v>416324777</v>
      </c>
      <c r="F13" s="567">
        <f>'1. mell.bevétel_össz'!F12-'26._önként_össz_bev'!F14-'26._államig_össz_bev'!F13</f>
        <v>416324777</v>
      </c>
      <c r="G13" s="567">
        <f>'1. mell.bevétel_össz'!G12-'26._önként_össz_bev'!G14-'26._államig_össz_bev'!G13</f>
        <v>0</v>
      </c>
      <c r="H13" s="16">
        <f t="shared" si="2"/>
        <v>-8318769</v>
      </c>
      <c r="I13" s="626">
        <f>'1. mell.bevétel_össz'!I12-'26._önként_össz_bev'!I14-'26._államig_össz_bev'!I13</f>
        <v>0</v>
      </c>
      <c r="J13" s="16">
        <f>'1. mell.bevétel_össz'!J12-'26._önként_össz_bev'!J14-'26._államig_össz_bev'!J13</f>
        <v>318569711</v>
      </c>
      <c r="K13" s="16">
        <f>'1. mell.bevétel_össz'!K12-'26._önként_össz_bev'!K14-'26._államig_össz_bev'!K13</f>
        <v>0</v>
      </c>
      <c r="L13" s="16">
        <f>'1. mell.bevétel_össz'!L12-'26._önként_össz_bev'!L14</f>
        <v>76.519517597675915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</row>
    <row r="14" spans="1:9941" s="54" customFormat="1" ht="12.2" customHeight="1" x14ac:dyDescent="0.2">
      <c r="A14" s="1003" t="s">
        <v>93</v>
      </c>
      <c r="B14" s="717" t="s">
        <v>533</v>
      </c>
      <c r="C14" s="114">
        <f>'1. mell.bevétel_össz'!C13-'26._önként_össz_bev'!C15-'26._államig_össz_bev'!C14</f>
        <v>400034324</v>
      </c>
      <c r="D14" s="185">
        <f>'1. mell.bevétel_össz'!D13-'26._önként_össz_bev'!D15-'26._államig_össz_bev'!D14</f>
        <v>508238691</v>
      </c>
      <c r="E14" s="567">
        <f>'1. mell.bevétel_össz'!E13-'26._önként_össz_bev'!E15-'26._államig_össz_bev'!E14</f>
        <v>546489046</v>
      </c>
      <c r="F14" s="567">
        <f>'1. mell.bevétel_össz'!F13-'26._önként_össz_bev'!F15-'26._államig_össz_bev'!F14</f>
        <v>555165758</v>
      </c>
      <c r="G14" s="567">
        <f>'1. mell.bevétel_össz'!G13-'26._önként_össz_bev'!G15-'26._államig_össz_bev'!G14</f>
        <v>0</v>
      </c>
      <c r="H14" s="16">
        <f t="shared" si="2"/>
        <v>38250355</v>
      </c>
      <c r="I14" s="626">
        <f>'1. mell.bevétel_össz'!I13-'26._önként_össz_bev'!I15-'26._államig_össz_bev'!I14</f>
        <v>0</v>
      </c>
      <c r="J14" s="16">
        <f>'1. mell.bevétel_össz'!J13-'26._önként_össz_bev'!J15-'26._államig_össz_bev'!J14</f>
        <v>434866984</v>
      </c>
      <c r="K14" s="16">
        <f>'1. mell.bevétel_össz'!K13-'26._önként_össz_bev'!K15-'26._államig_össz_bev'!K14</f>
        <v>0</v>
      </c>
      <c r="L14" s="16">
        <f>'1. mell.bevétel_össz'!L13-'26._önként_össz_bev'!L15</f>
        <v>78.331016950076389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</row>
    <row r="15" spans="1:9941" s="54" customFormat="1" ht="12.2" customHeight="1" x14ac:dyDescent="0.2">
      <c r="A15" s="1003" t="s">
        <v>90</v>
      </c>
      <c r="B15" s="717" t="s">
        <v>534</v>
      </c>
      <c r="C15" s="114">
        <f>'1. mell.bevétel_össz'!C14-'26._önként_össz_bev'!C16-'26._államig_össz_bev'!C15</f>
        <v>142059812</v>
      </c>
      <c r="D15" s="185">
        <f>'1. mell.bevétel_össz'!D14-'26._önként_össz_bev'!D16-'26._államig_össz_bev'!D15</f>
        <v>149375054</v>
      </c>
      <c r="E15" s="567">
        <f>'1. mell.bevétel_össz'!E14-'26._önként_össz_bev'!E16-'26._államig_össz_bev'!E15</f>
        <v>161469787</v>
      </c>
      <c r="F15" s="567">
        <f>'1. mell.bevétel_össz'!F14-'26._önként_össz_bev'!F16-'26._államig_össz_bev'!F15</f>
        <v>161469787</v>
      </c>
      <c r="G15" s="567">
        <f>'1. mell.bevétel_össz'!G14-'26._önként_össz_bev'!G16-'26._államig_össz_bev'!G15</f>
        <v>0</v>
      </c>
      <c r="H15" s="16">
        <f t="shared" si="2"/>
        <v>12094733</v>
      </c>
      <c r="I15" s="626">
        <f>'1. mell.bevétel_össz'!I14-'26._önként_össz_bev'!I16-'26._államig_össz_bev'!I15</f>
        <v>0</v>
      </c>
      <c r="J15" s="16">
        <f>'1. mell.bevétel_össz'!J14-'26._önként_össz_bev'!J16-'26._államig_össz_bev'!J15</f>
        <v>119572409</v>
      </c>
      <c r="K15" s="16">
        <f>'1. mell.bevétel_össz'!K14-'26._önként_össz_bev'!K16-'26._államig_össz_bev'!K15</f>
        <v>0</v>
      </c>
      <c r="L15" s="16">
        <f>'1. mell.bevétel_össz'!L14-'26._önként_össz_bev'!L16</f>
        <v>74.052496892189495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</row>
    <row r="16" spans="1:9941" s="54" customFormat="1" ht="12.2" customHeight="1" x14ac:dyDescent="0.2">
      <c r="A16" s="1003" t="s">
        <v>147</v>
      </c>
      <c r="B16" s="717" t="s">
        <v>189</v>
      </c>
      <c r="C16" s="114">
        <f>'1. mell.bevétel_össz'!C15-'26._önként_össz_bev'!C17-'26._államig_össz_bev'!C16</f>
        <v>33741611</v>
      </c>
      <c r="D16" s="185">
        <f>'1. mell.bevétel_össz'!D15-'26._önként_össz_bev'!D17-'26._államig_össz_bev'!D16</f>
        <v>65030355</v>
      </c>
      <c r="E16" s="567">
        <f>'1. mell.bevétel_össz'!E15-'26._önként_össz_bev'!E17-'26._államig_össz_bev'!E16</f>
        <v>65030355</v>
      </c>
      <c r="F16" s="567">
        <f>'1. mell.bevétel_össz'!F15-'26._önként_össz_bev'!F17-'26._államig_össz_bev'!F16</f>
        <v>65030355</v>
      </c>
      <c r="G16" s="567">
        <f>'1. mell.bevétel_össz'!G15-'26._önként_össz_bev'!G17-'26._államig_össz_bev'!G16</f>
        <v>0</v>
      </c>
      <c r="H16" s="16">
        <f t="shared" si="2"/>
        <v>0</v>
      </c>
      <c r="I16" s="626">
        <f>'1. mell.bevétel_össz'!I15-'26._önként_össz_bev'!I17-'26._államig_össz_bev'!I16</f>
        <v>0</v>
      </c>
      <c r="J16" s="16">
        <f>'1. mell.bevétel_össz'!J15-'26._önként_össz_bev'!J17-'26._államig_össz_bev'!J16</f>
        <v>49423075</v>
      </c>
      <c r="K16" s="16">
        <f>'1. mell.bevétel_össz'!K15-'26._önként_össz_bev'!K17-'26._államig_össz_bev'!K16</f>
        <v>0</v>
      </c>
      <c r="L16" s="16">
        <f>'1. mell.bevétel_össz'!L15-'26._önként_össz_bev'!L17</f>
        <v>76.000007996265737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</row>
    <row r="17" spans="1:9941" s="54" customFormat="1" ht="12.2" customHeight="1" x14ac:dyDescent="0.2">
      <c r="A17" s="1005" t="s">
        <v>149</v>
      </c>
      <c r="B17" s="717" t="s">
        <v>271</v>
      </c>
      <c r="C17" s="114">
        <f>'1. mell.bevétel_össz'!C16-'26._önként_össz_bev'!C18-'26._államig_össz_bev'!C17</f>
        <v>0</v>
      </c>
      <c r="D17" s="185">
        <f>'1. mell.bevétel_össz'!D16-'26._önként_össz_bev'!D18-'26._államig_össz_bev'!D17</f>
        <v>0</v>
      </c>
      <c r="E17" s="567">
        <f>'1. mell.bevétel_össz'!E16-'26._önként_össz_bev'!E18-'26._államig_össz_bev'!E17</f>
        <v>0</v>
      </c>
      <c r="F17" s="567">
        <f>'1. mell.bevétel_össz'!F16-'26._önként_össz_bev'!F18-'26._államig_össz_bev'!F17</f>
        <v>0</v>
      </c>
      <c r="G17" s="567">
        <f>'1. mell.bevétel_össz'!G16-'26._önként_össz_bev'!G18-'26._államig_össz_bev'!G17</f>
        <v>0</v>
      </c>
      <c r="H17" s="16">
        <f t="shared" si="2"/>
        <v>0</v>
      </c>
      <c r="I17" s="626">
        <f>'1. mell.bevétel_össz'!I16-'26._önként_össz_bev'!I18-'26._államig_össz_bev'!I17</f>
        <v>0</v>
      </c>
      <c r="J17" s="16">
        <f>'1. mell.bevétel_össz'!J16-'26._önként_össz_bev'!J18-'26._államig_össz_bev'!J17</f>
        <v>0</v>
      </c>
      <c r="K17" s="16">
        <f>'1. mell.bevétel_össz'!K16-'26._önként_össz_bev'!K18-'26._államig_össz_bev'!K17</f>
        <v>0</v>
      </c>
      <c r="L17" s="16" t="e">
        <f>'1. mell.bevétel_össz'!L16-'26._önként_össz_bev'!L18</f>
        <v>#VALUE!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</row>
    <row r="18" spans="1:9941" s="26" customFormat="1" ht="12.2" customHeight="1" x14ac:dyDescent="0.2">
      <c r="A18" s="1005" t="s">
        <v>151</v>
      </c>
      <c r="B18" s="717" t="s">
        <v>272</v>
      </c>
      <c r="C18" s="114">
        <f>'1. mell.bevétel_össz'!C17-'26._önként_össz_bev'!C19-'26._államig_össz_bev'!C18</f>
        <v>0</v>
      </c>
      <c r="D18" s="664">
        <f>'1. mell.bevétel_össz'!D17-'26._önként_össz_bev'!D19-'26._államig_össz_bev'!D18</f>
        <v>0</v>
      </c>
      <c r="E18" s="578">
        <f>'1. mell.bevétel_össz'!E17-'26._önként_össz_bev'!E19-'26._államig_össz_bev'!E18</f>
        <v>15019663</v>
      </c>
      <c r="F18" s="578">
        <f>'1. mell.bevétel_össz'!F17-'26._önként_össz_bev'!F19-'26._államig_össz_bev'!F18</f>
        <v>15019663</v>
      </c>
      <c r="G18" s="578">
        <f>'1. mell.bevétel_össz'!G17-'26._önként_össz_bev'!G19-'26._államig_össz_bev'!G18</f>
        <v>0</v>
      </c>
      <c r="H18" s="528">
        <f t="shared" si="2"/>
        <v>15019663</v>
      </c>
      <c r="I18" s="672">
        <f>'1. mell.bevétel_össz'!I17-'26._önként_össz_bev'!I19-'26._államig_össz_bev'!I18</f>
        <v>0</v>
      </c>
      <c r="J18" s="528">
        <f>'1. mell.bevétel_össz'!J17-'26._önként_össz_bev'!J19-'26._államig_össz_bev'!J18</f>
        <v>15019663</v>
      </c>
      <c r="K18" s="528">
        <f>'1. mell.bevétel_össz'!K17-'26._önként_össz_bev'!K19-'26._államig_össz_bev'!K18</f>
        <v>0</v>
      </c>
      <c r="L18" s="528">
        <f>'1. mell.bevétel_össz'!L17-'26._önként_össz_bev'!L19</f>
        <v>100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</row>
    <row r="19" spans="1:9941" s="26" customFormat="1" ht="12.2" customHeight="1" x14ac:dyDescent="0.2">
      <c r="A19" s="1010" t="s">
        <v>153</v>
      </c>
      <c r="B19" s="687" t="s">
        <v>623</v>
      </c>
      <c r="C19" s="1327">
        <f>'1. mell.bevétel_össz'!C18-'26._önként_össz_bev'!C20-'26._államig_össz_bev'!C19</f>
        <v>1301228875</v>
      </c>
      <c r="D19" s="1325">
        <f>'1. mell.bevétel_össz'!D18-'26._önként_össz_bev'!D20-'26._államig_össz_bev'!D19</f>
        <v>1506861414</v>
      </c>
      <c r="E19" s="1328">
        <f>'1. mell.bevétel_össz'!E18-'26._önként_össz_bev'!E20-'26._államig_össz_bev'!E19</f>
        <v>1563907396</v>
      </c>
      <c r="F19" s="1329">
        <f>'1. mell.bevétel_össz'!F18-'26._önként_össz_bev'!F20-'26._államig_össz_bev'!F19</f>
        <v>1572584108</v>
      </c>
      <c r="G19" s="1329">
        <f>'1. mell.bevétel_össz'!G18-'26._önként_össz_bev'!G20-'26._államig_össz_bev'!G19</f>
        <v>0</v>
      </c>
      <c r="H19" s="1330">
        <f t="shared" si="2"/>
        <v>57045982</v>
      </c>
      <c r="I19" s="826">
        <f>'1. mell.bevétel_össz'!I18-'26._önként_össz_bev'!I20-'26._államig_össz_bev'!I19</f>
        <v>0</v>
      </c>
      <c r="J19" s="527">
        <f>'1. mell.bevétel_össz'!J18-'26._önként_össz_bev'!J20-'26._államig_össz_bev'!J19</f>
        <v>1210727895</v>
      </c>
      <c r="K19" s="527">
        <f>'1. mell.bevétel_össz'!K18-'26._önként_össz_bev'!K20-'26._államig_össz_bev'!K19</f>
        <v>0</v>
      </c>
      <c r="L19" s="527" t="e">
        <f t="shared" ref="L19" si="3">SUM(L20:L23)</f>
        <v>#VALUE!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</row>
    <row r="20" spans="1:9941" s="26" customFormat="1" ht="12.2" customHeight="1" x14ac:dyDescent="0.2">
      <c r="A20" s="12" t="s">
        <v>154</v>
      </c>
      <c r="B20" s="716" t="s">
        <v>159</v>
      </c>
      <c r="C20" s="114">
        <f>'1. mell.bevétel_össz'!C19-'26._önként_össz_bev'!C21-'26._államig_össz_bev'!C20</f>
        <v>0</v>
      </c>
      <c r="D20" s="185">
        <f>'1. mell.bevétel_össz'!D19-'26._önként_össz_bev'!D21-'26._államig_össz_bev'!D20</f>
        <v>0</v>
      </c>
      <c r="E20" s="567">
        <f>'1. mell.bevétel_össz'!E19-'26._önként_össz_bev'!E21-'26._államig_össz_bev'!E20</f>
        <v>0</v>
      </c>
      <c r="F20" s="567">
        <f>'1. mell.bevétel_össz'!F19-'26._önként_össz_bev'!F21-'26._államig_össz_bev'!F20</f>
        <v>0</v>
      </c>
      <c r="G20" s="567">
        <f>'1. mell.bevétel_össz'!G19-'26._önként_össz_bev'!G21-'26._államig_össz_bev'!G20</f>
        <v>0</v>
      </c>
      <c r="H20" s="16">
        <f t="shared" si="2"/>
        <v>0</v>
      </c>
      <c r="I20" s="626">
        <f>'1. mell.bevétel_össz'!I19-'26._önként_össz_bev'!I21-'26._államig_össz_bev'!I20</f>
        <v>0</v>
      </c>
      <c r="J20" s="16">
        <f>'1. mell.bevétel_össz'!J19-'26._önként_össz_bev'!J21-'26._államig_össz_bev'!J20</f>
        <v>0</v>
      </c>
      <c r="K20" s="16">
        <f>'1. mell.bevétel_össz'!K19-'26._önként_össz_bev'!K21-'26._államig_össz_bev'!K20</f>
        <v>0</v>
      </c>
      <c r="L20" s="16" t="e">
        <f>'1. mell.bevétel_össz'!L19-'26._önként_össz_bev'!L21</f>
        <v>#VALUE!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</row>
    <row r="21" spans="1:9941" s="26" customFormat="1" ht="12.2" customHeight="1" x14ac:dyDescent="0.2">
      <c r="A21" s="12" t="s">
        <v>156</v>
      </c>
      <c r="B21" s="717" t="s">
        <v>190</v>
      </c>
      <c r="C21" s="114">
        <f>'1. mell.bevétel_össz'!C20-'26._önként_össz_bev'!C22-'26._államig_össz_bev'!C21</f>
        <v>0</v>
      </c>
      <c r="D21" s="325">
        <f>'1. mell.bevétel_össz'!D20-'26._önként_össz_bev'!D22-'26._államig_össz_bev'!D21</f>
        <v>0</v>
      </c>
      <c r="E21" s="568">
        <f>'1. mell.bevétel_össz'!E20-'26._önként_össz_bev'!E22-'26._államig_össz_bev'!E21</f>
        <v>0</v>
      </c>
      <c r="F21" s="568">
        <f>'1. mell.bevétel_össz'!F20-'26._önként_össz_bev'!F22-'26._államig_össz_bev'!F21</f>
        <v>0</v>
      </c>
      <c r="G21" s="568">
        <f>'1. mell.bevétel_össz'!G20-'26._önként_össz_bev'!G22-'26._államig_össz_bev'!G21</f>
        <v>0</v>
      </c>
      <c r="H21" s="327">
        <f t="shared" si="2"/>
        <v>0</v>
      </c>
      <c r="I21" s="627">
        <f>'1. mell.bevétel_össz'!I20-'26._önként_össz_bev'!I22-'26._államig_össz_bev'!I21</f>
        <v>0</v>
      </c>
      <c r="J21" s="327">
        <f>'1. mell.bevétel_össz'!J20-'26._önként_össz_bev'!J22-'26._államig_össz_bev'!J21</f>
        <v>0</v>
      </c>
      <c r="K21" s="327">
        <f>'1. mell.bevétel_össz'!K20-'26._önként_össz_bev'!K22-'26._államig_össz_bev'!K21</f>
        <v>0</v>
      </c>
      <c r="L21" s="327" t="e">
        <f>'1. mell.bevétel_össz'!L20-'26._önként_össz_bev'!L22</f>
        <v>#VALUE!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</row>
    <row r="22" spans="1:9941" s="26" customFormat="1" ht="12.2" customHeight="1" x14ac:dyDescent="0.2">
      <c r="A22" s="12" t="s">
        <v>276</v>
      </c>
      <c r="B22" s="717" t="s">
        <v>191</v>
      </c>
      <c r="C22" s="114">
        <f>'1. mell.bevétel_össz'!C21-'26._önként_össz_bev'!C23-'26._államig_össz_bev'!C22</f>
        <v>0</v>
      </c>
      <c r="D22" s="325">
        <f>'1. mell.bevétel_össz'!D21-'26._önként_össz_bev'!D23-'26._államig_össz_bev'!D22</f>
        <v>0</v>
      </c>
      <c r="E22" s="568">
        <f>'1. mell.bevétel_össz'!E21-'26._önként_össz_bev'!E23-'26._államig_össz_bev'!E22</f>
        <v>0</v>
      </c>
      <c r="F22" s="568">
        <f>'1. mell.bevétel_össz'!F21-'26._önként_össz_bev'!F23-'26._államig_össz_bev'!F22</f>
        <v>0</v>
      </c>
      <c r="G22" s="568">
        <f>'1. mell.bevétel_össz'!G21-'26._önként_össz_bev'!G23-'26._államig_össz_bev'!G22</f>
        <v>0</v>
      </c>
      <c r="H22" s="327">
        <f t="shared" si="2"/>
        <v>0</v>
      </c>
      <c r="I22" s="627">
        <f>'1. mell.bevétel_össz'!I21-'26._önként_össz_bev'!I23-'26._államig_össz_bev'!I22</f>
        <v>0</v>
      </c>
      <c r="J22" s="327">
        <f>'1. mell.bevétel_össz'!J21-'26._önként_össz_bev'!J23-'26._államig_össz_bev'!J22</f>
        <v>0</v>
      </c>
      <c r="K22" s="327">
        <f>'1. mell.bevétel_össz'!K21-'26._önként_össz_bev'!K23-'26._államig_össz_bev'!K22</f>
        <v>0</v>
      </c>
      <c r="L22" s="327" t="e">
        <f>'1. mell.bevétel_össz'!L21-'26._önként_össz_bev'!L23</f>
        <v>#VALUE!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</row>
    <row r="23" spans="1:9941" s="26" customFormat="1" ht="12.2" customHeight="1" x14ac:dyDescent="0.2">
      <c r="A23" s="12" t="s">
        <v>595</v>
      </c>
      <c r="B23" s="717" t="s">
        <v>192</v>
      </c>
      <c r="C23" s="114">
        <f>'1. mell.bevétel_össz'!C22-'26._önként_össz_bev'!C24-'26._államig_össz_bev'!C23</f>
        <v>104772432</v>
      </c>
      <c r="D23" s="325">
        <f>'1. mell.bevétel_össz'!D22-'26._önként_össz_bev'!D24-'26._államig_össz_bev'!D23</f>
        <v>121871669</v>
      </c>
      <c r="E23" s="568">
        <f>'1. mell.bevétel_össz'!E22-'26._önként_össz_bev'!E24-'26._államig_össz_bev'!E23</f>
        <v>125095593</v>
      </c>
      <c r="F23" s="568">
        <f>'1. mell.bevétel_össz'!F22-'26._önként_össz_bev'!F24-'26._államig_össz_bev'!F23</f>
        <v>1215581684</v>
      </c>
      <c r="G23" s="568">
        <f>'1. mell.bevétel_össz'!G22-'26._önként_össz_bev'!G24-'26._államig_össz_bev'!G23</f>
        <v>0</v>
      </c>
      <c r="H23" s="327">
        <f t="shared" si="2"/>
        <v>3223924</v>
      </c>
      <c r="I23" s="627">
        <f>'1. mell.bevétel_össz'!I22-'26._önként_össz_bev'!I24-'26._államig_össz_bev'!I23</f>
        <v>0</v>
      </c>
      <c r="J23" s="327">
        <f>'1. mell.bevétel_össz'!J22-'26._önként_össz_bev'!J24-'26._államig_össz_bev'!J23</f>
        <v>976217614</v>
      </c>
      <c r="K23" s="327">
        <f>'1. mell.bevétel_össz'!K22-'26._önként_össz_bev'!K24-'26._államig_össz_bev'!K23</f>
        <v>0</v>
      </c>
      <c r="L23" s="327">
        <f>'1. mell.bevétel_össz'!L22-'26._önként_össz_bev'!L24</f>
        <v>80.308680761596605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</row>
    <row r="24" spans="1:9941" s="54" customFormat="1" ht="12.2" customHeight="1" thickBot="1" x14ac:dyDescent="0.25">
      <c r="A24" s="12" t="s">
        <v>596</v>
      </c>
      <c r="B24" s="496" t="s">
        <v>643</v>
      </c>
      <c r="C24" s="114">
        <f>'1. mell.bevétel_össz'!C23-'26._önként_össz_bev'!C25-'26._államig_össz_bev'!C24</f>
        <v>0</v>
      </c>
      <c r="D24" s="625">
        <f>'1. mell.bevétel_össz'!D23-'26._önként_össz_bev'!D25-'26._államig_össz_bev'!D24</f>
        <v>16489854</v>
      </c>
      <c r="E24" s="569">
        <f>'1. mell.bevétel_össz'!E23-'26._önként_össz_bev'!E25-'26._államig_össz_bev'!E24</f>
        <v>16489854</v>
      </c>
      <c r="F24" s="569">
        <f>'1. mell.bevétel_össz'!F23-'26._önként_össz_bev'!F25-'26._államig_össz_bev'!F24</f>
        <v>16489854</v>
      </c>
      <c r="G24" s="569">
        <f>'1. mell.bevétel_össz'!G23-'26._önként_össz_bev'!G25-'26._államig_össz_bev'!G24</f>
        <v>0</v>
      </c>
      <c r="H24" s="525">
        <f t="shared" si="2"/>
        <v>0</v>
      </c>
      <c r="I24" s="629">
        <f>'1. mell.bevétel_össz'!I23-'26._önként_össz_bev'!I25-'26._államig_össz_bev'!I24</f>
        <v>0</v>
      </c>
      <c r="J24" s="525">
        <f>'1. mell.bevétel_össz'!J23-'26._önként_össz_bev'!J25-'26._államig_össz_bev'!J24</f>
        <v>16489854</v>
      </c>
      <c r="K24" s="525">
        <f>'1. mell.bevétel_össz'!K23-'26._önként_össz_bev'!K25-'26._államig_össz_bev'!K24</f>
        <v>0</v>
      </c>
      <c r="L24" s="525">
        <f>'1. mell.bevétel_össz'!L23-'26._önként_össz_bev'!L25</f>
        <v>100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</row>
    <row r="25" spans="1:9941" s="54" customFormat="1" ht="12.2" customHeight="1" thickBot="1" x14ac:dyDescent="0.25">
      <c r="A25" s="14" t="s">
        <v>13</v>
      </c>
      <c r="B25" s="72" t="s">
        <v>597</v>
      </c>
      <c r="C25" s="113">
        <f>+C26+C27+C28+C29</f>
        <v>0</v>
      </c>
      <c r="D25" s="186">
        <f t="shared" ref="D25:K25" si="4">+D26+D27+D28+D29</f>
        <v>229697587</v>
      </c>
      <c r="E25" s="566">
        <f t="shared" si="4"/>
        <v>229697587</v>
      </c>
      <c r="F25" s="566">
        <f t="shared" si="4"/>
        <v>229697587</v>
      </c>
      <c r="G25" s="566">
        <f t="shared" si="4"/>
        <v>0</v>
      </c>
      <c r="H25" s="28">
        <f t="shared" si="2"/>
        <v>0</v>
      </c>
      <c r="I25" s="628">
        <f t="shared" si="4"/>
        <v>0</v>
      </c>
      <c r="J25" s="28">
        <f t="shared" si="4"/>
        <v>229697587</v>
      </c>
      <c r="K25" s="28">
        <f t="shared" si="4"/>
        <v>0</v>
      </c>
      <c r="L25" s="28" t="e">
        <f t="shared" ref="L25" si="5">+L26+L27+L28+L29</f>
        <v>#VALUE!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</row>
    <row r="26" spans="1:9941" s="54" customFormat="1" ht="12.2" customHeight="1" x14ac:dyDescent="0.2">
      <c r="A26" s="12" t="s">
        <v>94</v>
      </c>
      <c r="B26" s="716" t="s">
        <v>193</v>
      </c>
      <c r="C26" s="114">
        <f>'1. mell.bevétel_össz'!C25-'26._önként_össz_bev'!C27-'26._államig_össz_bev'!C26</f>
        <v>0</v>
      </c>
      <c r="D26" s="185">
        <f>'1. mell.bevétel_össz'!D25-'26._önként_össz_bev'!D27-'26._államig_össz_bev'!D26</f>
        <v>0</v>
      </c>
      <c r="E26" s="567">
        <f>'1. mell.bevétel_össz'!E25-'26._önként_össz_bev'!E27-'26._államig_össz_bev'!E26</f>
        <v>0</v>
      </c>
      <c r="F26" s="567">
        <f>'1. mell.bevétel_össz'!F25-'26._önként_össz_bev'!F27-'26._államig_össz_bev'!F26</f>
        <v>0</v>
      </c>
      <c r="G26" s="567">
        <f>'1. mell.bevétel_össz'!G25-'26._önként_össz_bev'!G27-'26._államig_össz_bev'!G26</f>
        <v>0</v>
      </c>
      <c r="H26" s="16">
        <f t="shared" si="2"/>
        <v>0</v>
      </c>
      <c r="I26" s="626">
        <f>'1. mell.bevétel_össz'!I25-'26._önként_össz_bev'!I27-'26._államig_össz_bev'!I26</f>
        <v>0</v>
      </c>
      <c r="J26" s="16">
        <f>'1. mell.bevétel_össz'!J25-'26._önként_össz_bev'!J27-'26._államig_össz_bev'!J26</f>
        <v>0</v>
      </c>
      <c r="K26" s="16">
        <f>'1. mell.bevétel_össz'!K25-'26._önként_össz_bev'!K27-'26._államig_össz_bev'!K26</f>
        <v>0</v>
      </c>
      <c r="L26" s="16" t="e">
        <f>'1. mell.bevétel_össz'!L25-'26._önként_össz_bev'!L27</f>
        <v>#VALUE!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</row>
    <row r="27" spans="1:9941" s="54" customFormat="1" ht="12.2" customHeight="1" x14ac:dyDescent="0.2">
      <c r="A27" s="1003" t="s">
        <v>95</v>
      </c>
      <c r="B27" s="717" t="s">
        <v>194</v>
      </c>
      <c r="C27" s="401">
        <f>'1. mell.bevétel_össz'!C26-'26._önként_össz_bev'!C28-'26._államig_össz_bev'!C27</f>
        <v>0</v>
      </c>
      <c r="D27" s="325">
        <f>'1. mell.bevétel_össz'!D26-'26._önként_össz_bev'!D28-'26._államig_össz_bev'!D27</f>
        <v>0</v>
      </c>
      <c r="E27" s="568">
        <f>'1. mell.bevétel_össz'!E26-'26._önként_össz_bev'!E28-'26._államig_össz_bev'!E27</f>
        <v>0</v>
      </c>
      <c r="F27" s="568">
        <f>'1. mell.bevétel_össz'!F26-'26._önként_össz_bev'!F28-'26._államig_össz_bev'!F27</f>
        <v>0</v>
      </c>
      <c r="G27" s="568">
        <f>'1. mell.bevétel_össz'!G26-'26._önként_össz_bev'!G28-'26._államig_össz_bev'!G27</f>
        <v>0</v>
      </c>
      <c r="H27" s="327">
        <f t="shared" si="2"/>
        <v>0</v>
      </c>
      <c r="I27" s="627">
        <f>'1. mell.bevétel_össz'!I26-'26._önként_össz_bev'!I28-'26._államig_össz_bev'!I27</f>
        <v>0</v>
      </c>
      <c r="J27" s="327">
        <f>'1. mell.bevétel_össz'!J26-'26._önként_össz_bev'!J28-'26._államig_össz_bev'!J27</f>
        <v>0</v>
      </c>
      <c r="K27" s="327">
        <f>'1. mell.bevétel_össz'!K26-'26._önként_össz_bev'!K28-'26._államig_össz_bev'!K27</f>
        <v>0</v>
      </c>
      <c r="L27" s="327" t="e">
        <f>'1. mell.bevétel_össz'!L26-'26._önként_össz_bev'!L28</f>
        <v>#VALUE!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</row>
    <row r="28" spans="1:9941" s="54" customFormat="1" ht="12.2" customHeight="1" x14ac:dyDescent="0.2">
      <c r="A28" s="1003" t="s">
        <v>96</v>
      </c>
      <c r="B28" s="717" t="s">
        <v>196</v>
      </c>
      <c r="C28" s="401">
        <f>'1. mell.bevétel_össz'!C27-'26._önként_össz_bev'!C29-'26._államig_össz_bev'!C28</f>
        <v>0</v>
      </c>
      <c r="D28" s="325">
        <f>'1. mell.bevétel_össz'!D27-'26._önként_össz_bev'!D29-'26._államig_össz_bev'!D28</f>
        <v>0</v>
      </c>
      <c r="E28" s="568">
        <f>'1. mell.bevétel_össz'!E27-'26._önként_össz_bev'!E29-'26._államig_össz_bev'!E28</f>
        <v>0</v>
      </c>
      <c r="F28" s="568">
        <f>'1. mell.bevétel_össz'!F27-'26._önként_össz_bev'!F29-'26._államig_össz_bev'!F28</f>
        <v>0</v>
      </c>
      <c r="G28" s="568">
        <f>'1. mell.bevétel_össz'!G27-'26._önként_össz_bev'!G29-'26._államig_össz_bev'!G28</f>
        <v>0</v>
      </c>
      <c r="H28" s="327">
        <f t="shared" si="2"/>
        <v>0</v>
      </c>
      <c r="I28" s="627">
        <f>'1. mell.bevétel_össz'!I27-'26._önként_össz_bev'!I29-'26._államig_össz_bev'!I28</f>
        <v>0</v>
      </c>
      <c r="J28" s="327">
        <f>'1. mell.bevétel_össz'!J27-'26._önként_össz_bev'!J29-'26._államig_össz_bev'!J28</f>
        <v>0</v>
      </c>
      <c r="K28" s="327">
        <f>'1. mell.bevétel_össz'!K27-'26._önként_össz_bev'!K29-'26._államig_össz_bev'!K28</f>
        <v>0</v>
      </c>
      <c r="L28" s="327" t="e">
        <f>'1. mell.bevétel_össz'!L27-'26._önként_össz_bev'!L29</f>
        <v>#VALUE!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</row>
    <row r="29" spans="1:9941" s="54" customFormat="1" ht="12.2" customHeight="1" x14ac:dyDescent="0.2">
      <c r="A29" s="1003" t="s">
        <v>97</v>
      </c>
      <c r="B29" s="717" t="s">
        <v>197</v>
      </c>
      <c r="C29" s="401">
        <f>'1. mell.bevétel_össz'!C28-'26._önként_össz_bev'!C30-'26._államig_össz_bev'!C29</f>
        <v>0</v>
      </c>
      <c r="D29" s="325">
        <f>'1. mell.bevétel_össz'!D28-'26._önként_össz_bev'!D30-'26._államig_össz_bev'!D29</f>
        <v>229697587</v>
      </c>
      <c r="E29" s="568">
        <f>'1. mell.bevétel_össz'!E28-'26._önként_össz_bev'!E30-'26._államig_össz_bev'!E29</f>
        <v>229697587</v>
      </c>
      <c r="F29" s="568">
        <f>'1. mell.bevétel_össz'!F28-'26._önként_össz_bev'!F30-'26._államig_össz_bev'!F29</f>
        <v>229697587</v>
      </c>
      <c r="G29" s="568">
        <f>'1. mell.bevétel_össz'!G28-'26._önként_össz_bev'!G30-'26._államig_össz_bev'!G29</f>
        <v>0</v>
      </c>
      <c r="H29" s="327">
        <f t="shared" si="2"/>
        <v>0</v>
      </c>
      <c r="I29" s="627">
        <f>'1. mell.bevétel_össz'!I28-'26._önként_össz_bev'!I30-'26._államig_össz_bev'!I29</f>
        <v>0</v>
      </c>
      <c r="J29" s="327">
        <f>'1. mell.bevétel_össz'!J28-'26._önként_össz_bev'!J30-'26._államig_össz_bev'!J29</f>
        <v>229697587</v>
      </c>
      <c r="K29" s="327">
        <f>'1. mell.bevétel_össz'!K28-'26._önként_össz_bev'!K30-'26._államig_össz_bev'!K29</f>
        <v>0</v>
      </c>
      <c r="L29" s="327">
        <f>'1. mell.bevétel_össz'!L28-'26._önként_össz_bev'!L30</f>
        <v>100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</row>
    <row r="30" spans="1:9941" s="54" customFormat="1" ht="12.2" customHeight="1" thickBot="1" x14ac:dyDescent="0.25">
      <c r="A30" s="1005" t="s">
        <v>321</v>
      </c>
      <c r="B30" s="496" t="s">
        <v>273</v>
      </c>
      <c r="C30" s="504">
        <f>'1. mell.bevétel_össz'!C29-'26._önként_össz_bev'!C31-'26._államig_össz_bev'!C30</f>
        <v>0</v>
      </c>
      <c r="D30" s="625">
        <f>'1. mell.bevétel_össz'!D29-'26._önként_össz_bev'!D31-'26._államig_össz_bev'!D30</f>
        <v>229697587</v>
      </c>
      <c r="E30" s="569">
        <f>'1. mell.bevétel_össz'!E29-'26._önként_össz_bev'!E31-'26._államig_össz_bev'!E30</f>
        <v>229697587</v>
      </c>
      <c r="F30" s="569">
        <f>'1. mell.bevétel_össz'!F29-'26._önként_össz_bev'!F31-'26._államig_össz_bev'!F30</f>
        <v>229697587</v>
      </c>
      <c r="G30" s="569">
        <f>'1. mell.bevétel_össz'!G29-'26._önként_össz_bev'!G31-'26._államig_össz_bev'!G30</f>
        <v>0</v>
      </c>
      <c r="H30" s="525">
        <f t="shared" si="2"/>
        <v>0</v>
      </c>
      <c r="I30" s="629">
        <f>'1. mell.bevétel_össz'!I29-'26._önként_össz_bev'!I31-'26._államig_össz_bev'!I30</f>
        <v>0</v>
      </c>
      <c r="J30" s="525">
        <f>'1. mell.bevétel_össz'!J29-'26._önként_össz_bev'!J31-'26._államig_össz_bev'!J30</f>
        <v>229697587</v>
      </c>
      <c r="K30" s="525">
        <f>'1. mell.bevétel_össz'!K29-'26._önként_össz_bev'!K31-'26._államig_össz_bev'!K30</f>
        <v>0</v>
      </c>
      <c r="L30" s="525">
        <f>'1. mell.bevétel_össz'!L29-'26._önként_össz_bev'!L31</f>
        <v>100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</row>
    <row r="31" spans="1:9941" s="54" customFormat="1" ht="12.2" customHeight="1" thickBot="1" x14ac:dyDescent="0.25">
      <c r="A31" s="14" t="s">
        <v>625</v>
      </c>
      <c r="B31" s="72" t="s">
        <v>598</v>
      </c>
      <c r="C31" s="1023">
        <f>C32+C34+C36+C37+C40</f>
        <v>988284785</v>
      </c>
      <c r="D31" s="187">
        <f t="shared" ref="D31:K31" si="6">D32+D34+D36+D37+D40</f>
        <v>1182367293</v>
      </c>
      <c r="E31" s="532">
        <f t="shared" si="6"/>
        <v>2215387937</v>
      </c>
      <c r="F31" s="532">
        <f t="shared" si="6"/>
        <v>5377000000</v>
      </c>
      <c r="G31" s="532">
        <f t="shared" si="6"/>
        <v>0</v>
      </c>
      <c r="H31" s="74">
        <f t="shared" si="2"/>
        <v>1033020644</v>
      </c>
      <c r="I31" s="638">
        <f t="shared" si="6"/>
        <v>0</v>
      </c>
      <c r="J31" s="74">
        <f t="shared" si="6"/>
        <v>5896649464</v>
      </c>
      <c r="K31" s="74">
        <f t="shared" si="6"/>
        <v>0</v>
      </c>
      <c r="L31" s="74" t="e">
        <f t="shared" ref="L31" si="7">L32+L34+L36+L37+L40</f>
        <v>#VALUE!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</row>
    <row r="32" spans="1:9941" s="54" customFormat="1" ht="12.2" customHeight="1" x14ac:dyDescent="0.2">
      <c r="A32" s="12" t="s">
        <v>98</v>
      </c>
      <c r="B32" s="716" t="s">
        <v>278</v>
      </c>
      <c r="C32" s="115">
        <f>'1. mell.bevétel_össz'!C31-'26._önként_össz_bev'!C33-'26._államig_össz_bev'!C32</f>
        <v>0</v>
      </c>
      <c r="D32" s="200">
        <f>'1. mell.bevétel_össz'!D31-'26._önként_össz_bev'!D33-'26._államig_össz_bev'!D32</f>
        <v>0</v>
      </c>
      <c r="E32" s="570">
        <f>'1. mell.bevétel_össz'!E31-'26._önként_össz_bev'!E33-'26._államig_össz_bev'!E32</f>
        <v>0</v>
      </c>
      <c r="F32" s="570">
        <f>'1. mell.bevétel_össz'!F31-'26._önként_össz_bev'!F33-'26._államig_össz_bev'!F32</f>
        <v>650000000</v>
      </c>
      <c r="G32" s="570">
        <f>'1. mell.bevétel_össz'!G31-'26._önként_össz_bev'!G33-'26._államig_össz_bev'!G32</f>
        <v>0</v>
      </c>
      <c r="H32" s="75">
        <f t="shared" si="2"/>
        <v>0</v>
      </c>
      <c r="I32" s="637">
        <f>'1. mell.bevétel_össz'!I31-'26._önként_össz_bev'!I33-'26._államig_össz_bev'!I32</f>
        <v>0</v>
      </c>
      <c r="J32" s="75">
        <f>'1. mell.bevétel_össz'!J31-'26._önként_össz_bev'!J33-'26._államig_össz_bev'!J32</f>
        <v>667954053</v>
      </c>
      <c r="K32" s="75">
        <f>'1. mell.bevétel_össz'!K31-'26._önként_össz_bev'!K33-'26._államig_össz_bev'!K32</f>
        <v>0</v>
      </c>
      <c r="L32" s="75">
        <f>'1. mell.bevétel_össz'!L31-'26._önként_össz_bev'!L33</f>
        <v>102.76216199999999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</row>
    <row r="33" spans="1:9941" s="54" customFormat="1" ht="12.2" customHeight="1" x14ac:dyDescent="0.2">
      <c r="A33" s="1003" t="s">
        <v>599</v>
      </c>
      <c r="B33" s="717" t="s">
        <v>230</v>
      </c>
      <c r="C33" s="401">
        <f>'1. mell.bevétel_össz'!C32-'26._önként_össz_bev'!C34-'26._államig_össz_bev'!C33</f>
        <v>0</v>
      </c>
      <c r="D33" s="325">
        <f>'1. mell.bevétel_össz'!D32-'26._önként_össz_bev'!D34-'26._államig_össz_bev'!D33</f>
        <v>0</v>
      </c>
      <c r="E33" s="568">
        <f>'1. mell.bevétel_össz'!E32-'26._önként_össz_bev'!E34-'26._államig_össz_bev'!E33</f>
        <v>0</v>
      </c>
      <c r="F33" s="568">
        <f>'1. mell.bevétel_össz'!F32-'26._önként_össz_bev'!F34-'26._államig_össz_bev'!F33</f>
        <v>650000000</v>
      </c>
      <c r="G33" s="568">
        <f>'1. mell.bevétel_össz'!G32-'26._önként_össz_bev'!G34-'26._államig_össz_bev'!G33</f>
        <v>0</v>
      </c>
      <c r="H33" s="327">
        <f t="shared" si="2"/>
        <v>0</v>
      </c>
      <c r="I33" s="627">
        <f>'1. mell.bevétel_össz'!I32-'26._önként_össz_bev'!I34-'26._államig_össz_bev'!I33</f>
        <v>0</v>
      </c>
      <c r="J33" s="327">
        <f>'1. mell.bevétel_össz'!J32-'26._önként_össz_bev'!J34-'26._államig_össz_bev'!J33</f>
        <v>667954053</v>
      </c>
      <c r="K33" s="327">
        <f>'1. mell.bevétel_össz'!K32-'26._önként_össz_bev'!K34-'26._államig_össz_bev'!K33</f>
        <v>0</v>
      </c>
      <c r="L33" s="327">
        <f>'1. mell.bevétel_össz'!L32-'26._önként_össz_bev'!L34</f>
        <v>102.76216199999999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</row>
    <row r="34" spans="1:9941" s="54" customFormat="1" ht="12.2" customHeight="1" x14ac:dyDescent="0.2">
      <c r="A34" s="1003" t="s">
        <v>99</v>
      </c>
      <c r="B34" s="716" t="s">
        <v>279</v>
      </c>
      <c r="C34" s="401">
        <f>'1. mell.bevétel_össz'!C33-'26._önként_össz_bev'!C35-'26._államig_össz_bev'!C34</f>
        <v>988284785</v>
      </c>
      <c r="D34" s="325">
        <f>'1. mell.bevétel_össz'!D33-'26._önként_össz_bev'!D35-'26._államig_össz_bev'!D34</f>
        <v>1182367293</v>
      </c>
      <c r="E34" s="568">
        <f>'1. mell.bevétel_össz'!E33-'26._önként_össz_bev'!E35-'26._államig_össz_bev'!E34</f>
        <v>2215387937</v>
      </c>
      <c r="F34" s="568">
        <f>'1. mell.bevétel_össz'!F33-'26._önként_össz_bev'!F35-'26._államig_össz_bev'!F34</f>
        <v>4700000000</v>
      </c>
      <c r="G34" s="568">
        <f>'1. mell.bevétel_össz'!G33-'26._önként_össz_bev'!G35-'26._államig_össz_bev'!G34</f>
        <v>0</v>
      </c>
      <c r="H34" s="327">
        <f t="shared" si="2"/>
        <v>1033020644</v>
      </c>
      <c r="I34" s="627">
        <f>'1. mell.bevétel_össz'!I33-'26._önként_össz_bev'!I35-'26._államig_össz_bev'!I34</f>
        <v>0</v>
      </c>
      <c r="J34" s="327">
        <f>'1. mell.bevétel_össz'!J33-'26._önként_össz_bev'!J35-'26._államig_össz_bev'!J34</f>
        <v>5199156612</v>
      </c>
      <c r="K34" s="327">
        <f>'1. mell.bevétel_össz'!K33-'26._önként_össz_bev'!K35-'26._államig_össz_bev'!K34</f>
        <v>0</v>
      </c>
      <c r="L34" s="327">
        <f>'1. mell.bevétel_össz'!L33-'26._önként_össz_bev'!L35</f>
        <v>110.62035344680852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</row>
    <row r="35" spans="1:9941" s="54" customFormat="1" ht="12.2" customHeight="1" x14ac:dyDescent="0.2">
      <c r="A35" s="1003" t="s">
        <v>600</v>
      </c>
      <c r="B35" s="717" t="s">
        <v>280</v>
      </c>
      <c r="C35" s="401">
        <f>'1. mell.bevétel_össz'!C34-'26._önként_össz_bev'!C36-'26._államig_össz_bev'!C35</f>
        <v>988284785</v>
      </c>
      <c r="D35" s="325">
        <f>'1. mell.bevétel_össz'!D34-'26._önként_össz_bev'!D36-'26._államig_össz_bev'!D35</f>
        <v>1182367293</v>
      </c>
      <c r="E35" s="568">
        <f>'1. mell.bevétel_össz'!E34-'26._önként_össz_bev'!E36-'26._államig_össz_bev'!E35</f>
        <v>2215387937</v>
      </c>
      <c r="F35" s="568">
        <f>'1. mell.bevétel_össz'!F34-'26._önként_össz_bev'!F36-'26._államig_össz_bev'!F35</f>
        <v>4700000000</v>
      </c>
      <c r="G35" s="568">
        <f>'1. mell.bevétel_össz'!G34-'26._önként_össz_bev'!G36-'26._államig_össz_bev'!G35</f>
        <v>0</v>
      </c>
      <c r="H35" s="327">
        <f t="shared" si="2"/>
        <v>1033020644</v>
      </c>
      <c r="I35" s="627">
        <f>'1. mell.bevétel_össz'!I34-'26._önként_össz_bev'!I36-'26._államig_össz_bev'!I35</f>
        <v>0</v>
      </c>
      <c r="J35" s="327">
        <f>'1. mell.bevétel_össz'!J34-'26._önként_össz_bev'!J36-'26._államig_össz_bev'!J35</f>
        <v>5199156612</v>
      </c>
      <c r="K35" s="327">
        <f>'1. mell.bevétel_össz'!K34-'26._önként_össz_bev'!K36-'26._államig_össz_bev'!K35</f>
        <v>0</v>
      </c>
      <c r="L35" s="327">
        <f>'1. mell.bevétel_össz'!L34-'26._önként_össz_bev'!L36</f>
        <v>110.62035344680852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</row>
    <row r="36" spans="1:9941" s="54" customFormat="1" ht="12.2" customHeight="1" x14ac:dyDescent="0.2">
      <c r="A36" s="1003" t="s">
        <v>106</v>
      </c>
      <c r="B36" s="717" t="s">
        <v>198</v>
      </c>
      <c r="C36" s="401">
        <f>'1. mell.bevétel_össz'!C35-'26._önként_össz_bev'!C37-'26._államig_össz_bev'!C36</f>
        <v>0</v>
      </c>
      <c r="D36" s="325">
        <f>'1. mell.bevétel_össz'!D35-'26._önként_össz_bev'!D37-'26._államig_össz_bev'!D36</f>
        <v>0</v>
      </c>
      <c r="E36" s="568">
        <f>'1. mell.bevétel_össz'!E35-'26._önként_össz_bev'!E37-'26._államig_össz_bev'!E36</f>
        <v>0</v>
      </c>
      <c r="F36" s="568">
        <f>'1. mell.bevétel_össz'!F35-'26._önként_össz_bev'!F37-'26._államig_össz_bev'!F36</f>
        <v>0</v>
      </c>
      <c r="G36" s="568">
        <f>'1. mell.bevétel_össz'!G35-'26._önként_össz_bev'!G37-'26._államig_össz_bev'!G36</f>
        <v>0</v>
      </c>
      <c r="H36" s="327">
        <f t="shared" si="2"/>
        <v>0</v>
      </c>
      <c r="I36" s="627">
        <f>'1. mell.bevétel_össz'!I35-'26._önként_össz_bev'!I37-'26._államig_össz_bev'!I36</f>
        <v>0</v>
      </c>
      <c r="J36" s="327">
        <f>'1. mell.bevétel_össz'!J35-'26._önként_össz_bev'!J37-'26._államig_össz_bev'!J36</f>
        <v>0</v>
      </c>
      <c r="K36" s="327">
        <f>'1. mell.bevétel_össz'!K35-'26._önként_össz_bev'!K37-'26._államig_össz_bev'!K36</f>
        <v>0</v>
      </c>
      <c r="L36" s="327" t="e">
        <f>'1. mell.bevétel_össz'!L35-'26._önként_össz_bev'!L37</f>
        <v>#VALUE!</v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</row>
    <row r="37" spans="1:9941" s="54" customFormat="1" ht="12.2" customHeight="1" x14ac:dyDescent="0.2">
      <c r="A37" s="1003" t="s">
        <v>195</v>
      </c>
      <c r="B37" s="717" t="s">
        <v>199</v>
      </c>
      <c r="C37" s="401">
        <f>'1. mell.bevétel_össz'!C36-'26._önként_össz_bev'!C38-'26._államig_össz_bev'!C37</f>
        <v>0</v>
      </c>
      <c r="D37" s="325">
        <f>'1. mell.bevétel_össz'!D36-'26._önként_össz_bev'!D38-'26._államig_össz_bev'!D37</f>
        <v>0</v>
      </c>
      <c r="E37" s="568">
        <f>'1. mell.bevétel_össz'!E36-'26._önként_össz_bev'!E38-'26._államig_össz_bev'!E37</f>
        <v>0</v>
      </c>
      <c r="F37" s="568">
        <f>'1. mell.bevétel_össz'!F36-'26._önként_össz_bev'!F38-'26._államig_össz_bev'!F37</f>
        <v>12000000</v>
      </c>
      <c r="G37" s="568">
        <f>'1. mell.bevétel_össz'!G36-'26._önként_össz_bev'!G38-'26._államig_össz_bev'!G37</f>
        <v>0</v>
      </c>
      <c r="H37" s="327">
        <f t="shared" si="2"/>
        <v>0</v>
      </c>
      <c r="I37" s="627">
        <f>'1. mell.bevétel_össz'!I36-'26._önként_össz_bev'!I38-'26._államig_össz_bev'!I37</f>
        <v>0</v>
      </c>
      <c r="J37" s="327">
        <f>'1. mell.bevétel_össz'!J36-'26._önként_össz_bev'!J38-'26._államig_össz_bev'!J37</f>
        <v>12566010</v>
      </c>
      <c r="K37" s="327">
        <f>'1. mell.bevétel_össz'!K36-'26._önként_össz_bev'!K38-'26._államig_össz_bev'!K37</f>
        <v>0</v>
      </c>
      <c r="L37" s="327">
        <f>'1. mell.bevétel_össz'!L36-'26._önként_össz_bev'!L38</f>
        <v>104.71675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</row>
    <row r="38" spans="1:9941" s="54" customFormat="1" ht="12.2" customHeight="1" x14ac:dyDescent="0.2">
      <c r="A38" s="1005" t="s">
        <v>322</v>
      </c>
      <c r="B38" s="717" t="s">
        <v>231</v>
      </c>
      <c r="C38" s="504">
        <f>'1. mell.bevétel_össz'!C37-'26._önként_össz_bev'!C39-'26._államig_össz_bev'!C38</f>
        <v>0</v>
      </c>
      <c r="D38" s="625">
        <f>'1. mell.bevétel_össz'!D37-'26._önként_össz_bev'!D39-'26._államig_össz_bev'!D38</f>
        <v>0</v>
      </c>
      <c r="E38" s="569">
        <f>'1. mell.bevétel_össz'!E37-'26._önként_össz_bev'!E39-'26._államig_össz_bev'!E38</f>
        <v>0</v>
      </c>
      <c r="F38" s="569">
        <f>'1. mell.bevétel_össz'!F37-'26._önként_össz_bev'!F39-'26._államig_össz_bev'!F38</f>
        <v>12000000</v>
      </c>
      <c r="G38" s="569">
        <f>'1. mell.bevétel_össz'!G37-'26._önként_össz_bev'!G39-'26._államig_össz_bev'!G38</f>
        <v>0</v>
      </c>
      <c r="H38" s="525">
        <f t="shared" si="2"/>
        <v>0</v>
      </c>
      <c r="I38" s="629">
        <f>'1. mell.bevétel_össz'!I37-'26._önként_össz_bev'!I39-'26._államig_össz_bev'!I38</f>
        <v>0</v>
      </c>
      <c r="J38" s="525">
        <f>'1. mell.bevétel_össz'!J37-'26._önként_össz_bev'!J39-'26._államig_össz_bev'!J38</f>
        <v>12566010</v>
      </c>
      <c r="K38" s="525">
        <f>'1. mell.bevétel_össz'!K37-'26._önként_össz_bev'!K39-'26._államig_össz_bev'!K38</f>
        <v>0</v>
      </c>
      <c r="L38" s="525">
        <f>'1. mell.bevétel_össz'!L37-'26._önként_össz_bev'!L39</f>
        <v>104.71675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</row>
    <row r="39" spans="1:9941" s="54" customFormat="1" ht="12.2" customHeight="1" x14ac:dyDescent="0.2">
      <c r="A39" s="1005" t="s">
        <v>601</v>
      </c>
      <c r="B39" s="717" t="s">
        <v>792</v>
      </c>
      <c r="C39" s="504">
        <f>'1. mell.bevétel_össz'!C38-'26._önként_össz_bev'!C40-'26._államig_össz_bev'!C39</f>
        <v>0</v>
      </c>
      <c r="D39" s="625">
        <f>'1. mell.bevétel_össz'!D38-'26._önként_össz_bev'!D40-'26._államig_össz_bev'!D39</f>
        <v>0</v>
      </c>
      <c r="E39" s="569">
        <f>'1. mell.bevétel_össz'!E38-'26._önként_össz_bev'!E40-'26._államig_össz_bev'!E39</f>
        <v>0</v>
      </c>
      <c r="F39" s="569">
        <f>'1. mell.bevétel_össz'!F38-'26._önként_össz_bev'!F40-'26._államig_össz_bev'!F39</f>
        <v>0</v>
      </c>
      <c r="G39" s="569">
        <f>'1. mell.bevétel_össz'!G38-'26._önként_össz_bev'!G40-'26._államig_össz_bev'!G39</f>
        <v>0</v>
      </c>
      <c r="H39" s="525">
        <f t="shared" si="2"/>
        <v>0</v>
      </c>
      <c r="I39" s="629">
        <f>'1. mell.bevétel_össz'!I38-'26._önként_össz_bev'!I40-'26._államig_össz_bev'!I39</f>
        <v>0</v>
      </c>
      <c r="J39" s="525">
        <f>'1. mell.bevétel_össz'!J38-'26._önként_össz_bev'!J40-'26._államig_össz_bev'!J39</f>
        <v>0</v>
      </c>
      <c r="K39" s="525">
        <f>'1. mell.bevétel_össz'!K38-'26._önként_össz_bev'!K40-'26._államig_össz_bev'!K39</f>
        <v>0</v>
      </c>
      <c r="L39" s="525" t="e">
        <f>'1. mell.bevétel_össz'!L38-'26._önként_össz_bev'!L40</f>
        <v>#VALUE!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</row>
    <row r="40" spans="1:9941" s="54" customFormat="1" ht="12.2" customHeight="1" thickBot="1" x14ac:dyDescent="0.25">
      <c r="A40" s="1005" t="s">
        <v>602</v>
      </c>
      <c r="B40" s="496" t="s">
        <v>118</v>
      </c>
      <c r="C40" s="504">
        <f>'1. mell.bevétel_össz'!C39-'26._önként_össz_bev'!C41-'26._államig_össz_bev'!C40</f>
        <v>0</v>
      </c>
      <c r="D40" s="625">
        <f>'1. mell.bevétel_össz'!D39-'26._önként_össz_bev'!D41-'26._államig_össz_bev'!D40</f>
        <v>0</v>
      </c>
      <c r="E40" s="569">
        <f>'1. mell.bevétel_össz'!E39-'26._önként_össz_bev'!E41-'26._államig_össz_bev'!E40</f>
        <v>0</v>
      </c>
      <c r="F40" s="569">
        <f>'1. mell.bevétel_össz'!F39-'26._önként_össz_bev'!F41-'26._államig_össz_bev'!F40</f>
        <v>15000000</v>
      </c>
      <c r="G40" s="569">
        <f>'1. mell.bevétel_össz'!G39-'26._önként_össz_bev'!G41-'26._államig_össz_bev'!G40</f>
        <v>0</v>
      </c>
      <c r="H40" s="525">
        <f t="shared" si="2"/>
        <v>0</v>
      </c>
      <c r="I40" s="629">
        <f>'1. mell.bevétel_össz'!I39-'26._önként_össz_bev'!I41-'26._államig_össz_bev'!I40</f>
        <v>0</v>
      </c>
      <c r="J40" s="525">
        <f>'1. mell.bevétel_össz'!J39-'26._önként_össz_bev'!J41-'26._államig_össz_bev'!J40</f>
        <v>16972789</v>
      </c>
      <c r="K40" s="525">
        <f>'1. mell.bevétel_össz'!K39-'26._önként_össz_bev'!K41-'26._államig_össz_bev'!K40</f>
        <v>0</v>
      </c>
      <c r="L40" s="525">
        <f>'1. mell.bevétel_össz'!L39-'26._önként_össz_bev'!L41</f>
        <v>113.15192666666667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</row>
    <row r="41" spans="1:9941" s="54" customFormat="1" ht="12.2" customHeight="1" thickBot="1" x14ac:dyDescent="0.25">
      <c r="A41" s="14" t="s">
        <v>15</v>
      </c>
      <c r="B41" s="72" t="s">
        <v>626</v>
      </c>
      <c r="C41" s="1079">
        <f>SUM(C42:C52)</f>
        <v>614524163</v>
      </c>
      <c r="D41" s="186">
        <f t="shared" ref="D41:K41" si="8">SUM(D42:D52)</f>
        <v>628458163</v>
      </c>
      <c r="E41" s="566">
        <f t="shared" si="8"/>
        <v>878458163</v>
      </c>
      <c r="F41" s="566">
        <f t="shared" si="8"/>
        <v>978686340</v>
      </c>
      <c r="G41" s="566">
        <f t="shared" si="8"/>
        <v>0</v>
      </c>
      <c r="H41" s="28">
        <f t="shared" si="2"/>
        <v>250000000</v>
      </c>
      <c r="I41" s="628">
        <f t="shared" si="8"/>
        <v>0</v>
      </c>
      <c r="J41" s="28">
        <f t="shared" si="8"/>
        <v>971916623</v>
      </c>
      <c r="K41" s="28">
        <f t="shared" si="8"/>
        <v>0</v>
      </c>
      <c r="L41" s="28" t="e">
        <f t="shared" ref="L41" si="9">SUM(L42:L52)</f>
        <v>#VALUE!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</row>
    <row r="42" spans="1:9941" s="54" customFormat="1" ht="12.2" customHeight="1" x14ac:dyDescent="0.2">
      <c r="A42" s="12" t="s">
        <v>100</v>
      </c>
      <c r="B42" s="716" t="s">
        <v>143</v>
      </c>
      <c r="C42" s="504">
        <f>'1. mell.bevétel_össz'!C41-'26._önként_össz_bev'!C43-'26._államig_össz_bev'!C42</f>
        <v>0</v>
      </c>
      <c r="D42" s="185">
        <f>'1. mell.bevétel_össz'!D41-'26._önként_össz_bev'!D43-'26._államig_össz_bev'!D42</f>
        <v>0</v>
      </c>
      <c r="E42" s="567">
        <f>'1. mell.bevétel_össz'!E41-'26._önként_össz_bev'!E43-'26._államig_össz_bev'!E42</f>
        <v>0</v>
      </c>
      <c r="F42" s="567">
        <f>'1. mell.bevétel_össz'!F41-'26._önként_össz_bev'!F43-'26._államig_össz_bev'!F42</f>
        <v>0</v>
      </c>
      <c r="G42" s="567">
        <f>'1. mell.bevétel_össz'!G41-'26._önként_össz_bev'!G43-'26._államig_össz_bev'!G42</f>
        <v>0</v>
      </c>
      <c r="H42" s="16">
        <f t="shared" si="2"/>
        <v>0</v>
      </c>
      <c r="I42" s="626">
        <f>'1. mell.bevétel_össz'!I41-'26._önként_össz_bev'!I43-'26._államig_össz_bev'!I42</f>
        <v>0</v>
      </c>
      <c r="J42" s="16">
        <f>'1. mell.bevétel_össz'!J41-'26._önként_össz_bev'!J43-'26._államig_össz_bev'!J42</f>
        <v>4069</v>
      </c>
      <c r="K42" s="16">
        <f>'1. mell.bevétel_össz'!K41-'26._önként_össz_bev'!K43-'26._államig_össz_bev'!K42</f>
        <v>0</v>
      </c>
      <c r="L42" s="16" t="e">
        <f>'1. mell.bevétel_össz'!L41-'26._önként_össz_bev'!L43</f>
        <v>#VALUE!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</row>
    <row r="43" spans="1:9941" s="54" customFormat="1" ht="12.2" customHeight="1" x14ac:dyDescent="0.2">
      <c r="A43" s="1003" t="s">
        <v>101</v>
      </c>
      <c r="B43" s="717" t="s">
        <v>144</v>
      </c>
      <c r="C43" s="504">
        <f>'1. mell.bevétel_össz'!C42-'26._önként_össz_bev'!C44-'26._államig_össz_bev'!C43</f>
        <v>44586585</v>
      </c>
      <c r="D43" s="325">
        <f>'1. mell.bevétel_össz'!D42-'26._önként_össz_bev'!D44-'26._államig_össz_bev'!D43</f>
        <v>44586585</v>
      </c>
      <c r="E43" s="568">
        <f>'1. mell.bevétel_össz'!E42-'26._önként_össz_bev'!E44-'26._államig_össz_bev'!E43</f>
        <v>44586585</v>
      </c>
      <c r="F43" s="568">
        <f>'1. mell.bevétel_össz'!F42-'26._önként_össz_bev'!F44-'26._államig_össz_bev'!F43</f>
        <v>78127648</v>
      </c>
      <c r="G43" s="568">
        <f>'1. mell.bevétel_össz'!G42-'26._önként_össz_bev'!G44-'26._államig_össz_bev'!G43</f>
        <v>0</v>
      </c>
      <c r="H43" s="327">
        <f t="shared" si="2"/>
        <v>0</v>
      </c>
      <c r="I43" s="627">
        <f>'1. mell.bevétel_össz'!I42-'26._önként_össz_bev'!I44-'26._államig_össz_bev'!I43</f>
        <v>0</v>
      </c>
      <c r="J43" s="327">
        <f>'1. mell.bevétel_össz'!J42-'26._önként_össz_bev'!J44-'26._államig_össz_bev'!J43</f>
        <v>93625164</v>
      </c>
      <c r="K43" s="327">
        <f>'1. mell.bevétel_össz'!K42-'26._önként_össz_bev'!K44-'26._államig_össz_bev'!K43</f>
        <v>0</v>
      </c>
      <c r="L43" s="327">
        <f>'1. mell.bevétel_össz'!L42-'26._önként_össz_bev'!L44</f>
        <v>119.8463877985934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</row>
    <row r="44" spans="1:9941" s="54" customFormat="1" ht="12.2" customHeight="1" x14ac:dyDescent="0.2">
      <c r="A44" s="1003" t="s">
        <v>164</v>
      </c>
      <c r="B44" s="717" t="s">
        <v>274</v>
      </c>
      <c r="C44" s="504">
        <f>'1. mell.bevétel_össz'!C43-'26._önként_össz_bev'!C45-'26._államig_össz_bev'!C44</f>
        <v>8534496</v>
      </c>
      <c r="D44" s="325">
        <f>'1. mell.bevétel_össz'!D43-'26._önként_össz_bev'!D45-'26._államig_össz_bev'!D44</f>
        <v>8534496</v>
      </c>
      <c r="E44" s="568">
        <f>'1. mell.bevétel_össz'!E43-'26._önként_össz_bev'!E45-'26._államig_össz_bev'!E44</f>
        <v>8534496</v>
      </c>
      <c r="F44" s="568">
        <f>'1. mell.bevétel_össz'!F43-'26._önként_össz_bev'!F45-'26._államig_össz_bev'!F44</f>
        <v>8592660</v>
      </c>
      <c r="G44" s="568">
        <f>'1. mell.bevétel_össz'!G43-'26._önként_össz_bev'!G45-'26._államig_össz_bev'!G44</f>
        <v>0</v>
      </c>
      <c r="H44" s="327">
        <f t="shared" si="2"/>
        <v>0</v>
      </c>
      <c r="I44" s="627">
        <f>'1. mell.bevétel_össz'!I43-'26._önként_össz_bev'!I45-'26._államig_össz_bev'!I44</f>
        <v>0</v>
      </c>
      <c r="J44" s="327">
        <f>'1. mell.bevétel_össz'!J43-'26._önként_össz_bev'!J45-'26._államig_össz_bev'!J44</f>
        <v>9448356</v>
      </c>
      <c r="K44" s="327">
        <f>'1. mell.bevétel_össz'!K43-'26._önként_össz_bev'!K45-'26._államig_össz_bev'!K44</f>
        <v>0</v>
      </c>
      <c r="L44" s="327">
        <f>'1. mell.bevétel_össz'!L43-'26._önként_össz_bev'!L45</f>
        <v>108.12465076896976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</row>
    <row r="45" spans="1:9941" s="54" customFormat="1" ht="12.2" customHeight="1" x14ac:dyDescent="0.2">
      <c r="A45" s="1003" t="s">
        <v>200</v>
      </c>
      <c r="B45" s="717" t="s">
        <v>146</v>
      </c>
      <c r="C45" s="504">
        <f>'1. mell.bevétel_össz'!C44-'26._önként_össz_bev'!C46-'26._államig_össz_bev'!C45</f>
        <v>78517110</v>
      </c>
      <c r="D45" s="325">
        <f>'1. mell.bevétel_össz'!D44-'26._önként_össz_bev'!D46-'26._államig_össz_bev'!D45</f>
        <v>78517110</v>
      </c>
      <c r="E45" s="568">
        <f>'1. mell.bevétel_össz'!E44-'26._önként_össz_bev'!E46-'26._államig_össz_bev'!E45</f>
        <v>78517110</v>
      </c>
      <c r="F45" s="568">
        <f>'1. mell.bevétel_össz'!F44-'26._önként_össz_bev'!F46-'26._államig_össz_bev'!F45</f>
        <v>78517110</v>
      </c>
      <c r="G45" s="568">
        <f>'1. mell.bevétel_össz'!G44-'26._önként_össz_bev'!G46-'26._államig_össz_bev'!G45</f>
        <v>0</v>
      </c>
      <c r="H45" s="327">
        <f t="shared" si="2"/>
        <v>0</v>
      </c>
      <c r="I45" s="627">
        <f>'1. mell.bevétel_össz'!I44-'26._önként_össz_bev'!I46-'26._államig_össz_bev'!I45</f>
        <v>0</v>
      </c>
      <c r="J45" s="327">
        <f>'1. mell.bevétel_össz'!J44-'26._önként_össz_bev'!J46-'26._államig_össz_bev'!J45</f>
        <v>28556024</v>
      </c>
      <c r="K45" s="327">
        <f>'1. mell.bevétel_össz'!K44-'26._önként_össz_bev'!K46-'26._államig_össz_bev'!K45</f>
        <v>0</v>
      </c>
      <c r="L45" s="327">
        <f>'1. mell.bevétel_össz'!L44-'26._önként_össz_bev'!L46</f>
        <v>36.36917354701415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</row>
    <row r="46" spans="1:9941" s="54" customFormat="1" ht="12.2" customHeight="1" x14ac:dyDescent="0.2">
      <c r="A46" s="1003" t="s">
        <v>282</v>
      </c>
      <c r="B46" s="717" t="s">
        <v>148</v>
      </c>
      <c r="C46" s="504">
        <f>'1. mell.bevétel_össz'!C45-'26._önként_össz_bev'!C47-'26._államig_össz_bev'!C46</f>
        <v>121625660</v>
      </c>
      <c r="D46" s="325">
        <f>'1. mell.bevétel_össz'!D45-'26._önként_össz_bev'!D47-'26._államig_össz_bev'!D46</f>
        <v>121625660</v>
      </c>
      <c r="E46" s="568">
        <f>'1. mell.bevétel_össz'!E45-'26._önként_össz_bev'!E47-'26._államig_össz_bev'!E46</f>
        <v>121625660</v>
      </c>
      <c r="F46" s="568">
        <f>'1. mell.bevétel_össz'!F45-'26._önként_össz_bev'!F47-'26._államig_össz_bev'!F46</f>
        <v>176659740</v>
      </c>
      <c r="G46" s="568">
        <f>'1. mell.bevétel_össz'!G45-'26._önként_össz_bev'!G47-'26._államig_össz_bev'!G46</f>
        <v>0</v>
      </c>
      <c r="H46" s="327">
        <f t="shared" si="2"/>
        <v>0</v>
      </c>
      <c r="I46" s="627">
        <f>'1. mell.bevétel_össz'!I45-'26._önként_össz_bev'!I47-'26._államig_össz_bev'!I46</f>
        <v>0</v>
      </c>
      <c r="J46" s="327">
        <f>'1. mell.bevétel_össz'!J45-'26._önként_össz_bev'!J47-'26._államig_össz_bev'!J46</f>
        <v>163778559</v>
      </c>
      <c r="K46" s="327">
        <f>'1. mell.bevétel_össz'!K45-'26._önként_össz_bev'!K47-'26._államig_össz_bev'!K46</f>
        <v>0</v>
      </c>
      <c r="L46" s="327">
        <f>'1. mell.bevétel_össz'!L45-'26._önként_össz_bev'!L47</f>
        <v>92.708479589067665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</row>
    <row r="47" spans="1:9941" s="54" customFormat="1" ht="12.2" customHeight="1" x14ac:dyDescent="0.2">
      <c r="A47" s="1003" t="s">
        <v>603</v>
      </c>
      <c r="B47" s="717" t="s">
        <v>203</v>
      </c>
      <c r="C47" s="504">
        <f>'1. mell.bevétel_össz'!C46-'26._önként_össz_bev'!C48-'26._államig_össz_bev'!C47</f>
        <v>79218312</v>
      </c>
      <c r="D47" s="325">
        <f>'1. mell.bevétel_össz'!D46-'26._önként_össz_bev'!D48-'26._államig_össz_bev'!D47</f>
        <v>79218312</v>
      </c>
      <c r="E47" s="568">
        <f>'1. mell.bevétel_össz'!E46-'26._önként_össz_bev'!E48-'26._államig_össz_bev'!E47</f>
        <v>79218312</v>
      </c>
      <c r="F47" s="568">
        <f>'1. mell.bevétel_össz'!F46-'26._önként_össz_bev'!F48-'26._államig_össz_bev'!F47</f>
        <v>80446712</v>
      </c>
      <c r="G47" s="568">
        <f>'1. mell.bevétel_össz'!G46-'26._önként_össz_bev'!G48-'26._államig_össz_bev'!G47</f>
        <v>0</v>
      </c>
      <c r="H47" s="327">
        <f t="shared" si="2"/>
        <v>0</v>
      </c>
      <c r="I47" s="627">
        <f>'1. mell.bevétel_össz'!I46-'26._önként_össz_bev'!I48-'26._államig_össz_bev'!I47</f>
        <v>0</v>
      </c>
      <c r="J47" s="327">
        <f>'1. mell.bevétel_össz'!J46-'26._önként_össz_bev'!J48-'26._államig_össz_bev'!J47</f>
        <v>61923985</v>
      </c>
      <c r="K47" s="327">
        <f>'1. mell.bevétel_össz'!K46-'26._önként_össz_bev'!K48-'26._államig_össz_bev'!K47</f>
        <v>0</v>
      </c>
      <c r="L47" s="327">
        <f>'1. mell.bevétel_össz'!L46-'26._önként_össz_bev'!L48</f>
        <v>78.058074900928247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</row>
    <row r="48" spans="1:9941" s="54" customFormat="1" ht="12.2" customHeight="1" x14ac:dyDescent="0.2">
      <c r="A48" s="1003" t="s">
        <v>604</v>
      </c>
      <c r="B48" s="717" t="s">
        <v>204</v>
      </c>
      <c r="C48" s="504">
        <f>'1. mell.bevétel_össz'!C47-'26._önként_össz_bev'!C49-'26._államig_össz_bev'!C48</f>
        <v>0</v>
      </c>
      <c r="D48" s="325">
        <f>'1. mell.bevétel_össz'!D47-'26._önként_össz_bev'!D49-'26._államig_össz_bev'!D48</f>
        <v>13934000</v>
      </c>
      <c r="E48" s="568">
        <f>'1. mell.bevétel_össz'!E47-'26._önként_össz_bev'!E49-'26._államig_össz_bev'!E48</f>
        <v>13934000</v>
      </c>
      <c r="F48" s="568">
        <f>'1. mell.bevétel_össz'!F47-'26._önként_össz_bev'!F49-'26._államig_össz_bev'!F48</f>
        <v>13934000</v>
      </c>
      <c r="G48" s="568">
        <f>'1. mell.bevétel_össz'!G47-'26._önként_össz_bev'!G49-'26._államig_össz_bev'!G48</f>
        <v>0</v>
      </c>
      <c r="H48" s="327">
        <f t="shared" si="2"/>
        <v>0</v>
      </c>
      <c r="I48" s="627">
        <f>'1. mell.bevétel_össz'!I47-'26._önként_össz_bev'!I49-'26._államig_össz_bev'!I48</f>
        <v>0</v>
      </c>
      <c r="J48" s="327">
        <f>'1. mell.bevétel_össz'!J47-'26._önként_össz_bev'!J49-'26._államig_össz_bev'!J48</f>
        <v>13934000</v>
      </c>
      <c r="K48" s="327">
        <f>'1. mell.bevétel_össz'!K47-'26._önként_össz_bev'!K49-'26._államig_össz_bev'!K48</f>
        <v>0</v>
      </c>
      <c r="L48" s="327">
        <f>'1. mell.bevétel_össz'!L47-'26._önként_össz_bev'!L49</f>
        <v>100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</row>
    <row r="49" spans="1:9941" s="54" customFormat="1" ht="12.2" customHeight="1" x14ac:dyDescent="0.2">
      <c r="A49" s="1003" t="s">
        <v>605</v>
      </c>
      <c r="B49" s="717" t="s">
        <v>302</v>
      </c>
      <c r="C49" s="504">
        <f>'1. mell.bevétel_össz'!C48-'26._önként_össz_bev'!C50-'26._államig_össz_bev'!C49</f>
        <v>280630000</v>
      </c>
      <c r="D49" s="325">
        <f>'1. mell.bevétel_össz'!D48-'26._önként_össz_bev'!D50-'26._államig_össz_bev'!D49</f>
        <v>280630000</v>
      </c>
      <c r="E49" s="568">
        <f>'1. mell.bevétel_össz'!E48-'26._önként_össz_bev'!E50-'26._államig_össz_bev'!E49</f>
        <v>530630000</v>
      </c>
      <c r="F49" s="568">
        <f>'1. mell.bevétel_össz'!F48-'26._önként_össz_bev'!F50-'26._államig_össz_bev'!F49</f>
        <v>530630000</v>
      </c>
      <c r="G49" s="568">
        <f>'1. mell.bevétel_össz'!G48-'26._önként_össz_bev'!G50-'26._államig_össz_bev'!G49</f>
        <v>0</v>
      </c>
      <c r="H49" s="327">
        <f t="shared" si="2"/>
        <v>250000000</v>
      </c>
      <c r="I49" s="627">
        <f>'1. mell.bevétel_össz'!I48-'26._önként_össz_bev'!I50-'26._államig_össz_bev'!I49</f>
        <v>0</v>
      </c>
      <c r="J49" s="327">
        <f>'1. mell.bevétel_össz'!J48-'26._önként_össz_bev'!J50-'26._államig_össz_bev'!J49</f>
        <v>579356222</v>
      </c>
      <c r="K49" s="327">
        <f>'1. mell.bevétel_össz'!K48-'26._önként_össz_bev'!K50-'26._államig_össz_bev'!K49</f>
        <v>0</v>
      </c>
      <c r="L49" s="327">
        <f>'1. mell.bevétel_össz'!L48-'26._önként_össz_bev'!L50</f>
        <v>109.18271149388463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</row>
    <row r="50" spans="1:9941" s="54" customFormat="1" ht="12.2" customHeight="1" x14ac:dyDescent="0.2">
      <c r="A50" s="1003" t="s">
        <v>606</v>
      </c>
      <c r="B50" s="717" t="s">
        <v>155</v>
      </c>
      <c r="C50" s="504">
        <f>'1. mell.bevétel_össz'!C49-'26._önként_össz_bev'!C51-'26._államig_össz_bev'!C50</f>
        <v>0</v>
      </c>
      <c r="D50" s="325">
        <f>'1. mell.bevétel_össz'!D49-'26._önként_össz_bev'!D51-'26._államig_össz_bev'!D50</f>
        <v>0</v>
      </c>
      <c r="E50" s="568">
        <f>'1. mell.bevétel_össz'!E49-'26._önként_össz_bev'!E51-'26._államig_össz_bev'!E50</f>
        <v>0</v>
      </c>
      <c r="F50" s="568">
        <f>'1. mell.bevétel_össz'!F49-'26._önként_össz_bev'!F51-'26._államig_össz_bev'!F50</f>
        <v>0</v>
      </c>
      <c r="G50" s="568">
        <f>'1. mell.bevétel_össz'!G49-'26._önként_össz_bev'!G51-'26._államig_össz_bev'!G50</f>
        <v>0</v>
      </c>
      <c r="H50" s="327">
        <f t="shared" si="2"/>
        <v>0</v>
      </c>
      <c r="I50" s="627">
        <f>'1. mell.bevétel_össz'!I49-'26._önként_össz_bev'!I51-'26._államig_össz_bev'!I50</f>
        <v>0</v>
      </c>
      <c r="J50" s="327">
        <f>'1. mell.bevétel_össz'!J49-'26._önként_össz_bev'!J51-'26._államig_össz_bev'!J50</f>
        <v>0</v>
      </c>
      <c r="K50" s="327">
        <f>'1. mell.bevétel_össz'!K49-'26._önként_össz_bev'!K51-'26._államig_össz_bev'!K50</f>
        <v>0</v>
      </c>
      <c r="L50" s="327" t="e">
        <f>'1. mell.bevétel_össz'!L49-'26._önként_össz_bev'!L51</f>
        <v>#VALUE!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</row>
    <row r="51" spans="1:9941" s="54" customFormat="1" ht="12.2" customHeight="1" x14ac:dyDescent="0.2">
      <c r="A51" s="1005" t="s">
        <v>607</v>
      </c>
      <c r="B51" s="496" t="s">
        <v>275</v>
      </c>
      <c r="C51" s="504">
        <f>'1. mell.bevétel_össz'!C50-'26._önként_össz_bev'!C52-'26._államig_össz_bev'!C51</f>
        <v>0</v>
      </c>
      <c r="D51" s="325">
        <f>'1. mell.bevétel_össz'!D50-'26._önként_össz_bev'!D52-'26._államig_össz_bev'!D51</f>
        <v>0</v>
      </c>
      <c r="E51" s="568">
        <f>'1. mell.bevétel_össz'!E50-'26._önként_össz_bev'!E52-'26._államig_össz_bev'!E51</f>
        <v>0</v>
      </c>
      <c r="F51" s="568">
        <f>'1. mell.bevétel_össz'!F50-'26._önként_össz_bev'!F52-'26._államig_össz_bev'!F51</f>
        <v>0</v>
      </c>
      <c r="G51" s="568">
        <f>'1. mell.bevétel_össz'!G50-'26._önként_össz_bev'!G52-'26._államig_össz_bev'!G51</f>
        <v>0</v>
      </c>
      <c r="H51" s="327">
        <f t="shared" si="2"/>
        <v>0</v>
      </c>
      <c r="I51" s="627">
        <f>'1. mell.bevétel_össz'!I50-'26._önként_össz_bev'!I52-'26._államig_össz_bev'!I51</f>
        <v>0</v>
      </c>
      <c r="J51" s="327">
        <f>'1. mell.bevétel_össz'!J50-'26._önként_össz_bev'!J52-'26._államig_össz_bev'!J51</f>
        <v>623468</v>
      </c>
      <c r="K51" s="327">
        <f>'1. mell.bevétel_össz'!K50-'26._önként_össz_bev'!K52-'26._államig_össz_bev'!K51</f>
        <v>0</v>
      </c>
      <c r="L51" s="327" t="e">
        <f>'1. mell.bevétel_össz'!L50-'26._önként_össz_bev'!L52</f>
        <v>#VALUE!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</row>
    <row r="52" spans="1:9941" s="54" customFormat="1" ht="12.2" customHeight="1" thickBot="1" x14ac:dyDescent="0.25">
      <c r="A52" s="1005" t="s">
        <v>608</v>
      </c>
      <c r="B52" s="496" t="s">
        <v>157</v>
      </c>
      <c r="C52" s="504">
        <f>'1. mell.bevétel_össz'!C51-'26._önként_össz_bev'!C53-'26._államig_össz_bev'!C52</f>
        <v>1412000</v>
      </c>
      <c r="D52" s="661">
        <f>'1. mell.bevétel_össz'!D51-'26._önként_össz_bev'!D53-'26._államig_össz_bev'!D52</f>
        <v>1412000</v>
      </c>
      <c r="E52" s="571">
        <f>'1. mell.bevétel_össz'!E51-'26._önként_össz_bev'!E53-'26._államig_össz_bev'!E52</f>
        <v>1412000</v>
      </c>
      <c r="F52" s="571">
        <f>'1. mell.bevétel_össz'!F51-'26._önként_össz_bev'!F53-'26._államig_össz_bev'!F52</f>
        <v>11778470</v>
      </c>
      <c r="G52" s="571">
        <f>'1. mell.bevétel_össz'!G51-'26._önként_össz_bev'!G53-'26._államig_össz_bev'!G52</f>
        <v>0</v>
      </c>
      <c r="H52" s="526">
        <f t="shared" si="2"/>
        <v>0</v>
      </c>
      <c r="I52" s="667">
        <f>'1. mell.bevétel_össz'!I51-'26._önként_össz_bev'!I53-'26._államig_össz_bev'!I52</f>
        <v>0</v>
      </c>
      <c r="J52" s="526">
        <f>'1. mell.bevétel_össz'!J51-'26._önként_össz_bev'!J53-'26._államig_össz_bev'!J52</f>
        <v>20666776</v>
      </c>
      <c r="K52" s="526">
        <f>'1. mell.bevétel_össz'!K51-'26._önként_össz_bev'!K53-'26._államig_össz_bev'!K52</f>
        <v>0</v>
      </c>
      <c r="L52" s="526">
        <f>'1. mell.bevétel_össz'!L51-'26._önként_össz_bev'!L53</f>
        <v>175.20456680090953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</row>
    <row r="53" spans="1:9941" s="54" customFormat="1" ht="12.2" customHeight="1" thickBot="1" x14ac:dyDescent="0.25">
      <c r="A53" s="14" t="s">
        <v>16</v>
      </c>
      <c r="B53" s="72" t="s">
        <v>609</v>
      </c>
      <c r="C53" s="113">
        <f>SUM(C54:C58)</f>
        <v>57720000</v>
      </c>
      <c r="D53" s="186">
        <f t="shared" ref="D53:K53" si="10">SUM(D54:D58)</f>
        <v>57720000</v>
      </c>
      <c r="E53" s="566">
        <f t="shared" si="10"/>
        <v>57720000</v>
      </c>
      <c r="F53" s="566">
        <f t="shared" si="10"/>
        <v>57720000</v>
      </c>
      <c r="G53" s="566">
        <f t="shared" si="10"/>
        <v>0</v>
      </c>
      <c r="H53" s="28">
        <f t="shared" si="2"/>
        <v>0</v>
      </c>
      <c r="I53" s="628">
        <f t="shared" si="10"/>
        <v>0</v>
      </c>
      <c r="J53" s="28">
        <f t="shared" si="10"/>
        <v>41140583</v>
      </c>
      <c r="K53" s="28">
        <f t="shared" si="10"/>
        <v>0</v>
      </c>
      <c r="L53" s="28" t="e">
        <f t="shared" ref="L53" si="11">SUM(L54:L58)</f>
        <v>#VALUE!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</row>
    <row r="54" spans="1:9941" s="54" customFormat="1" ht="12.2" customHeight="1" x14ac:dyDescent="0.2">
      <c r="A54" s="12" t="s">
        <v>89</v>
      </c>
      <c r="B54" s="716" t="s">
        <v>167</v>
      </c>
      <c r="C54" s="116">
        <f>'1. mell.bevétel_össz'!C53-'26._önként_össz_bev'!C55-'26._államig_össz_bev'!C54</f>
        <v>0</v>
      </c>
      <c r="D54" s="201">
        <f>'1. mell.bevétel_össz'!D53-'26._önként_össz_bev'!D55-'26._államig_össz_bev'!D54</f>
        <v>0</v>
      </c>
      <c r="E54" s="572">
        <f>'1. mell.bevétel_össz'!E53-'26._önként_össz_bev'!E55-'26._államig_össz_bev'!E54</f>
        <v>0</v>
      </c>
      <c r="F54" s="572">
        <f>'1. mell.bevétel_össz'!F53-'26._önként_össz_bev'!F55-'26._államig_össz_bev'!F54</f>
        <v>0</v>
      </c>
      <c r="G54" s="572">
        <f>'1. mell.bevétel_össz'!G53-'26._önként_össz_bev'!G55-'26._államig_össz_bev'!G54</f>
        <v>0</v>
      </c>
      <c r="H54" s="23">
        <f t="shared" si="2"/>
        <v>0</v>
      </c>
      <c r="I54" s="668">
        <f>'1. mell.bevétel_össz'!I53-'26._önként_össz_bev'!I55-'26._államig_össz_bev'!I54</f>
        <v>0</v>
      </c>
      <c r="J54" s="23">
        <f>'1. mell.bevétel_össz'!J53-'26._önként_össz_bev'!J55-'26._államig_össz_bev'!J54</f>
        <v>0</v>
      </c>
      <c r="K54" s="23">
        <f>'1. mell.bevétel_össz'!K53-'26._önként_össz_bev'!K55-'26._államig_össz_bev'!K54</f>
        <v>0</v>
      </c>
      <c r="L54" s="23" t="e">
        <f>'1. mell.bevétel_össz'!L53-'26._önként_össz_bev'!L55</f>
        <v>#VALUE!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</row>
    <row r="55" spans="1:9941" s="54" customFormat="1" ht="12.2" customHeight="1" x14ac:dyDescent="0.2">
      <c r="A55" s="1003" t="s">
        <v>102</v>
      </c>
      <c r="B55" s="717" t="s">
        <v>168</v>
      </c>
      <c r="C55" s="402">
        <f>'1. mell.bevétel_össz'!C54-'26._önként_össz_bev'!C56-'26._államig_össz_bev'!C55</f>
        <v>57720000</v>
      </c>
      <c r="D55" s="326">
        <f>'1. mell.bevétel_össz'!D54-'26._önként_össz_bev'!D56-'26._államig_össz_bev'!D55</f>
        <v>57720000</v>
      </c>
      <c r="E55" s="573">
        <f>'1. mell.bevétel_össz'!E54-'26._önként_össz_bev'!E56-'26._államig_össz_bev'!E55</f>
        <v>57720000</v>
      </c>
      <c r="F55" s="573">
        <f>'1. mell.bevétel_össz'!F54-'26._önként_össz_bev'!F56-'26._államig_össz_bev'!F55</f>
        <v>57720000</v>
      </c>
      <c r="G55" s="573">
        <f>'1. mell.bevétel_össz'!G54-'26._önként_össz_bev'!G56-'26._államig_össz_bev'!G55</f>
        <v>0</v>
      </c>
      <c r="H55" s="328">
        <f t="shared" si="2"/>
        <v>0</v>
      </c>
      <c r="I55" s="666">
        <f>'1. mell.bevétel_össz'!I54-'26._önként_össz_bev'!I56-'26._államig_össz_bev'!I55</f>
        <v>0</v>
      </c>
      <c r="J55" s="328">
        <f>'1. mell.bevétel_össz'!J54-'26._önként_össz_bev'!J56-'26._államig_össz_bev'!J55</f>
        <v>41066134</v>
      </c>
      <c r="K55" s="328">
        <f>'1. mell.bevétel_össz'!K54-'26._önként_össz_bev'!K56-'26._államig_össz_bev'!K55</f>
        <v>0</v>
      </c>
      <c r="L55" s="328">
        <f>'1. mell.bevétel_össz'!L54-'26._önként_össz_bev'!L56</f>
        <v>71.147148302148295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</row>
    <row r="56" spans="1:9941" s="54" customFormat="1" ht="12.2" customHeight="1" x14ac:dyDescent="0.2">
      <c r="A56" s="1003" t="s">
        <v>103</v>
      </c>
      <c r="B56" s="717" t="s">
        <v>169</v>
      </c>
      <c r="C56" s="402">
        <f>'1. mell.bevétel_össz'!C55-'26._önként_össz_bev'!C57-'26._államig_össz_bev'!C56</f>
        <v>0</v>
      </c>
      <c r="D56" s="326">
        <f>'1. mell.bevétel_össz'!D55-'26._önként_össz_bev'!D57-'26._államig_össz_bev'!D56</f>
        <v>0</v>
      </c>
      <c r="E56" s="573">
        <f>'1. mell.bevétel_össz'!E55-'26._önként_össz_bev'!E57-'26._államig_össz_bev'!E56</f>
        <v>0</v>
      </c>
      <c r="F56" s="573">
        <f>'1. mell.bevétel_össz'!F55-'26._önként_össz_bev'!F57-'26._államig_össz_bev'!F56</f>
        <v>0</v>
      </c>
      <c r="G56" s="573">
        <f>'1. mell.bevétel_össz'!G55-'26._önként_össz_bev'!G57-'26._államig_össz_bev'!G56</f>
        <v>0</v>
      </c>
      <c r="H56" s="328">
        <f t="shared" si="2"/>
        <v>0</v>
      </c>
      <c r="I56" s="666">
        <f>'1. mell.bevétel_össz'!I55-'26._önként_össz_bev'!I57-'26._államig_össz_bev'!I56</f>
        <v>0</v>
      </c>
      <c r="J56" s="328">
        <f>'1. mell.bevétel_össz'!J55-'26._önként_össz_bev'!J57-'26._államig_össz_bev'!J56</f>
        <v>74449</v>
      </c>
      <c r="K56" s="328">
        <f>'1. mell.bevétel_össz'!K55-'26._önként_össz_bev'!K57-'26._államig_össz_bev'!K56</f>
        <v>0</v>
      </c>
      <c r="L56" s="328" t="e">
        <f>'1. mell.bevétel_össz'!L55-'26._önként_össz_bev'!L57</f>
        <v>#VALUE!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</row>
    <row r="57" spans="1:9941" s="54" customFormat="1" ht="12.2" customHeight="1" x14ac:dyDescent="0.2">
      <c r="A57" s="1003" t="s">
        <v>201</v>
      </c>
      <c r="B57" s="717" t="s">
        <v>207</v>
      </c>
      <c r="C57" s="402">
        <f>'1. mell.bevétel_össz'!C56-'26._önként_össz_bev'!C58-'26._államig_össz_bev'!C57</f>
        <v>0</v>
      </c>
      <c r="D57" s="326">
        <f>'1. mell.bevétel_össz'!D56-'26._önként_össz_bev'!D58-'26._államig_össz_bev'!D57</f>
        <v>0</v>
      </c>
      <c r="E57" s="573">
        <f>'1. mell.bevétel_össz'!E56-'26._önként_össz_bev'!E58-'26._államig_össz_bev'!E57</f>
        <v>0</v>
      </c>
      <c r="F57" s="573">
        <f>'1. mell.bevétel_össz'!F56-'26._önként_össz_bev'!F58-'26._államig_össz_bev'!F57</f>
        <v>0</v>
      </c>
      <c r="G57" s="573">
        <f>'1. mell.bevétel_össz'!G56-'26._önként_össz_bev'!G58-'26._államig_össz_bev'!G57</f>
        <v>0</v>
      </c>
      <c r="H57" s="328">
        <f t="shared" si="2"/>
        <v>0</v>
      </c>
      <c r="I57" s="666">
        <f>'1. mell.bevétel_össz'!I56-'26._önként_össz_bev'!I58-'26._államig_össz_bev'!I57</f>
        <v>0</v>
      </c>
      <c r="J57" s="328">
        <f>'1. mell.bevétel_össz'!J56-'26._önként_össz_bev'!J58-'26._államig_össz_bev'!J57</f>
        <v>0</v>
      </c>
      <c r="K57" s="328">
        <f>'1. mell.bevétel_össz'!K56-'26._önként_össz_bev'!K58-'26._államig_össz_bev'!K57</f>
        <v>0</v>
      </c>
      <c r="L57" s="328" t="e">
        <f>'1. mell.bevétel_össz'!L56-'26._önként_össz_bev'!L58</f>
        <v>#VALUE!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</row>
    <row r="58" spans="1:9941" s="54" customFormat="1" ht="12.2" customHeight="1" thickBot="1" x14ac:dyDescent="0.25">
      <c r="A58" s="1005" t="s">
        <v>202</v>
      </c>
      <c r="B58" s="496" t="s">
        <v>209</v>
      </c>
      <c r="C58" s="1029">
        <f>'1. mell.bevétel_össz'!C57-'26._önként_össz_bev'!C59-'26._államig_össz_bev'!C58</f>
        <v>0</v>
      </c>
      <c r="D58" s="661">
        <f>'1. mell.bevétel_össz'!D57-'26._önként_össz_bev'!D59-'26._államig_össz_bev'!D58</f>
        <v>0</v>
      </c>
      <c r="E58" s="571">
        <f>'1. mell.bevétel_össz'!E57-'26._önként_össz_bev'!E59-'26._államig_össz_bev'!E58</f>
        <v>0</v>
      </c>
      <c r="F58" s="571">
        <f>'1. mell.bevétel_össz'!F57-'26._önként_össz_bev'!F59-'26._államig_össz_bev'!F58</f>
        <v>0</v>
      </c>
      <c r="G58" s="571">
        <f>'1. mell.bevétel_össz'!G57-'26._önként_össz_bev'!G59-'26._államig_össz_bev'!G58</f>
        <v>0</v>
      </c>
      <c r="H58" s="526">
        <f t="shared" si="2"/>
        <v>0</v>
      </c>
      <c r="I58" s="667">
        <f>'1. mell.bevétel_össz'!I57-'26._önként_össz_bev'!I59-'26._államig_össz_bev'!I58</f>
        <v>0</v>
      </c>
      <c r="J58" s="526">
        <f>'1. mell.bevétel_össz'!J57-'26._önként_össz_bev'!J59-'26._államig_össz_bev'!J58</f>
        <v>0</v>
      </c>
      <c r="K58" s="526">
        <f>'1. mell.bevétel_össz'!K57-'26._önként_össz_bev'!K59-'26._államig_össz_bev'!K58</f>
        <v>0</v>
      </c>
      <c r="L58" s="526" t="e">
        <f>'1. mell.bevétel_össz'!L57-'26._önként_össz_bev'!L59</f>
        <v>#VALUE!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</row>
    <row r="59" spans="1:9941" s="54" customFormat="1" ht="12.2" customHeight="1" thickBot="1" x14ac:dyDescent="0.25">
      <c r="A59" s="14" t="s">
        <v>17</v>
      </c>
      <c r="B59" s="72" t="s">
        <v>627</v>
      </c>
      <c r="C59" s="113">
        <f>SUM(C60:C61)</f>
        <v>500000</v>
      </c>
      <c r="D59" s="186">
        <f t="shared" ref="D59:K59" si="12">SUM(D60:D61)</f>
        <v>550000</v>
      </c>
      <c r="E59" s="566">
        <f t="shared" si="12"/>
        <v>3550000</v>
      </c>
      <c r="F59" s="566">
        <f t="shared" si="12"/>
        <v>-891987</v>
      </c>
      <c r="G59" s="566">
        <f t="shared" si="12"/>
        <v>-4441987</v>
      </c>
      <c r="H59" s="28">
        <f t="shared" si="2"/>
        <v>3000000</v>
      </c>
      <c r="I59" s="628">
        <f t="shared" si="12"/>
        <v>576263</v>
      </c>
      <c r="J59" s="28">
        <f t="shared" si="12"/>
        <v>17262576</v>
      </c>
      <c r="K59" s="28">
        <f t="shared" si="12"/>
        <v>0</v>
      </c>
      <c r="L59" s="28" t="e">
        <f t="shared" ref="L59" si="13">SUM(L60:L61)</f>
        <v>#VALUE!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</row>
    <row r="60" spans="1:9941" s="54" customFormat="1" ht="12.2" customHeight="1" x14ac:dyDescent="0.2">
      <c r="A60" s="1003" t="s">
        <v>104</v>
      </c>
      <c r="B60" s="717" t="s">
        <v>210</v>
      </c>
      <c r="C60" s="401">
        <f>'1. mell.bevétel_össz'!C59-'26._önként_össz_bev'!C61-'26._államig_össz_bev'!C60</f>
        <v>0</v>
      </c>
      <c r="D60" s="325">
        <f>'1. mell.bevétel_össz'!D59-'26._önként_össz_bev'!D61-'26._államig_össz_bev'!D60</f>
        <v>0</v>
      </c>
      <c r="E60" s="568">
        <f>'1. mell.bevétel_össz'!E59-'26._önként_össz_bev'!E61-'26._államig_össz_bev'!E60</f>
        <v>0</v>
      </c>
      <c r="F60" s="568">
        <f>'1. mell.bevétel_össz'!F59-'26._önként_össz_bev'!F61-'26._államig_össz_bev'!F60</f>
        <v>0</v>
      </c>
      <c r="G60" s="568">
        <f>'1. mell.bevétel_össz'!G59-'26._önként_össz_bev'!G61-'26._államig_össz_bev'!G60</f>
        <v>0</v>
      </c>
      <c r="H60" s="327">
        <f t="shared" si="2"/>
        <v>0</v>
      </c>
      <c r="I60" s="627">
        <f>'1. mell.bevétel_össz'!I59-'26._önként_össz_bev'!I61-'26._államig_össz_bev'!I60</f>
        <v>0</v>
      </c>
      <c r="J60" s="327">
        <f>'1. mell.bevétel_össz'!J59-'26._önként_össz_bev'!J61-'26._államig_össz_bev'!J60</f>
        <v>0</v>
      </c>
      <c r="K60" s="327">
        <f>'1. mell.bevétel_össz'!K59-'26._önként_össz_bev'!K61-'26._államig_össz_bev'!K60</f>
        <v>0</v>
      </c>
      <c r="L60" s="327" t="e">
        <f>'1. mell.bevétel_össz'!L59-'26._önként_össz_bev'!L61</f>
        <v>#VALUE!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</row>
    <row r="61" spans="1:9941" s="54" customFormat="1" ht="12.2" customHeight="1" x14ac:dyDescent="0.2">
      <c r="A61" s="1003" t="s">
        <v>105</v>
      </c>
      <c r="B61" s="717" t="s">
        <v>211</v>
      </c>
      <c r="C61" s="401">
        <f>'1. mell.bevétel_össz'!C60-'26._önként_össz_bev'!C62-'26._államig_össz_bev'!C61</f>
        <v>500000</v>
      </c>
      <c r="D61" s="325">
        <f>'1. mell.bevétel_össz'!D60-'26._önként_össz_bev'!D62-'26._államig_össz_bev'!D61</f>
        <v>550000</v>
      </c>
      <c r="E61" s="568">
        <f>'1. mell.bevétel_össz'!E60-'26._önként_össz_bev'!E62-'26._államig_össz_bev'!E61</f>
        <v>3550000</v>
      </c>
      <c r="F61" s="568">
        <f>'1. mell.bevétel_össz'!F60-'26._önként_össz_bev'!F62-'26._államig_össz_bev'!F61</f>
        <v>-891987</v>
      </c>
      <c r="G61" s="568">
        <f>'1. mell.bevétel_össz'!G60-'26._önként_össz_bev'!G62-'26._államig_össz_bev'!G61</f>
        <v>-4441987</v>
      </c>
      <c r="H61" s="327">
        <f t="shared" si="2"/>
        <v>3000000</v>
      </c>
      <c r="I61" s="627">
        <f>'1. mell.bevétel_össz'!I60-'26._önként_össz_bev'!I62-'26._államig_össz_bev'!I61</f>
        <v>576263</v>
      </c>
      <c r="J61" s="327">
        <f>'1. mell.bevétel_össz'!J60-'26._önként_össz_bev'!J62-'26._államig_össz_bev'!J61</f>
        <v>17262576</v>
      </c>
      <c r="K61" s="327">
        <f>'1. mell.bevétel_össz'!K60-'26._önként_össz_bev'!K62-'26._államig_össz_bev'!K61</f>
        <v>0</v>
      </c>
      <c r="L61" s="327">
        <f>'1. mell.bevétel_össz'!L60-'26._önként_össz_bev'!L62</f>
        <v>418.35859711317482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</row>
    <row r="62" spans="1:9941" s="54" customFormat="1" ht="12.2" customHeight="1" thickBot="1" x14ac:dyDescent="0.25">
      <c r="A62" s="1005" t="s">
        <v>610</v>
      </c>
      <c r="B62" s="496" t="s">
        <v>642</v>
      </c>
      <c r="C62" s="504">
        <f>'1. mell.bevétel_össz'!C61-'26._önként_össz_bev'!C63-'26._államig_össz_bev'!C62</f>
        <v>0</v>
      </c>
      <c r="D62" s="625">
        <f>'1. mell.bevétel_össz'!D61-'26._önként_össz_bev'!D63-'26._államig_össz_bev'!D62</f>
        <v>0</v>
      </c>
      <c r="E62" s="569">
        <f>'1. mell.bevétel_össz'!E61-'26._önként_össz_bev'!E63-'26._államig_össz_bev'!E62</f>
        <v>0</v>
      </c>
      <c r="F62" s="569">
        <f>'1. mell.bevétel_össz'!F61-'26._önként_össz_bev'!F63-'26._államig_össz_bev'!F62</f>
        <v>576263</v>
      </c>
      <c r="G62" s="569">
        <f>'1. mell.bevétel_össz'!G61-'26._önként_össz_bev'!G63-'26._államig_össz_bev'!G62</f>
        <v>0</v>
      </c>
      <c r="H62" s="525">
        <f t="shared" si="2"/>
        <v>0</v>
      </c>
      <c r="I62" s="629">
        <f>'1. mell.bevétel_össz'!I61-'26._önként_össz_bev'!I63-'26._államig_össz_bev'!I62</f>
        <v>0</v>
      </c>
      <c r="J62" s="525">
        <f>'1. mell.bevétel_össz'!J61-'26._önként_össz_bev'!J63-'26._államig_össz_bev'!J62</f>
        <v>576263</v>
      </c>
      <c r="K62" s="525">
        <f>'1. mell.bevétel_össz'!K61-'26._önként_össz_bev'!K63-'26._államig_össz_bev'!K62</f>
        <v>0</v>
      </c>
      <c r="L62" s="525">
        <f>'1. mell.bevétel_össz'!L61-'26._önként_össz_bev'!L63</f>
        <v>100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</row>
    <row r="63" spans="1:9941" s="54" customFormat="1" ht="12.2" customHeight="1" thickBot="1" x14ac:dyDescent="0.25">
      <c r="A63" s="14" t="s">
        <v>18</v>
      </c>
      <c r="B63" s="347" t="s">
        <v>380</v>
      </c>
      <c r="C63" s="113">
        <f>SUM(C64:C65)</f>
        <v>22141000</v>
      </c>
      <c r="D63" s="186">
        <f t="shared" ref="D63:K63" si="14">SUM(D64:D65)</f>
        <v>22141000</v>
      </c>
      <c r="E63" s="566">
        <f t="shared" si="14"/>
        <v>22141000</v>
      </c>
      <c r="F63" s="566">
        <f t="shared" si="14"/>
        <v>158540490</v>
      </c>
      <c r="G63" s="566">
        <f t="shared" si="14"/>
        <v>0</v>
      </c>
      <c r="H63" s="28">
        <f t="shared" si="2"/>
        <v>0</v>
      </c>
      <c r="I63" s="628">
        <f t="shared" si="14"/>
        <v>0</v>
      </c>
      <c r="J63" s="28">
        <f t="shared" si="14"/>
        <v>158776896</v>
      </c>
      <c r="K63" s="28">
        <f t="shared" si="14"/>
        <v>0</v>
      </c>
      <c r="L63" s="28">
        <f t="shared" ref="L63" si="15">SUM(L64:L65)</f>
        <v>199.82011879546513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</row>
    <row r="64" spans="1:9941" s="54" customFormat="1" ht="12.2" customHeight="1" x14ac:dyDescent="0.2">
      <c r="A64" s="12" t="s">
        <v>107</v>
      </c>
      <c r="B64" s="717" t="s">
        <v>212</v>
      </c>
      <c r="C64" s="402">
        <f>'1. mell.bevétel_össz'!C63-'26._önként_össz_bev'!C65</f>
        <v>22141000</v>
      </c>
      <c r="D64" s="326">
        <f>'1. mell.bevétel_össz'!D63-'26._önként_össz_bev'!D65</f>
        <v>22141000</v>
      </c>
      <c r="E64" s="573">
        <f>'1. mell.bevétel_össz'!E63-'26._önként_össz_bev'!E65</f>
        <v>22141000</v>
      </c>
      <c r="F64" s="573">
        <f>'1. mell.bevétel_össz'!F63-'26._önként_össz_bev'!F65</f>
        <v>22141000</v>
      </c>
      <c r="G64" s="573">
        <f>'1. mell.bevétel_össz'!G63-'26._önként_össz_bev'!G65</f>
        <v>0</v>
      </c>
      <c r="H64" s="328">
        <f t="shared" si="2"/>
        <v>0</v>
      </c>
      <c r="I64" s="666">
        <f>'1. mell.bevétel_össz'!I63-'26._önként_össz_bev'!I65</f>
        <v>0</v>
      </c>
      <c r="J64" s="328">
        <f>'1. mell.bevétel_össz'!J63-'26._önként_össz_bev'!J65</f>
        <v>22047644</v>
      </c>
      <c r="K64" s="328">
        <f>'1. mell.bevétel_össz'!K63-'26._önként_össz_bev'!K65</f>
        <v>0</v>
      </c>
      <c r="L64" s="328">
        <f>'1. mell.bevétel_össz'!L63-'26._önként_össz_bev'!L65</f>
        <v>99.578356894449215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</row>
    <row r="65" spans="1:9941" s="54" customFormat="1" ht="12.2" customHeight="1" x14ac:dyDescent="0.2">
      <c r="A65" s="1003" t="s">
        <v>108</v>
      </c>
      <c r="B65" s="717" t="s">
        <v>213</v>
      </c>
      <c r="C65" s="402">
        <f>'1. mell.bevétel_össz'!C64-'26._önként_össz_bev'!C66</f>
        <v>0</v>
      </c>
      <c r="D65" s="326">
        <f>'1. mell.bevétel_össz'!D64-'26._önként_össz_bev'!D66</f>
        <v>0</v>
      </c>
      <c r="E65" s="573">
        <f>'1. mell.bevétel_össz'!E64-'26._önként_össz_bev'!E66</f>
        <v>0</v>
      </c>
      <c r="F65" s="573">
        <f>'1. mell.bevétel_össz'!F64-'26._önként_össz_bev'!F66</f>
        <v>136399490</v>
      </c>
      <c r="G65" s="573">
        <f>'1. mell.bevétel_össz'!G64-'26._önként_össz_bev'!G66</f>
        <v>0</v>
      </c>
      <c r="H65" s="328">
        <f t="shared" si="2"/>
        <v>0</v>
      </c>
      <c r="I65" s="666">
        <f>'1. mell.bevétel_össz'!I64-'26._önként_össz_bev'!I66</f>
        <v>0</v>
      </c>
      <c r="J65" s="328">
        <f>'1. mell.bevétel_össz'!J64-'26._önként_össz_bev'!J66</f>
        <v>136729252</v>
      </c>
      <c r="K65" s="328">
        <f>'1. mell.bevétel_össz'!K64-'26._önként_össz_bev'!K66</f>
        <v>0</v>
      </c>
      <c r="L65" s="328">
        <f>'1. mell.bevétel_össz'!L64-'26._önként_össz_bev'!L66</f>
        <v>100.24176190101591</v>
      </c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</row>
    <row r="66" spans="1:9941" s="54" customFormat="1" ht="12.2" customHeight="1" thickBot="1" x14ac:dyDescent="0.25">
      <c r="A66" s="172" t="s">
        <v>323</v>
      </c>
      <c r="B66" s="718" t="s">
        <v>368</v>
      </c>
      <c r="C66" s="402">
        <f>'1. mell.bevétel_össz'!C65-'26._önként_össz_bev'!C67</f>
        <v>0</v>
      </c>
      <c r="D66" s="326">
        <f>'1. mell.bevétel_össz'!D65-'26._önként_össz_bev'!D67</f>
        <v>0</v>
      </c>
      <c r="E66" s="573">
        <f>'1. mell.bevétel_össz'!E65-'26._önként_össz_bev'!E67</f>
        <v>0</v>
      </c>
      <c r="F66" s="573">
        <f>'1. mell.bevétel_össz'!F65-'26._önként_össz_bev'!F67</f>
        <v>136399490</v>
      </c>
      <c r="G66" s="573">
        <f>'1. mell.bevétel_össz'!G65-'26._önként_össz_bev'!G67</f>
        <v>0</v>
      </c>
      <c r="H66" s="328">
        <f t="shared" si="2"/>
        <v>0</v>
      </c>
      <c r="I66" s="666">
        <f>'1. mell.bevétel_össz'!I65-'26._önként_össz_bev'!I67</f>
        <v>0</v>
      </c>
      <c r="J66" s="328">
        <f>'1. mell.bevétel_össz'!J65-'26._önként_össz_bev'!J67</f>
        <v>136399490</v>
      </c>
      <c r="K66" s="328">
        <f>'1. mell.bevétel_össz'!K65-'26._önként_össz_bev'!K67</f>
        <v>0</v>
      </c>
      <c r="L66" s="328">
        <f>'1. mell.bevétel_össz'!L65-'26._önként_össz_bev'!L67</f>
        <v>100</v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</row>
    <row r="67" spans="1:9941" s="54" customFormat="1" ht="12.2" customHeight="1" thickBot="1" x14ac:dyDescent="0.25">
      <c r="A67" s="348" t="s">
        <v>19</v>
      </c>
      <c r="B67" s="719" t="s">
        <v>628</v>
      </c>
      <c r="C67" s="1023">
        <f>+C11+C25+C31+C41+C53+C59+C63</f>
        <v>3089171255</v>
      </c>
      <c r="D67" s="187">
        <f t="shared" ref="D67:K67" si="16">+D11+D25+D31+D41+D53+D59+D63</f>
        <v>3749667126</v>
      </c>
      <c r="E67" s="532">
        <f t="shared" si="16"/>
        <v>5095957676</v>
      </c>
      <c r="F67" s="532">
        <f t="shared" si="16"/>
        <v>9588918222</v>
      </c>
      <c r="G67" s="532">
        <f t="shared" si="16"/>
        <v>-4441987</v>
      </c>
      <c r="H67" s="74">
        <f t="shared" si="2"/>
        <v>1346290550</v>
      </c>
      <c r="I67" s="638">
        <f t="shared" si="16"/>
        <v>576263</v>
      </c>
      <c r="J67" s="74">
        <f t="shared" si="16"/>
        <v>9502389238</v>
      </c>
      <c r="K67" s="74">
        <f t="shared" si="16"/>
        <v>0</v>
      </c>
      <c r="L67" s="74" t="e">
        <f t="shared" ref="L67" si="17">+L11+L19+L25+L31+L41+L53+L59+L63</f>
        <v>#VALUE!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</row>
    <row r="68" spans="1:9941" s="54" customFormat="1" ht="12.2" customHeight="1" thickBot="1" x14ac:dyDescent="0.25">
      <c r="A68" s="63" t="s">
        <v>20</v>
      </c>
      <c r="B68" s="347" t="s">
        <v>629</v>
      </c>
      <c r="C68" s="113">
        <f>SUM(C69:C71)</f>
        <v>0</v>
      </c>
      <c r="D68" s="186">
        <f t="shared" ref="D68:K68" si="18">SUM(D69:D71)</f>
        <v>0</v>
      </c>
      <c r="E68" s="566">
        <f t="shared" si="18"/>
        <v>0</v>
      </c>
      <c r="F68" s="566">
        <f t="shared" si="18"/>
        <v>0</v>
      </c>
      <c r="G68" s="566">
        <f t="shared" si="18"/>
        <v>0</v>
      </c>
      <c r="H68" s="28">
        <f t="shared" si="2"/>
        <v>0</v>
      </c>
      <c r="I68" s="628">
        <f t="shared" si="18"/>
        <v>0</v>
      </c>
      <c r="J68" s="28">
        <f t="shared" si="18"/>
        <v>0</v>
      </c>
      <c r="K68" s="28">
        <f t="shared" si="18"/>
        <v>0</v>
      </c>
      <c r="L68" s="28" t="e">
        <f t="shared" ref="L68" si="19">SUM(L69:L71)</f>
        <v>#VALUE!</v>
      </c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</row>
    <row r="69" spans="1:9941" s="54" customFormat="1" ht="12.2" customHeight="1" x14ac:dyDescent="0.2">
      <c r="A69" s="12" t="s">
        <v>171</v>
      </c>
      <c r="B69" s="716" t="s">
        <v>215</v>
      </c>
      <c r="C69" s="402">
        <f>'1. mell.bevétel_össz'!C68-'26._önként_össz_bev'!C70</f>
        <v>0</v>
      </c>
      <c r="D69" s="326">
        <f>'1. mell.bevétel_össz'!D68-'26._önként_össz_bev'!D70</f>
        <v>0</v>
      </c>
      <c r="E69" s="573">
        <f>'1. mell.bevétel_össz'!E68-'26._önként_össz_bev'!E70</f>
        <v>0</v>
      </c>
      <c r="F69" s="573">
        <f>'1. mell.bevétel_össz'!F68-'26._önként_össz_bev'!F70</f>
        <v>0</v>
      </c>
      <c r="G69" s="573">
        <f>'1. mell.bevétel_össz'!G68-'26._önként_össz_bev'!G70</f>
        <v>0</v>
      </c>
      <c r="H69" s="328">
        <f>+E69-D69</f>
        <v>0</v>
      </c>
      <c r="I69" s="666">
        <f>'1. mell.bevétel_össz'!I68-'26._önként_össz_bev'!I70</f>
        <v>0</v>
      </c>
      <c r="J69" s="328">
        <f>'1. mell.bevétel_össz'!J68-'26._önként_össz_bev'!J70</f>
        <v>0</v>
      </c>
      <c r="K69" s="328">
        <f>'1. mell.bevétel_össz'!K68-'26._önként_össz_bev'!K70</f>
        <v>0</v>
      </c>
      <c r="L69" s="328" t="e">
        <f>'1. mell.bevétel_össz'!L68-'26._önként_össz_bev'!L70</f>
        <v>#VALUE!</v>
      </c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</row>
    <row r="70" spans="1:9941" s="54" customFormat="1" ht="12.2" customHeight="1" x14ac:dyDescent="0.2">
      <c r="A70" s="1003" t="s">
        <v>172</v>
      </c>
      <c r="B70" s="717" t="s">
        <v>324</v>
      </c>
      <c r="C70" s="402">
        <f>'1. mell.bevétel_össz'!C69-'26._önként_össz_bev'!C71</f>
        <v>0</v>
      </c>
      <c r="D70" s="326">
        <f>'1. mell.bevétel_össz'!D69-'26._önként_össz_bev'!D71</f>
        <v>0</v>
      </c>
      <c r="E70" s="573">
        <f>'1. mell.bevétel_össz'!E69-'26._önként_össz_bev'!E71</f>
        <v>0</v>
      </c>
      <c r="F70" s="573">
        <f>'1. mell.bevétel_össz'!F69-'26._önként_össz_bev'!F71</f>
        <v>0</v>
      </c>
      <c r="G70" s="573">
        <f>'1. mell.bevétel_össz'!G69-'26._önként_össz_bev'!G71</f>
        <v>0</v>
      </c>
      <c r="H70" s="328">
        <f t="shared" si="2"/>
        <v>0</v>
      </c>
      <c r="I70" s="666">
        <f>'1. mell.bevétel_össz'!I69-'26._önként_össz_bev'!I71</f>
        <v>0</v>
      </c>
      <c r="J70" s="328">
        <f>'1. mell.bevétel_össz'!J69-'26._önként_össz_bev'!J71</f>
        <v>0</v>
      </c>
      <c r="K70" s="328">
        <f>'1. mell.bevétel_össz'!K69-'26._önként_össz_bev'!K71</f>
        <v>0</v>
      </c>
      <c r="L70" s="328" t="e">
        <f>'1. mell.bevétel_össz'!L69-'26._önként_össz_bev'!L71</f>
        <v>#VALUE!</v>
      </c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</row>
    <row r="71" spans="1:9941" s="54" customFormat="1" ht="12.2" customHeight="1" thickBot="1" x14ac:dyDescent="0.25">
      <c r="A71" s="1005" t="s">
        <v>173</v>
      </c>
      <c r="B71" s="717" t="s">
        <v>513</v>
      </c>
      <c r="C71" s="402">
        <f>'1. mell.bevétel_össz'!C70-'26._önként_össz_bev'!C72</f>
        <v>0</v>
      </c>
      <c r="D71" s="326">
        <f>'1. mell.bevétel_össz'!D70-'26._önként_össz_bev'!D72</f>
        <v>0</v>
      </c>
      <c r="E71" s="573">
        <f>'1. mell.bevétel_össz'!E70-'26._önként_össz_bev'!E72</f>
        <v>0</v>
      </c>
      <c r="F71" s="573">
        <f>'1. mell.bevétel_össz'!F70-'26._önként_össz_bev'!F72</f>
        <v>0</v>
      </c>
      <c r="G71" s="573">
        <f>'1. mell.bevétel_össz'!G70-'26._önként_össz_bev'!G72</f>
        <v>0</v>
      </c>
      <c r="H71" s="328">
        <f t="shared" si="2"/>
        <v>0</v>
      </c>
      <c r="I71" s="666">
        <f>'1. mell.bevétel_össz'!I70-'26._önként_össz_bev'!I72</f>
        <v>0</v>
      </c>
      <c r="J71" s="328">
        <f>'1. mell.bevétel_össz'!J70-'26._önként_össz_bev'!J72</f>
        <v>0</v>
      </c>
      <c r="K71" s="328">
        <f>'1. mell.bevétel_össz'!K70-'26._önként_össz_bev'!K72</f>
        <v>0</v>
      </c>
      <c r="L71" s="328" t="e">
        <f>'1. mell.bevétel_össz'!L70-'26._önként_össz_bev'!L72</f>
        <v>#VALUE!</v>
      </c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</row>
    <row r="72" spans="1:9941" s="54" customFormat="1" ht="12.2" customHeight="1" thickBot="1" x14ac:dyDescent="0.25">
      <c r="A72" s="63" t="s">
        <v>21</v>
      </c>
      <c r="B72" s="347" t="s">
        <v>611</v>
      </c>
      <c r="C72" s="113">
        <f>SUM(C73:C75)</f>
        <v>1013629000</v>
      </c>
      <c r="D72" s="186">
        <f t="shared" ref="D72:K72" si="20">SUM(D73:D75)</f>
        <v>1482574500</v>
      </c>
      <c r="E72" s="566">
        <f t="shared" si="20"/>
        <v>1482574500</v>
      </c>
      <c r="F72" s="566">
        <f t="shared" si="20"/>
        <v>1482574500</v>
      </c>
      <c r="G72" s="566">
        <f t="shared" si="20"/>
        <v>0</v>
      </c>
      <c r="H72" s="28">
        <f t="shared" si="2"/>
        <v>0</v>
      </c>
      <c r="I72" s="628">
        <f t="shared" si="20"/>
        <v>0</v>
      </c>
      <c r="J72" s="28">
        <f t="shared" si="20"/>
        <v>1279185500</v>
      </c>
      <c r="K72" s="28">
        <f t="shared" si="20"/>
        <v>0</v>
      </c>
      <c r="L72" s="28" t="e">
        <f t="shared" ref="L72" si="21">SUM(L73:L75)</f>
        <v>#VALUE!</v>
      </c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</row>
    <row r="73" spans="1:9941" s="54" customFormat="1" ht="12.2" customHeight="1" x14ac:dyDescent="0.2">
      <c r="A73" s="12" t="s">
        <v>214</v>
      </c>
      <c r="B73" s="716" t="s">
        <v>218</v>
      </c>
      <c r="C73" s="402">
        <f>'1. mell.bevétel_össz'!C72-'26._önként_össz_bev'!C74</f>
        <v>1013629000</v>
      </c>
      <c r="D73" s="326">
        <f>'1. mell.bevétel_össz'!D72-'26._önként_össz_bev'!D74</f>
        <v>1482574500</v>
      </c>
      <c r="E73" s="573">
        <f>'1. mell.bevétel_össz'!E72-'26._önként_össz_bev'!E74</f>
        <v>1482574500</v>
      </c>
      <c r="F73" s="573">
        <f>'1. mell.bevétel_össz'!F72-'26._önként_össz_bev'!F74</f>
        <v>1482574500</v>
      </c>
      <c r="G73" s="573">
        <f>'1. mell.bevétel_össz'!G72-'26._önként_össz_bev'!G74</f>
        <v>0</v>
      </c>
      <c r="H73" s="328">
        <f t="shared" si="2"/>
        <v>0</v>
      </c>
      <c r="I73" s="666">
        <f>'1. mell.bevétel_össz'!I72-'26._önként_össz_bev'!I74</f>
        <v>0</v>
      </c>
      <c r="J73" s="328">
        <f>'1. mell.bevétel_össz'!J72-'26._önként_össz_bev'!J74</f>
        <v>1279185500</v>
      </c>
      <c r="K73" s="328">
        <f>'1. mell.bevétel_össz'!K72-'26._önként_össz_bev'!K74</f>
        <v>0</v>
      </c>
      <c r="L73" s="328">
        <f>'1. mell.bevétel_össz'!L72-'26._önként_össz_bev'!L74</f>
        <v>86.281363938203441</v>
      </c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</row>
    <row r="74" spans="1:9941" s="54" customFormat="1" ht="12.2" customHeight="1" x14ac:dyDescent="0.2">
      <c r="A74" s="12" t="s">
        <v>640</v>
      </c>
      <c r="B74" s="716" t="s">
        <v>390</v>
      </c>
      <c r="C74" s="402">
        <f>'1. mell.bevétel_össz'!C73-'26._önként_össz_bev'!C75</f>
        <v>0</v>
      </c>
      <c r="D74" s="326">
        <f>'1. mell.bevétel_össz'!D73-'26._önként_össz_bev'!D75</f>
        <v>0</v>
      </c>
      <c r="E74" s="573">
        <f>'1. mell.bevétel_össz'!E73-'26._önként_össz_bev'!E75</f>
        <v>0</v>
      </c>
      <c r="F74" s="573">
        <f>'1. mell.bevétel_össz'!F73-'26._önként_össz_bev'!F75</f>
        <v>0</v>
      </c>
      <c r="G74" s="573">
        <f>'1. mell.bevétel_össz'!G73-'26._önként_össz_bev'!G75</f>
        <v>0</v>
      </c>
      <c r="H74" s="328">
        <f t="shared" si="2"/>
        <v>0</v>
      </c>
      <c r="I74" s="666">
        <f>'1. mell.bevétel_össz'!I73-'26._önként_össz_bev'!I75</f>
        <v>0</v>
      </c>
      <c r="J74" s="328">
        <f>'1. mell.bevétel_össz'!J73-'26._önként_össz_bev'!J75</f>
        <v>0</v>
      </c>
      <c r="K74" s="328">
        <f>'1. mell.bevétel_össz'!K73-'26._önként_össz_bev'!K75</f>
        <v>0</v>
      </c>
      <c r="L74" s="328" t="e">
        <f>'1. mell.bevétel_össz'!L73-'26._önként_össz_bev'!L75</f>
        <v>#VALUE!</v>
      </c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</row>
    <row r="75" spans="1:9941" s="54" customFormat="1" ht="12.2" customHeight="1" thickBot="1" x14ac:dyDescent="0.25">
      <c r="A75" s="1003" t="s">
        <v>216</v>
      </c>
      <c r="B75" s="717" t="s">
        <v>535</v>
      </c>
      <c r="C75" s="402">
        <f>'1. mell.bevétel_össz'!C74-'26._önként_össz_bev'!C76</f>
        <v>0</v>
      </c>
      <c r="D75" s="326">
        <f>'1. mell.bevétel_össz'!D74-'26._önként_össz_bev'!D76</f>
        <v>0</v>
      </c>
      <c r="E75" s="573">
        <f>'1. mell.bevétel_össz'!E74-'26._önként_össz_bev'!E76</f>
        <v>0</v>
      </c>
      <c r="F75" s="573">
        <f>'1. mell.bevétel_össz'!F74-'26._önként_össz_bev'!F76</f>
        <v>0</v>
      </c>
      <c r="G75" s="573">
        <f>'1. mell.bevétel_össz'!G74-'26._önként_össz_bev'!G76</f>
        <v>0</v>
      </c>
      <c r="H75" s="328">
        <f t="shared" si="2"/>
        <v>0</v>
      </c>
      <c r="I75" s="666">
        <f>'1. mell.bevétel_össz'!I74-'26._önként_össz_bev'!I76</f>
        <v>0</v>
      </c>
      <c r="J75" s="328">
        <f>'1. mell.bevétel_össz'!J74-'26._önként_össz_bev'!J76</f>
        <v>0</v>
      </c>
      <c r="K75" s="328">
        <f>'1. mell.bevétel_össz'!K74-'26._önként_össz_bev'!K76</f>
        <v>0</v>
      </c>
      <c r="L75" s="328" t="e">
        <f>'1. mell.bevétel_össz'!L74-'26._önként_össz_bev'!L76</f>
        <v>#VALUE!</v>
      </c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</row>
    <row r="76" spans="1:9941" s="54" customFormat="1" ht="12.2" customHeight="1" thickBot="1" x14ac:dyDescent="0.25">
      <c r="A76" s="63" t="s">
        <v>22</v>
      </c>
      <c r="B76" s="347" t="s">
        <v>612</v>
      </c>
      <c r="C76" s="113">
        <f>SUM(C77:C78)</f>
        <v>1245500</v>
      </c>
      <c r="D76" s="186">
        <f t="shared" ref="D76:K76" si="22">SUM(D77:D78)</f>
        <v>78226748</v>
      </c>
      <c r="E76" s="566">
        <f t="shared" si="22"/>
        <v>78226748</v>
      </c>
      <c r="F76" s="566">
        <f t="shared" si="22"/>
        <v>316292984</v>
      </c>
      <c r="G76" s="566">
        <f t="shared" si="22"/>
        <v>0</v>
      </c>
      <c r="H76" s="28">
        <f t="shared" ref="H76:H83" si="23">+E76-D76</f>
        <v>0</v>
      </c>
      <c r="I76" s="628">
        <f t="shared" si="22"/>
        <v>0</v>
      </c>
      <c r="J76" s="28">
        <f t="shared" si="22"/>
        <v>316292984</v>
      </c>
      <c r="K76" s="28">
        <f t="shared" si="22"/>
        <v>0</v>
      </c>
      <c r="L76" s="28">
        <f t="shared" ref="L76" si="24">SUM(L77:L78)</f>
        <v>200</v>
      </c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</row>
    <row r="77" spans="1:9941" s="54" customFormat="1" ht="12.2" customHeight="1" x14ac:dyDescent="0.2">
      <c r="A77" s="12" t="s">
        <v>217</v>
      </c>
      <c r="B77" s="59" t="s">
        <v>369</v>
      </c>
      <c r="C77" s="402">
        <f>'1. mell.bevétel_össz'!C76-'26._önként_össz_bev'!C78-'26._államig_össz_bev'!C77</f>
        <v>1245500</v>
      </c>
      <c r="D77" s="326">
        <f>'1. mell.bevétel_össz'!D76-'26._önként_össz_bev'!D78-'26._államig_össz_bev'!D77</f>
        <v>78013967</v>
      </c>
      <c r="E77" s="573">
        <f>'1. mell.bevétel_össz'!E76-'26._önként_össz_bev'!E78-'26._államig_össz_bev'!E77</f>
        <v>78013967</v>
      </c>
      <c r="F77" s="573">
        <f>'1. mell.bevétel_össz'!F76-'26._önként_össz_bev'!F78</f>
        <v>315782769</v>
      </c>
      <c r="G77" s="573">
        <f>'1. mell.bevétel_össz'!G76-'26._önként_össz_bev'!G78</f>
        <v>0</v>
      </c>
      <c r="H77" s="328">
        <f t="shared" si="23"/>
        <v>0</v>
      </c>
      <c r="I77" s="666">
        <f>'1. mell.bevétel_össz'!I76-'26._önként_össz_bev'!I78</f>
        <v>0</v>
      </c>
      <c r="J77" s="328">
        <f>'1. mell.bevétel_össz'!J76-'26._önként_össz_bev'!J78</f>
        <v>315782769</v>
      </c>
      <c r="K77" s="328">
        <f>'1. mell.bevétel_össz'!K76-'26._önként_össz_bev'!K78</f>
        <v>0</v>
      </c>
      <c r="L77" s="328">
        <f>'1. mell.bevétel_össz'!L76-'26._önként_össz_bev'!L78</f>
        <v>100</v>
      </c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</row>
    <row r="78" spans="1:9941" s="54" customFormat="1" ht="12.2" customHeight="1" thickBot="1" x14ac:dyDescent="0.25">
      <c r="A78" s="1005" t="s">
        <v>219</v>
      </c>
      <c r="B78" s="59" t="s">
        <v>370</v>
      </c>
      <c r="C78" s="402">
        <f>'1. mell.bevétel_össz'!C77-'26._önként_össz_bev'!C79</f>
        <v>0</v>
      </c>
      <c r="D78" s="326">
        <f>'1. mell.bevétel_össz'!D77-'26._önként_össz_bev'!D79</f>
        <v>212781</v>
      </c>
      <c r="E78" s="573">
        <f>'1. mell.bevétel_össz'!E77-'26._önként_össz_bev'!E79</f>
        <v>212781</v>
      </c>
      <c r="F78" s="573">
        <f>'1. mell.bevétel_össz'!F77-'26._önként_össz_bev'!F79</f>
        <v>510215</v>
      </c>
      <c r="G78" s="573">
        <f>'1. mell.bevétel_össz'!G77-'26._önként_össz_bev'!G79</f>
        <v>0</v>
      </c>
      <c r="H78" s="328">
        <f t="shared" si="23"/>
        <v>0</v>
      </c>
      <c r="I78" s="666">
        <f>'1. mell.bevétel_össz'!I77-'26._önként_össz_bev'!I79</f>
        <v>0</v>
      </c>
      <c r="J78" s="328">
        <f>'1. mell.bevétel_össz'!J77-'26._önként_össz_bev'!J79</f>
        <v>510215</v>
      </c>
      <c r="K78" s="328">
        <f>'1. mell.bevétel_össz'!K77-'26._önként_össz_bev'!K79</f>
        <v>0</v>
      </c>
      <c r="L78" s="328">
        <f>'1. mell.bevétel_össz'!L77-'26._önként_össz_bev'!L79</f>
        <v>100</v>
      </c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</row>
    <row r="79" spans="1:9941" s="26" customFormat="1" ht="12.2" customHeight="1" thickBot="1" x14ac:dyDescent="0.25">
      <c r="A79" s="63" t="s">
        <v>23</v>
      </c>
      <c r="B79" s="347" t="s">
        <v>613</v>
      </c>
      <c r="C79" s="113">
        <f>SUM(C80:C82)</f>
        <v>4200000000</v>
      </c>
      <c r="D79" s="186">
        <f t="shared" ref="D79:K79" si="25">SUM(D80:D82)</f>
        <v>5662567692</v>
      </c>
      <c r="E79" s="566">
        <f t="shared" si="25"/>
        <v>6461524380</v>
      </c>
      <c r="F79" s="566">
        <f t="shared" si="25"/>
        <v>6731480322</v>
      </c>
      <c r="G79" s="566">
        <f t="shared" si="25"/>
        <v>0</v>
      </c>
      <c r="H79" s="28">
        <f t="shared" si="23"/>
        <v>798956688</v>
      </c>
      <c r="I79" s="628">
        <f t="shared" si="25"/>
        <v>0</v>
      </c>
      <c r="J79" s="28">
        <f t="shared" si="25"/>
        <v>74155604157</v>
      </c>
      <c r="K79" s="28">
        <f t="shared" si="25"/>
        <v>0</v>
      </c>
      <c r="L79" s="28" t="e">
        <f t="shared" ref="L79" si="26">SUM(L80:L82)</f>
        <v>#VALUE!</v>
      </c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</row>
    <row r="80" spans="1:9941" s="54" customFormat="1" ht="12.2" customHeight="1" x14ac:dyDescent="0.2">
      <c r="A80" s="12" t="s">
        <v>220</v>
      </c>
      <c r="B80" s="716" t="s">
        <v>303</v>
      </c>
      <c r="C80" s="402">
        <f>'1. mell.bevétel_össz'!C79-'26._önként_össz_bev'!C81</f>
        <v>0</v>
      </c>
      <c r="D80" s="326">
        <f>'1. mell.bevétel_össz'!D79-'26._önként_össz_bev'!D81</f>
        <v>1462567692</v>
      </c>
      <c r="E80" s="573">
        <f>'1. mell.bevétel_össz'!E79-'26._önként_össz_bev'!E81</f>
        <v>2261524380</v>
      </c>
      <c r="F80" s="573">
        <f>'1. mell.bevétel_össz'!F79-'26._önként_össz_bev'!F81</f>
        <v>2531480322</v>
      </c>
      <c r="G80" s="573">
        <f>'1. mell.bevétel_össz'!G79-'26._önként_össz_bev'!G81</f>
        <v>0</v>
      </c>
      <c r="H80" s="328">
        <f t="shared" si="23"/>
        <v>798956688</v>
      </c>
      <c r="I80" s="666">
        <f>'1. mell.bevétel_össz'!I79-'26._önként_össz_bev'!I81</f>
        <v>0</v>
      </c>
      <c r="J80" s="328">
        <f>'1. mell.bevétel_össz'!J79-'26._önként_össz_bev'!J81</f>
        <v>2531480322</v>
      </c>
      <c r="K80" s="328">
        <f>'1. mell.bevétel_össz'!K79-'26._önként_össz_bev'!K81</f>
        <v>0</v>
      </c>
      <c r="L80" s="328">
        <f>'1. mell.bevétel_össz'!L79-'26._önként_össz_bev'!L81</f>
        <v>100</v>
      </c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</row>
    <row r="81" spans="1:9941" s="54" customFormat="1" ht="12.2" customHeight="1" x14ac:dyDescent="0.2">
      <c r="A81" s="1003" t="s">
        <v>221</v>
      </c>
      <c r="B81" s="717" t="s">
        <v>304</v>
      </c>
      <c r="C81" s="402">
        <f>'1. mell.bevétel_össz'!C80-'26._önként_össz_bev'!C82</f>
        <v>0</v>
      </c>
      <c r="D81" s="326">
        <f>'1. mell.bevétel_össz'!D80-'26._önként_össz_bev'!D82</f>
        <v>0</v>
      </c>
      <c r="E81" s="573">
        <f>'1. mell.bevétel_össz'!E80-'26._önként_össz_bev'!E82</f>
        <v>0</v>
      </c>
      <c r="F81" s="573">
        <f>'1. mell.bevétel_össz'!F80-'26._önként_össz_bev'!F82</f>
        <v>0</v>
      </c>
      <c r="G81" s="573">
        <f>'1. mell.bevétel_össz'!G80-'26._önként_össz_bev'!G82</f>
        <v>0</v>
      </c>
      <c r="H81" s="328">
        <f t="shared" si="23"/>
        <v>0</v>
      </c>
      <c r="I81" s="666">
        <f>'1. mell.bevétel_össz'!I80-'26._önként_össz_bev'!I82</f>
        <v>0</v>
      </c>
      <c r="J81" s="328">
        <f>'1. mell.bevétel_össz'!J80-'26._önként_össz_bev'!J82</f>
        <v>0</v>
      </c>
      <c r="K81" s="328">
        <f>'1. mell.bevétel_össz'!K80-'26._önként_össz_bev'!K82</f>
        <v>0</v>
      </c>
      <c r="L81" s="328" t="e">
        <f>'1. mell.bevétel_össz'!L80-'26._önként_össz_bev'!L82</f>
        <v>#VALUE!</v>
      </c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</row>
    <row r="82" spans="1:9941" s="54" customFormat="1" ht="12.2" customHeight="1" thickBot="1" x14ac:dyDescent="0.25">
      <c r="A82" s="1005" t="s">
        <v>325</v>
      </c>
      <c r="B82" s="496" t="s">
        <v>378</v>
      </c>
      <c r="C82" s="402">
        <f>'1. mell.bevétel_össz'!C81-'26._önként_össz_bev'!C83</f>
        <v>4200000000</v>
      </c>
      <c r="D82" s="326">
        <f>'1. mell.bevétel_össz'!D81-'26._önként_össz_bev'!D83</f>
        <v>4200000000</v>
      </c>
      <c r="E82" s="573">
        <f>'1. mell.bevétel_össz'!E81-'26._önként_össz_bev'!E83</f>
        <v>4200000000</v>
      </c>
      <c r="F82" s="573">
        <f>'1. mell.bevétel_össz'!F81-'26._önként_össz_bev'!F83</f>
        <v>4200000000</v>
      </c>
      <c r="G82" s="573">
        <f>'1. mell.bevétel_össz'!G81-'26._önként_össz_bev'!G83</f>
        <v>0</v>
      </c>
      <c r="H82" s="328">
        <f t="shared" si="23"/>
        <v>0</v>
      </c>
      <c r="I82" s="666">
        <f>'1. mell.bevétel_össz'!I81-'26._önként_össz_bev'!I83</f>
        <v>0</v>
      </c>
      <c r="J82" s="328">
        <f>'1. mell.bevétel_össz'!J81-'26._önként_össz_bev'!J83</f>
        <v>71624123835</v>
      </c>
      <c r="K82" s="328">
        <f>'1. mell.bevétel_össz'!K81-'26._önként_össz_bev'!K83</f>
        <v>0</v>
      </c>
      <c r="L82" s="328">
        <f>'1. mell.bevétel_össz'!L81-'26._önként_össz_bev'!L83</f>
        <v>1705.3362817857142</v>
      </c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</row>
    <row r="83" spans="1:9941" s="26" customFormat="1" ht="12.75" customHeight="1" thickBot="1" x14ac:dyDescent="0.25">
      <c r="A83" s="63" t="s">
        <v>24</v>
      </c>
      <c r="B83" s="347" t="s">
        <v>614</v>
      </c>
      <c r="C83" s="1023">
        <f>+C68+C72+C76+C79</f>
        <v>5214874500</v>
      </c>
      <c r="D83" s="187">
        <f t="shared" ref="D83:K83" si="27">+D68+D72+D76+D79</f>
        <v>7223368940</v>
      </c>
      <c r="E83" s="532">
        <f t="shared" si="27"/>
        <v>8022325628</v>
      </c>
      <c r="F83" s="532">
        <f t="shared" si="27"/>
        <v>8530347806</v>
      </c>
      <c r="G83" s="532">
        <f t="shared" si="27"/>
        <v>0</v>
      </c>
      <c r="H83" s="74">
        <f t="shared" si="23"/>
        <v>798956688</v>
      </c>
      <c r="I83" s="638">
        <f t="shared" si="27"/>
        <v>0</v>
      </c>
      <c r="J83" s="74">
        <f t="shared" si="27"/>
        <v>75751082641</v>
      </c>
      <c r="K83" s="74">
        <f t="shared" si="27"/>
        <v>0</v>
      </c>
      <c r="L83" s="74" t="e">
        <f t="shared" ref="L83" si="28">+L68+L72+L76+L79</f>
        <v>#VALUE!</v>
      </c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</row>
    <row r="84" spans="1:9941" s="26" customFormat="1" ht="13.7" customHeight="1" thickBot="1" x14ac:dyDescent="0.25">
      <c r="A84" s="80" t="s">
        <v>25</v>
      </c>
      <c r="B84" s="561" t="s">
        <v>635</v>
      </c>
      <c r="C84" s="1023">
        <f>+C67+C83</f>
        <v>8304045755</v>
      </c>
      <c r="D84" s="187">
        <f t="shared" ref="D84:K84" si="29">+D67+D83</f>
        <v>10973036066</v>
      </c>
      <c r="E84" s="532">
        <f t="shared" si="29"/>
        <v>13118283304</v>
      </c>
      <c r="F84" s="532">
        <f t="shared" si="29"/>
        <v>18119266028</v>
      </c>
      <c r="G84" s="532">
        <f t="shared" si="29"/>
        <v>-4441987</v>
      </c>
      <c r="H84" s="74">
        <f>+E84-D84</f>
        <v>2145247238</v>
      </c>
      <c r="I84" s="638">
        <f t="shared" si="29"/>
        <v>576263</v>
      </c>
      <c r="J84" s="74">
        <f t="shared" si="29"/>
        <v>85253471879</v>
      </c>
      <c r="K84" s="74">
        <f t="shared" si="29"/>
        <v>0</v>
      </c>
      <c r="L84" s="74" t="e">
        <f t="shared" ref="L84" si="30">+L67+L83</f>
        <v>#VALUE!</v>
      </c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</row>
    <row r="85" spans="1:9941" x14ac:dyDescent="0.2">
      <c r="C85" s="344">
        <f>+C84-'26._köt_össz_kiad'!C55</f>
        <v>0</v>
      </c>
      <c r="M85" s="25" t="s">
        <v>385</v>
      </c>
    </row>
  </sheetData>
  <sheetProtection formatCells="0"/>
  <mergeCells count="6">
    <mergeCell ref="A8:H8"/>
    <mergeCell ref="A1:H1"/>
    <mergeCell ref="A2:H2"/>
    <mergeCell ref="A5:H5"/>
    <mergeCell ref="A6:H6"/>
    <mergeCell ref="A4:H4"/>
  </mergeCells>
  <printOptions horizontalCentered="1"/>
  <pageMargins left="0.39370078740157483" right="0.39370078740157483" top="0.59055118110236227" bottom="0" header="0.78740157480314965" footer="0.78740157480314965"/>
  <pageSetup paperSize="9" scale="82" orientation="portrait" r:id="rId1"/>
  <headerFooter alignWithMargins="0"/>
  <rowBreaks count="1" manualBreakCount="1">
    <brk id="67" max="4" man="1"/>
  </rowBreaks>
  <colBreaks count="3" manualBreakCount="3">
    <brk id="2546" min="1" max="81" man="1"/>
    <brk id="7357" min="1" max="81" man="1"/>
    <brk id="9317" min="1" max="81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69"/>
  <sheetViews>
    <sheetView view="pageBreakPreview" topLeftCell="A7" zoomScale="112" zoomScaleNormal="100" zoomScaleSheetLayoutView="112" workbookViewId="0">
      <selection activeCell="R26" sqref="R26"/>
    </sheetView>
  </sheetViews>
  <sheetFormatPr defaultRowHeight="12.75" x14ac:dyDescent="0.2"/>
  <cols>
    <col min="1" max="1" width="9.6640625" style="81" customWidth="1"/>
    <col min="2" max="2" width="59.83203125" style="82" customWidth="1"/>
    <col min="3" max="3" width="15.5" style="83" customWidth="1"/>
    <col min="4" max="4" width="15.6640625" style="83" customWidth="1"/>
    <col min="5" max="5" width="15.5" style="83" customWidth="1"/>
    <col min="6" max="7" width="16.6640625" style="83" hidden="1" customWidth="1"/>
    <col min="8" max="8" width="14.83203125" style="83" customWidth="1"/>
    <col min="9" max="12" width="14.83203125" style="83" hidden="1" customWidth="1"/>
    <col min="13" max="261" width="9.33203125" style="25"/>
    <col min="262" max="262" width="19.5" style="25" customWidth="1"/>
    <col min="263" max="263" width="69.33203125" style="25" customWidth="1"/>
    <col min="264" max="264" width="21.5" style="25" customWidth="1"/>
    <col min="265" max="517" width="9.33203125" style="25"/>
    <col min="518" max="518" width="19.5" style="25" customWidth="1"/>
    <col min="519" max="519" width="69.33203125" style="25" customWidth="1"/>
    <col min="520" max="520" width="21.5" style="25" customWidth="1"/>
    <col min="521" max="773" width="9.33203125" style="25"/>
    <col min="774" max="774" width="19.5" style="25" customWidth="1"/>
    <col min="775" max="775" width="69.33203125" style="25" customWidth="1"/>
    <col min="776" max="776" width="21.5" style="25" customWidth="1"/>
    <col min="777" max="1029" width="9.33203125" style="25"/>
    <col min="1030" max="1030" width="19.5" style="25" customWidth="1"/>
    <col min="1031" max="1031" width="69.33203125" style="25" customWidth="1"/>
    <col min="1032" max="1032" width="21.5" style="25" customWidth="1"/>
    <col min="1033" max="1285" width="9.33203125" style="25"/>
    <col min="1286" max="1286" width="19.5" style="25" customWidth="1"/>
    <col min="1287" max="1287" width="69.33203125" style="25" customWidth="1"/>
    <col min="1288" max="1288" width="21.5" style="25" customWidth="1"/>
    <col min="1289" max="1541" width="9.33203125" style="25"/>
    <col min="1542" max="1542" width="19.5" style="25" customWidth="1"/>
    <col min="1543" max="1543" width="69.33203125" style="25" customWidth="1"/>
    <col min="1544" max="1544" width="21.5" style="25" customWidth="1"/>
    <col min="1545" max="1797" width="9.33203125" style="25"/>
    <col min="1798" max="1798" width="19.5" style="25" customWidth="1"/>
    <col min="1799" max="1799" width="69.33203125" style="25" customWidth="1"/>
    <col min="1800" max="1800" width="21.5" style="25" customWidth="1"/>
    <col min="1801" max="2053" width="9.33203125" style="25"/>
    <col min="2054" max="2054" width="19.5" style="25" customWidth="1"/>
    <col min="2055" max="2055" width="69.33203125" style="25" customWidth="1"/>
    <col min="2056" max="2056" width="21.5" style="25" customWidth="1"/>
    <col min="2057" max="2309" width="9.33203125" style="25"/>
    <col min="2310" max="2310" width="19.5" style="25" customWidth="1"/>
    <col min="2311" max="2311" width="69.33203125" style="25" customWidth="1"/>
    <col min="2312" max="2312" width="21.5" style="25" customWidth="1"/>
    <col min="2313" max="2565" width="9.33203125" style="25"/>
    <col min="2566" max="2566" width="19.5" style="25" customWidth="1"/>
    <col min="2567" max="2567" width="69.33203125" style="25" customWidth="1"/>
    <col min="2568" max="2568" width="21.5" style="25" customWidth="1"/>
    <col min="2569" max="2821" width="9.33203125" style="25"/>
    <col min="2822" max="2822" width="19.5" style="25" customWidth="1"/>
    <col min="2823" max="2823" width="69.33203125" style="25" customWidth="1"/>
    <col min="2824" max="2824" width="21.5" style="25" customWidth="1"/>
    <col min="2825" max="3077" width="9.33203125" style="25"/>
    <col min="3078" max="3078" width="19.5" style="25" customWidth="1"/>
    <col min="3079" max="3079" width="69.33203125" style="25" customWidth="1"/>
    <col min="3080" max="3080" width="21.5" style="25" customWidth="1"/>
    <col min="3081" max="3333" width="9.33203125" style="25"/>
    <col min="3334" max="3334" width="19.5" style="25" customWidth="1"/>
    <col min="3335" max="3335" width="69.33203125" style="25" customWidth="1"/>
    <col min="3336" max="3336" width="21.5" style="25" customWidth="1"/>
    <col min="3337" max="3589" width="9.33203125" style="25"/>
    <col min="3590" max="3590" width="19.5" style="25" customWidth="1"/>
    <col min="3591" max="3591" width="69.33203125" style="25" customWidth="1"/>
    <col min="3592" max="3592" width="21.5" style="25" customWidth="1"/>
    <col min="3593" max="3845" width="9.33203125" style="25"/>
    <col min="3846" max="3846" width="19.5" style="25" customWidth="1"/>
    <col min="3847" max="3847" width="69.33203125" style="25" customWidth="1"/>
    <col min="3848" max="3848" width="21.5" style="25" customWidth="1"/>
    <col min="3849" max="4101" width="9.33203125" style="25"/>
    <col min="4102" max="4102" width="19.5" style="25" customWidth="1"/>
    <col min="4103" max="4103" width="69.33203125" style="25" customWidth="1"/>
    <col min="4104" max="4104" width="21.5" style="25" customWidth="1"/>
    <col min="4105" max="4357" width="9.33203125" style="25"/>
    <col min="4358" max="4358" width="19.5" style="25" customWidth="1"/>
    <col min="4359" max="4359" width="69.33203125" style="25" customWidth="1"/>
    <col min="4360" max="4360" width="21.5" style="25" customWidth="1"/>
    <col min="4361" max="4613" width="9.33203125" style="25"/>
    <col min="4614" max="4614" width="19.5" style="25" customWidth="1"/>
    <col min="4615" max="4615" width="69.33203125" style="25" customWidth="1"/>
    <col min="4616" max="4616" width="21.5" style="25" customWidth="1"/>
    <col min="4617" max="4869" width="9.33203125" style="25"/>
    <col min="4870" max="4870" width="19.5" style="25" customWidth="1"/>
    <col min="4871" max="4871" width="69.33203125" style="25" customWidth="1"/>
    <col min="4872" max="4872" width="21.5" style="25" customWidth="1"/>
    <col min="4873" max="5125" width="9.33203125" style="25"/>
    <col min="5126" max="5126" width="19.5" style="25" customWidth="1"/>
    <col min="5127" max="5127" width="69.33203125" style="25" customWidth="1"/>
    <col min="5128" max="5128" width="21.5" style="25" customWidth="1"/>
    <col min="5129" max="5381" width="9.33203125" style="25"/>
    <col min="5382" max="5382" width="19.5" style="25" customWidth="1"/>
    <col min="5383" max="5383" width="69.33203125" style="25" customWidth="1"/>
    <col min="5384" max="5384" width="21.5" style="25" customWidth="1"/>
    <col min="5385" max="5637" width="9.33203125" style="25"/>
    <col min="5638" max="5638" width="19.5" style="25" customWidth="1"/>
    <col min="5639" max="5639" width="69.33203125" style="25" customWidth="1"/>
    <col min="5640" max="5640" width="21.5" style="25" customWidth="1"/>
    <col min="5641" max="5893" width="9.33203125" style="25"/>
    <col min="5894" max="5894" width="19.5" style="25" customWidth="1"/>
    <col min="5895" max="5895" width="69.33203125" style="25" customWidth="1"/>
    <col min="5896" max="5896" width="21.5" style="25" customWidth="1"/>
    <col min="5897" max="6149" width="9.33203125" style="25"/>
    <col min="6150" max="6150" width="19.5" style="25" customWidth="1"/>
    <col min="6151" max="6151" width="69.33203125" style="25" customWidth="1"/>
    <col min="6152" max="6152" width="21.5" style="25" customWidth="1"/>
    <col min="6153" max="6405" width="9.33203125" style="25"/>
    <col min="6406" max="6406" width="19.5" style="25" customWidth="1"/>
    <col min="6407" max="6407" width="69.33203125" style="25" customWidth="1"/>
    <col min="6408" max="6408" width="21.5" style="25" customWidth="1"/>
    <col min="6409" max="6661" width="9.33203125" style="25"/>
    <col min="6662" max="6662" width="19.5" style="25" customWidth="1"/>
    <col min="6663" max="6663" width="69.33203125" style="25" customWidth="1"/>
    <col min="6664" max="6664" width="21.5" style="25" customWidth="1"/>
    <col min="6665" max="6917" width="9.33203125" style="25"/>
    <col min="6918" max="6918" width="19.5" style="25" customWidth="1"/>
    <col min="6919" max="6919" width="69.33203125" style="25" customWidth="1"/>
    <col min="6920" max="6920" width="21.5" style="25" customWidth="1"/>
    <col min="6921" max="7173" width="9.33203125" style="25"/>
    <col min="7174" max="7174" width="19.5" style="25" customWidth="1"/>
    <col min="7175" max="7175" width="69.33203125" style="25" customWidth="1"/>
    <col min="7176" max="7176" width="21.5" style="25" customWidth="1"/>
    <col min="7177" max="7429" width="9.33203125" style="25"/>
    <col min="7430" max="7430" width="19.5" style="25" customWidth="1"/>
    <col min="7431" max="7431" width="69.33203125" style="25" customWidth="1"/>
    <col min="7432" max="7432" width="21.5" style="25" customWidth="1"/>
    <col min="7433" max="7685" width="9.33203125" style="25"/>
    <col min="7686" max="7686" width="19.5" style="25" customWidth="1"/>
    <col min="7687" max="7687" width="69.33203125" style="25" customWidth="1"/>
    <col min="7688" max="7688" width="21.5" style="25" customWidth="1"/>
    <col min="7689" max="7941" width="9.33203125" style="25"/>
    <col min="7942" max="7942" width="19.5" style="25" customWidth="1"/>
    <col min="7943" max="7943" width="69.33203125" style="25" customWidth="1"/>
    <col min="7944" max="7944" width="21.5" style="25" customWidth="1"/>
    <col min="7945" max="8197" width="9.33203125" style="25"/>
    <col min="8198" max="8198" width="19.5" style="25" customWidth="1"/>
    <col min="8199" max="8199" width="69.33203125" style="25" customWidth="1"/>
    <col min="8200" max="8200" width="21.5" style="25" customWidth="1"/>
    <col min="8201" max="8453" width="9.33203125" style="25"/>
    <col min="8454" max="8454" width="19.5" style="25" customWidth="1"/>
    <col min="8455" max="8455" width="69.33203125" style="25" customWidth="1"/>
    <col min="8456" max="8456" width="21.5" style="25" customWidth="1"/>
    <col min="8457" max="8709" width="9.33203125" style="25"/>
    <col min="8710" max="8710" width="19.5" style="25" customWidth="1"/>
    <col min="8711" max="8711" width="69.33203125" style="25" customWidth="1"/>
    <col min="8712" max="8712" width="21.5" style="25" customWidth="1"/>
    <col min="8713" max="8965" width="9.33203125" style="25"/>
    <col min="8966" max="8966" width="19.5" style="25" customWidth="1"/>
    <col min="8967" max="8967" width="69.33203125" style="25" customWidth="1"/>
    <col min="8968" max="8968" width="21.5" style="25" customWidth="1"/>
    <col min="8969" max="9221" width="9.33203125" style="25"/>
    <col min="9222" max="9222" width="19.5" style="25" customWidth="1"/>
    <col min="9223" max="9223" width="69.33203125" style="25" customWidth="1"/>
    <col min="9224" max="9224" width="21.5" style="25" customWidth="1"/>
    <col min="9225" max="9477" width="9.33203125" style="25"/>
    <col min="9478" max="9478" width="19.5" style="25" customWidth="1"/>
    <col min="9479" max="9479" width="69.33203125" style="25" customWidth="1"/>
    <col min="9480" max="9480" width="21.5" style="25" customWidth="1"/>
    <col min="9481" max="9733" width="9.33203125" style="25"/>
    <col min="9734" max="9734" width="19.5" style="25" customWidth="1"/>
    <col min="9735" max="9735" width="69.33203125" style="25" customWidth="1"/>
    <col min="9736" max="9736" width="21.5" style="25" customWidth="1"/>
    <col min="9737" max="9989" width="9.33203125" style="25"/>
    <col min="9990" max="9990" width="19.5" style="25" customWidth="1"/>
    <col min="9991" max="9991" width="69.33203125" style="25" customWidth="1"/>
    <col min="9992" max="9992" width="21.5" style="25" customWidth="1"/>
    <col min="9993" max="10245" width="9.33203125" style="25"/>
    <col min="10246" max="10246" width="19.5" style="25" customWidth="1"/>
    <col min="10247" max="10247" width="69.33203125" style="25" customWidth="1"/>
    <col min="10248" max="10248" width="21.5" style="25" customWidth="1"/>
    <col min="10249" max="10501" width="9.33203125" style="25"/>
    <col min="10502" max="10502" width="19.5" style="25" customWidth="1"/>
    <col min="10503" max="10503" width="69.33203125" style="25" customWidth="1"/>
    <col min="10504" max="10504" width="21.5" style="25" customWidth="1"/>
    <col min="10505" max="10757" width="9.33203125" style="25"/>
    <col min="10758" max="10758" width="19.5" style="25" customWidth="1"/>
    <col min="10759" max="10759" width="69.33203125" style="25" customWidth="1"/>
    <col min="10760" max="10760" width="21.5" style="25" customWidth="1"/>
    <col min="10761" max="11013" width="9.33203125" style="25"/>
    <col min="11014" max="11014" width="19.5" style="25" customWidth="1"/>
    <col min="11015" max="11015" width="69.33203125" style="25" customWidth="1"/>
    <col min="11016" max="11016" width="21.5" style="25" customWidth="1"/>
    <col min="11017" max="11269" width="9.33203125" style="25"/>
    <col min="11270" max="11270" width="19.5" style="25" customWidth="1"/>
    <col min="11271" max="11271" width="69.33203125" style="25" customWidth="1"/>
    <col min="11272" max="11272" width="21.5" style="25" customWidth="1"/>
    <col min="11273" max="11525" width="9.33203125" style="25"/>
    <col min="11526" max="11526" width="19.5" style="25" customWidth="1"/>
    <col min="11527" max="11527" width="69.33203125" style="25" customWidth="1"/>
    <col min="11528" max="11528" width="21.5" style="25" customWidth="1"/>
    <col min="11529" max="11781" width="9.33203125" style="25"/>
    <col min="11782" max="11782" width="19.5" style="25" customWidth="1"/>
    <col min="11783" max="11783" width="69.33203125" style="25" customWidth="1"/>
    <col min="11784" max="11784" width="21.5" style="25" customWidth="1"/>
    <col min="11785" max="12037" width="9.33203125" style="25"/>
    <col min="12038" max="12038" width="19.5" style="25" customWidth="1"/>
    <col min="12039" max="12039" width="69.33203125" style="25" customWidth="1"/>
    <col min="12040" max="12040" width="21.5" style="25" customWidth="1"/>
    <col min="12041" max="12293" width="9.33203125" style="25"/>
    <col min="12294" max="12294" width="19.5" style="25" customWidth="1"/>
    <col min="12295" max="12295" width="69.33203125" style="25" customWidth="1"/>
    <col min="12296" max="12296" width="21.5" style="25" customWidth="1"/>
    <col min="12297" max="12549" width="9.33203125" style="25"/>
    <col min="12550" max="12550" width="19.5" style="25" customWidth="1"/>
    <col min="12551" max="12551" width="69.33203125" style="25" customWidth="1"/>
    <col min="12552" max="12552" width="21.5" style="25" customWidth="1"/>
    <col min="12553" max="12805" width="9.33203125" style="25"/>
    <col min="12806" max="12806" width="19.5" style="25" customWidth="1"/>
    <col min="12807" max="12807" width="69.33203125" style="25" customWidth="1"/>
    <col min="12808" max="12808" width="21.5" style="25" customWidth="1"/>
    <col min="12809" max="13061" width="9.33203125" style="25"/>
    <col min="13062" max="13062" width="19.5" style="25" customWidth="1"/>
    <col min="13063" max="13063" width="69.33203125" style="25" customWidth="1"/>
    <col min="13064" max="13064" width="21.5" style="25" customWidth="1"/>
    <col min="13065" max="13317" width="9.33203125" style="25"/>
    <col min="13318" max="13318" width="19.5" style="25" customWidth="1"/>
    <col min="13319" max="13319" width="69.33203125" style="25" customWidth="1"/>
    <col min="13320" max="13320" width="21.5" style="25" customWidth="1"/>
    <col min="13321" max="13573" width="9.33203125" style="25"/>
    <col min="13574" max="13574" width="19.5" style="25" customWidth="1"/>
    <col min="13575" max="13575" width="69.33203125" style="25" customWidth="1"/>
    <col min="13576" max="13576" width="21.5" style="25" customWidth="1"/>
    <col min="13577" max="13829" width="9.33203125" style="25"/>
    <col min="13830" max="13830" width="19.5" style="25" customWidth="1"/>
    <col min="13831" max="13831" width="69.33203125" style="25" customWidth="1"/>
    <col min="13832" max="13832" width="21.5" style="25" customWidth="1"/>
    <col min="13833" max="14085" width="9.33203125" style="25"/>
    <col min="14086" max="14086" width="19.5" style="25" customWidth="1"/>
    <col min="14087" max="14087" width="69.33203125" style="25" customWidth="1"/>
    <col min="14088" max="14088" width="21.5" style="25" customWidth="1"/>
    <col min="14089" max="14341" width="9.33203125" style="25"/>
    <col min="14342" max="14342" width="19.5" style="25" customWidth="1"/>
    <col min="14343" max="14343" width="69.33203125" style="25" customWidth="1"/>
    <col min="14344" max="14344" width="21.5" style="25" customWidth="1"/>
    <col min="14345" max="14597" width="9.33203125" style="25"/>
    <col min="14598" max="14598" width="19.5" style="25" customWidth="1"/>
    <col min="14599" max="14599" width="69.33203125" style="25" customWidth="1"/>
    <col min="14600" max="14600" width="21.5" style="25" customWidth="1"/>
    <col min="14601" max="14853" width="9.33203125" style="25"/>
    <col min="14854" max="14854" width="19.5" style="25" customWidth="1"/>
    <col min="14855" max="14855" width="69.33203125" style="25" customWidth="1"/>
    <col min="14856" max="14856" width="21.5" style="25" customWidth="1"/>
    <col min="14857" max="15109" width="9.33203125" style="25"/>
    <col min="15110" max="15110" width="19.5" style="25" customWidth="1"/>
    <col min="15111" max="15111" width="69.33203125" style="25" customWidth="1"/>
    <col min="15112" max="15112" width="21.5" style="25" customWidth="1"/>
    <col min="15113" max="15365" width="9.33203125" style="25"/>
    <col min="15366" max="15366" width="19.5" style="25" customWidth="1"/>
    <col min="15367" max="15367" width="69.33203125" style="25" customWidth="1"/>
    <col min="15368" max="15368" width="21.5" style="25" customWidth="1"/>
    <col min="15369" max="15621" width="9.33203125" style="25"/>
    <col min="15622" max="15622" width="19.5" style="25" customWidth="1"/>
    <col min="15623" max="15623" width="69.33203125" style="25" customWidth="1"/>
    <col min="15624" max="15624" width="21.5" style="25" customWidth="1"/>
    <col min="15625" max="15877" width="9.33203125" style="25"/>
    <col min="15878" max="15878" width="19.5" style="25" customWidth="1"/>
    <col min="15879" max="15879" width="69.33203125" style="25" customWidth="1"/>
    <col min="15880" max="15880" width="21.5" style="25" customWidth="1"/>
    <col min="15881" max="16133" width="9.33203125" style="25"/>
    <col min="16134" max="16134" width="19.5" style="25" customWidth="1"/>
    <col min="16135" max="16135" width="69.33203125" style="25" customWidth="1"/>
    <col min="16136" max="16136" width="21.5" style="25" customWidth="1"/>
    <col min="16137" max="16384" width="9.33203125" style="25"/>
  </cols>
  <sheetData>
    <row r="1" spans="1:20" x14ac:dyDescent="0.2">
      <c r="A1" s="1774" t="s">
        <v>803</v>
      </c>
      <c r="B1" s="1774"/>
      <c r="C1" s="1774"/>
      <c r="D1" s="1774"/>
      <c r="E1" s="1774"/>
      <c r="F1" s="1774"/>
      <c r="G1" s="1774"/>
      <c r="H1" s="1774"/>
      <c r="I1" s="25"/>
      <c r="J1" s="25"/>
      <c r="K1" s="25"/>
      <c r="L1" s="25"/>
    </row>
    <row r="2" spans="1:20" x14ac:dyDescent="0.2">
      <c r="A2" s="1774" t="s">
        <v>724</v>
      </c>
      <c r="B2" s="1774"/>
      <c r="C2" s="1774"/>
      <c r="D2" s="1774"/>
      <c r="E2" s="1774"/>
      <c r="F2" s="1774"/>
      <c r="G2" s="1774"/>
      <c r="H2" s="1774"/>
      <c r="I2" s="25"/>
      <c r="J2" s="25"/>
      <c r="K2" s="25"/>
      <c r="L2" s="25"/>
    </row>
    <row r="3" spans="1:20" s="24" customFormat="1" ht="18" customHeight="1" x14ac:dyDescent="0.2">
      <c r="A3" s="169"/>
      <c r="B3" s="170"/>
      <c r="C3" s="167"/>
      <c r="D3" s="167"/>
      <c r="E3" s="167"/>
      <c r="F3" s="167"/>
      <c r="G3" s="167"/>
      <c r="H3" s="167"/>
      <c r="I3" s="167"/>
      <c r="J3" s="167"/>
      <c r="K3" s="167"/>
      <c r="L3" s="167"/>
    </row>
    <row r="4" spans="1:20" s="38" customFormat="1" ht="21.2" customHeight="1" x14ac:dyDescent="0.2">
      <c r="A4" s="1771" t="s">
        <v>232</v>
      </c>
      <c r="B4" s="1771"/>
      <c r="C4" s="1771"/>
      <c r="D4" s="1771"/>
      <c r="E4" s="1771"/>
      <c r="F4" s="1771"/>
      <c r="G4" s="1771"/>
      <c r="H4" s="1771"/>
    </row>
    <row r="5" spans="1:20" s="38" customFormat="1" ht="21.2" customHeight="1" x14ac:dyDescent="0.2">
      <c r="A5" s="1771" t="str">
        <f>'26._köt_össz_bev'!A5:C5</f>
        <v>2023. ÉVI KÖLTSÉGVETÉS</v>
      </c>
      <c r="B5" s="1771"/>
      <c r="C5" s="1771"/>
      <c r="D5" s="1771"/>
      <c r="E5" s="1771"/>
      <c r="F5" s="1771"/>
      <c r="G5" s="1771"/>
      <c r="H5" s="1771"/>
    </row>
    <row r="6" spans="1:20" s="38" customFormat="1" ht="21.2" customHeight="1" x14ac:dyDescent="0.2">
      <c r="A6" s="1771" t="s">
        <v>394</v>
      </c>
      <c r="B6" s="1771"/>
      <c r="C6" s="1771"/>
      <c r="D6" s="1771"/>
      <c r="E6" s="1771"/>
      <c r="F6" s="1771"/>
      <c r="G6" s="1771"/>
      <c r="H6" s="1771"/>
    </row>
    <row r="7" spans="1:20" s="38" customFormat="1" ht="15.75" x14ac:dyDescent="0.2">
      <c r="A7" s="168"/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</row>
    <row r="8" spans="1:20" ht="14.25" thickBot="1" x14ac:dyDescent="0.3">
      <c r="A8" s="1805" t="s">
        <v>362</v>
      </c>
      <c r="B8" s="1805"/>
      <c r="C8" s="1805"/>
      <c r="D8" s="1805"/>
      <c r="E8" s="1805"/>
      <c r="F8" s="1805"/>
      <c r="G8" s="1805"/>
      <c r="H8" s="1805"/>
      <c r="I8" s="25"/>
      <c r="J8" s="25"/>
      <c r="K8" s="25"/>
      <c r="L8" s="25"/>
    </row>
    <row r="9" spans="1:20" s="46" customFormat="1" ht="54" customHeight="1" thickBot="1" x14ac:dyDescent="0.25">
      <c r="A9" s="43" t="s">
        <v>129</v>
      </c>
      <c r="B9" s="642" t="s">
        <v>34</v>
      </c>
      <c r="C9" s="97" t="str">
        <f>'26._köt_össz_bev'!C9</f>
        <v>2023. évi eredeti előirányzat
2/2023. (II.14.)</v>
      </c>
      <c r="D9" s="181" t="str">
        <f>'26._köt_össz_bev'!D9</f>
        <v>Módosított előirányzat a 14/2023.  (VI.29.)  rendelet szerint</v>
      </c>
      <c r="E9" s="97" t="str">
        <f>'26._köt_össz_bev'!E9</f>
        <v>Módosított előirányzat a 18/2023. (IX.26.)  rendelet szerint</v>
      </c>
      <c r="F9" s="97" t="str">
        <f>'26._köt_össz_bev'!F9</f>
        <v>Módosított előirányzat 2023.09.30-án</v>
      </c>
      <c r="G9" s="97" t="str">
        <f>'26._köt_össz_bev'!G9</f>
        <v>Módosított előirányzat a …../2023. (II…..)  rendelet szerint</v>
      </c>
      <c r="H9" s="112" t="str">
        <f>'26._köt_össz_bev'!H9</f>
        <v>Változás a 14/2023. (VI.29.) rendelethez képest</v>
      </c>
      <c r="I9" s="181" t="str">
        <f>'26._köt_össz_bev'!I9</f>
        <v>2023. évi teljesítés              2023.06.30-ig</v>
      </c>
      <c r="J9" s="97" t="str">
        <f>'26._köt_össz_bev'!J9</f>
        <v>2023. évi teljesítés              2023.09.30-ig</v>
      </c>
      <c r="K9" s="97" t="str">
        <f>'26._köt_össz_bev'!K9</f>
        <v>2023. évi teljesítés              2023.12.31-ig</v>
      </c>
      <c r="L9" s="97" t="str">
        <f>'26._köt_össz_bev'!L9</f>
        <v>Teljesítés %-a</v>
      </c>
    </row>
    <row r="10" spans="1:20" s="46" customFormat="1" ht="14.25" customHeight="1" thickBot="1" x14ac:dyDescent="0.25">
      <c r="A10" s="43" t="s">
        <v>297</v>
      </c>
      <c r="B10" s="44" t="s">
        <v>298</v>
      </c>
      <c r="C10" s="989" t="s">
        <v>299</v>
      </c>
      <c r="D10" s="182" t="s">
        <v>300</v>
      </c>
      <c r="E10" s="44" t="s">
        <v>301</v>
      </c>
      <c r="F10" s="44" t="s">
        <v>388</v>
      </c>
      <c r="G10" s="44" t="s">
        <v>424</v>
      </c>
      <c r="H10" s="180" t="s">
        <v>388</v>
      </c>
      <c r="I10" s="180"/>
      <c r="J10" s="45"/>
      <c r="K10" s="45"/>
      <c r="L10" s="45"/>
    </row>
    <row r="11" spans="1:20" s="31" customFormat="1" ht="12.2" customHeight="1" thickBot="1" x14ac:dyDescent="0.25">
      <c r="A11" s="76" t="s">
        <v>12</v>
      </c>
      <c r="B11" s="815" t="s">
        <v>547</v>
      </c>
      <c r="C11" s="1021">
        <f>C12+C14+C15+C16+C17</f>
        <v>7718197438</v>
      </c>
      <c r="D11" s="183">
        <f>D12+D14+D15+D16+D17</f>
        <v>7925884351</v>
      </c>
      <c r="E11" s="574">
        <f t="shared" ref="E11:K11" si="0">E12+E14+E15+E16+E17</f>
        <v>9240170077</v>
      </c>
      <c r="F11" s="574">
        <f t="shared" si="0"/>
        <v>12595641666</v>
      </c>
      <c r="G11" s="574">
        <f t="shared" si="0"/>
        <v>1259417</v>
      </c>
      <c r="H11" s="77">
        <f>+E11-D11</f>
        <v>1314285726</v>
      </c>
      <c r="I11" s="670" t="e">
        <f t="shared" si="0"/>
        <v>#REF!</v>
      </c>
      <c r="J11" s="77">
        <f t="shared" si="0"/>
        <v>7879642522</v>
      </c>
      <c r="K11" s="77" t="e">
        <f t="shared" si="0"/>
        <v>#REF!</v>
      </c>
      <c r="L11" s="77" t="e">
        <f t="shared" ref="L11" si="1">L12+L14+L15+L16+L17+L24</f>
        <v>#VALUE!</v>
      </c>
    </row>
    <row r="12" spans="1:20" ht="12.2" customHeight="1" x14ac:dyDescent="0.2">
      <c r="A12" s="99" t="s">
        <v>91</v>
      </c>
      <c r="B12" s="50" t="s">
        <v>68</v>
      </c>
      <c r="C12" s="117">
        <f>'1.mell.kiadás_össz'!C11-'26._önként_össz_kiad'!C12-'26._államig_össz_kiad'!C12</f>
        <v>1405341156</v>
      </c>
      <c r="D12" s="184">
        <f>'1.mell.kiadás_össz'!D11-'26._önként_össz_kiad'!D12-'26._államig_össz_kiad'!D12</f>
        <v>1430789555</v>
      </c>
      <c r="E12" s="575">
        <f>'1.mell.kiadás_össz'!E11-'26._önként_össz_kiad'!E12-'26._államig_össz_kiad'!E12</f>
        <v>1759036395</v>
      </c>
      <c r="F12" s="575">
        <f>'1.mell.kiadás_össz'!F11-'26._önként_össz_kiad'!F12-'26._államig_össz_kiad'!F12</f>
        <v>3305112113</v>
      </c>
      <c r="G12" s="575">
        <f>'1.mell.kiadás_össz'!G11-'26._önként_össz_kiad'!G12-'26._államig_össz_kiad'!G12</f>
        <v>0</v>
      </c>
      <c r="H12" s="78">
        <f t="shared" ref="H12:H57" si="2">+E12-D12</f>
        <v>328246840</v>
      </c>
      <c r="I12" s="671">
        <f>'1.mell.kiadás_össz'!I11-'26._önként_össz_kiad'!I12-'26._államig_össz_kiad'!I12</f>
        <v>0</v>
      </c>
      <c r="J12" s="78">
        <f>'1.mell.kiadás_össz'!J11-'26._önként_össz_kiad'!J12-'26._államig_össz_kiad'!J12</f>
        <v>2269998087</v>
      </c>
      <c r="K12" s="78">
        <f>'1.mell.kiadás_össz'!K11-'26._önként_össz_kiad'!K12-'26._államig_össz_kiad'!K12</f>
        <v>0</v>
      </c>
      <c r="L12" s="78">
        <f>'1.mell.kiadás_össz'!L11-'26._önként_össz_kiad'!L12</f>
        <v>68.894749046433688</v>
      </c>
    </row>
    <row r="13" spans="1:20" ht="12.2" customHeight="1" x14ac:dyDescent="0.2">
      <c r="A13" s="1003" t="s">
        <v>305</v>
      </c>
      <c r="B13" s="335" t="s">
        <v>270</v>
      </c>
      <c r="C13" s="114">
        <f>'1.mell.kiadás_össz'!C12-'26._önként_össz_kiad'!C13-'26._államig_össz_kiad'!C13</f>
        <v>20000000</v>
      </c>
      <c r="D13" s="185">
        <f>'1.mell.kiadás_össz'!D12-'26._önként_össz_kiad'!D13-'26._államig_össz_kiad'!D13</f>
        <v>20000000</v>
      </c>
      <c r="E13" s="567">
        <f>'1.mell.kiadás_össz'!E12-'26._önként_össz_kiad'!E13-'26._államig_össz_kiad'!E13</f>
        <v>84025378</v>
      </c>
      <c r="F13" s="567">
        <f>'1.mell.kiadás_össz'!F12-'26._önként_össz_kiad'!F13-'26._államig_össz_kiad'!F13</f>
        <v>140136674</v>
      </c>
      <c r="G13" s="567">
        <f>'1.mell.kiadás_össz'!G12-'26._önként_össz_kiad'!G13-'26._államig_össz_kiad'!G13</f>
        <v>0</v>
      </c>
      <c r="H13" s="16">
        <f t="shared" si="2"/>
        <v>64025378</v>
      </c>
      <c r="I13" s="626">
        <f>'1.mell.kiadás_össz'!I12-'26._önként_össz_kiad'!I13-'26._államig_össz_kiad'!I13</f>
        <v>0</v>
      </c>
      <c r="J13" s="16">
        <f>'1.mell.kiadás_össz'!J12-'26._önként_össz_kiad'!J13-'26._államig_össz_kiad'!J13</f>
        <v>7569084</v>
      </c>
      <c r="K13" s="16">
        <f>'1.mell.kiadás_össz'!K12-'26._önként_össz_kiad'!K13-'26._államig_össz_kiad'!K13</f>
        <v>0</v>
      </c>
      <c r="L13" s="16">
        <f>'1.mell.kiadás_össz'!L12-'26._önként_össz_kiad'!L13</f>
        <v>5.4441574095293852</v>
      </c>
      <c r="T13" s="25" t="s">
        <v>385</v>
      </c>
    </row>
    <row r="14" spans="1:20" ht="12.2" customHeight="1" x14ac:dyDescent="0.2">
      <c r="A14" s="1003" t="s">
        <v>92</v>
      </c>
      <c r="B14" s="330" t="s">
        <v>87</v>
      </c>
      <c r="C14" s="401">
        <f>'1.mell.kiadás_össz'!C13-'26._önként_össz_kiad'!C14-'26._államig_össz_kiad'!C14</f>
        <v>228379277</v>
      </c>
      <c r="D14" s="325">
        <f>'1.mell.kiadás_össz'!D13-'26._önként_össz_kiad'!D14-'26._államig_össz_kiad'!D14</f>
        <v>234735048</v>
      </c>
      <c r="E14" s="568">
        <f>'1.mell.kiadás_össz'!E13-'26._önként_össz_kiad'!E14-'26._államig_össz_kiad'!E14</f>
        <v>284342635</v>
      </c>
      <c r="F14" s="568">
        <f>'1.mell.kiadás_össz'!F13-'26._önként_össz_kiad'!F14-'26._államig_össz_kiad'!F14</f>
        <v>502787074</v>
      </c>
      <c r="G14" s="568">
        <f>'1.mell.kiadás_össz'!G13-'26._önként_össz_kiad'!G14-'26._államig_össz_kiad'!G14</f>
        <v>0</v>
      </c>
      <c r="H14" s="327">
        <f t="shared" si="2"/>
        <v>49607587</v>
      </c>
      <c r="I14" s="627">
        <f>'1.mell.kiadás_össz'!I13-'26._önként_össz_kiad'!I14-'26._államig_össz_kiad'!I14</f>
        <v>0</v>
      </c>
      <c r="J14" s="327">
        <f>'1.mell.kiadás_össz'!J13-'26._önként_össz_kiad'!J14-'26._államig_össz_kiad'!J14</f>
        <v>340890816</v>
      </c>
      <c r="K14" s="327">
        <f>'1.mell.kiadás_össz'!K13-'26._önként_össz_kiad'!K14-'26._államig_össz_kiad'!K14</f>
        <v>0</v>
      </c>
      <c r="L14" s="327">
        <f>'1.mell.kiadás_össz'!L13-'26._önként_össz_kiad'!L14</f>
        <v>67.973007389747522</v>
      </c>
    </row>
    <row r="15" spans="1:20" ht="12.2" customHeight="1" x14ac:dyDescent="0.2">
      <c r="A15" s="1003" t="s">
        <v>93</v>
      </c>
      <c r="B15" s="330" t="s">
        <v>69</v>
      </c>
      <c r="C15" s="504">
        <f>'1.mell.kiadás_össz'!C14-'26._önként_össz_kiad'!C15-'26._államig_össz_kiad'!C15</f>
        <v>1291245120</v>
      </c>
      <c r="D15" s="625">
        <f>'1.mell.kiadás_össz'!D14-'26._önként_össz_kiad'!D15-'26._államig_össz_kiad'!D15</f>
        <v>1424263806</v>
      </c>
      <c r="E15" s="569">
        <f>'1.mell.kiadás_össz'!E14-'26._önként_össz_kiad'!E15-'26._államig_össz_kiad'!E15</f>
        <v>1475250052</v>
      </c>
      <c r="F15" s="569">
        <f>'1.mell.kiadás_össz'!F14-'26._önként_össz_kiad'!F15-'26._államig_össz_kiad'!F15</f>
        <v>2253407252</v>
      </c>
      <c r="G15" s="569">
        <f>'1.mell.kiadás_össz'!G14-'26._önként_össz_kiad'!G15-'26._államig_össz_kiad'!G15</f>
        <v>0</v>
      </c>
      <c r="H15" s="525">
        <f t="shared" si="2"/>
        <v>50986246</v>
      </c>
      <c r="I15" s="629">
        <f>'1.mell.kiadás_össz'!I14-'26._önként_össz_kiad'!I15-'26._államig_össz_kiad'!I15</f>
        <v>0</v>
      </c>
      <c r="J15" s="525">
        <f>'1.mell.kiadás_össz'!J14-'26._önként_össz_kiad'!J15-'26._államig_össz_kiad'!J15</f>
        <v>1473845351</v>
      </c>
      <c r="K15" s="525">
        <f>'1.mell.kiadás_össz'!K14-'26._önként_össz_kiad'!K15-'26._államig_össz_kiad'!K15</f>
        <v>0</v>
      </c>
      <c r="L15" s="525">
        <f>'1.mell.kiadás_össz'!L14-'26._önként_össz_kiad'!L15</f>
        <v>65.217739847528406</v>
      </c>
    </row>
    <row r="16" spans="1:20" ht="12.2" customHeight="1" x14ac:dyDescent="0.2">
      <c r="A16" s="1003" t="s">
        <v>90</v>
      </c>
      <c r="B16" s="330" t="s">
        <v>80</v>
      </c>
      <c r="C16" s="504">
        <f>'1.mell.kiadás_össz'!C15-'26._önként_össz_kiad'!C16-'26._államig_össz_kiad'!C16</f>
        <v>100261520</v>
      </c>
      <c r="D16" s="625">
        <f>'1.mell.kiadás_össz'!D15-'26._önként_össz_kiad'!D16-'26._államig_össz_kiad'!D16</f>
        <v>100261520</v>
      </c>
      <c r="E16" s="569">
        <f>'1.mell.kiadás_össz'!E15-'26._önként_össz_kiad'!E16-'26._államig_össz_kiad'!E16</f>
        <v>100261520</v>
      </c>
      <c r="F16" s="569">
        <f>'1.mell.kiadás_össz'!F15-'26._önként_össz_kiad'!F16-'26._államig_össz_kiad'!F16</f>
        <v>270328000</v>
      </c>
      <c r="G16" s="569">
        <f>'1.mell.kiadás_össz'!G15-'26._önként_össz_kiad'!G16-'26._államig_össz_kiad'!G16</f>
        <v>0</v>
      </c>
      <c r="H16" s="525">
        <f t="shared" si="2"/>
        <v>0</v>
      </c>
      <c r="I16" s="629">
        <f>'1.mell.kiadás_össz'!I15-'26._önként_össz_kiad'!I16-'26._államig_össz_kiad'!I16</f>
        <v>0</v>
      </c>
      <c r="J16" s="525">
        <f>'1.mell.kiadás_össz'!J15-'26._önként_össz_kiad'!J16-'26._államig_össz_kiad'!J16</f>
        <v>122133216</v>
      </c>
      <c r="K16" s="525">
        <f>'1.mell.kiadás_össz'!K15-'26._önként_össz_kiad'!K16-'26._államig_össz_kiad'!K16</f>
        <v>0</v>
      </c>
      <c r="L16" s="525">
        <f>'1.mell.kiadás_össz'!L15-'26._önként_össz_kiad'!L16</f>
        <v>45.179639548992334</v>
      </c>
    </row>
    <row r="17" spans="1:12" ht="12.2" customHeight="1" x14ac:dyDescent="0.2">
      <c r="A17" s="1003" t="s">
        <v>147</v>
      </c>
      <c r="B17" s="52" t="s">
        <v>88</v>
      </c>
      <c r="C17" s="504">
        <f>SUM(C18:C24)</f>
        <v>4692970365</v>
      </c>
      <c r="D17" s="625">
        <f t="shared" ref="D17:L17" si="3">SUM(D18:D24)</f>
        <v>4735834422</v>
      </c>
      <c r="E17" s="569">
        <f t="shared" si="3"/>
        <v>5621279475</v>
      </c>
      <c r="F17" s="569">
        <f t="shared" si="3"/>
        <v>6264007227</v>
      </c>
      <c r="G17" s="569">
        <f t="shared" si="3"/>
        <v>1259417</v>
      </c>
      <c r="H17" s="525">
        <f t="shared" si="2"/>
        <v>885445053</v>
      </c>
      <c r="I17" s="629" t="e">
        <f t="shared" si="3"/>
        <v>#REF!</v>
      </c>
      <c r="J17" s="525">
        <f t="shared" si="3"/>
        <v>3672775052</v>
      </c>
      <c r="K17" s="525" t="e">
        <f t="shared" si="3"/>
        <v>#REF!</v>
      </c>
      <c r="L17" s="525" t="e">
        <f t="shared" si="3"/>
        <v>#VALUE!</v>
      </c>
    </row>
    <row r="18" spans="1:12" ht="12.2" customHeight="1" x14ac:dyDescent="0.2">
      <c r="A18" s="1003" t="s">
        <v>306</v>
      </c>
      <c r="B18" s="693" t="s">
        <v>554</v>
      </c>
      <c r="C18" s="504">
        <f>'1.mell.kiadás_össz'!C17-'26._önként_össz_kiad'!C18-'26._államig_össz_kiad'!C18</f>
        <v>0</v>
      </c>
      <c r="D18" s="625">
        <f>'1.mell.kiadás_össz'!D17-'26._önként_össz_kiad'!D18-'26._államig_össz_kiad'!D18</f>
        <v>0</v>
      </c>
      <c r="E18" s="569">
        <f>'1.mell.kiadás_össz'!E17-'26._önként_össz_kiad'!E18-'26._államig_össz_kiad'!E18</f>
        <v>0</v>
      </c>
      <c r="F18" s="569">
        <f>'1.mell.kiadás_össz'!F17-'26._önként_össz_kiad'!F18-'26._államig_össz_kiad'!F18</f>
        <v>0</v>
      </c>
      <c r="G18" s="569">
        <f>'1.mell.kiadás_össz'!G17-'26._önként_össz_kiad'!G18-'26._államig_össz_kiad'!G18</f>
        <v>0</v>
      </c>
      <c r="H18" s="525">
        <f t="shared" si="2"/>
        <v>0</v>
      </c>
      <c r="I18" s="629">
        <f>'1.mell.kiadás_össz'!I17-'26._önként_össz_kiad'!I18-'26._államig_össz_kiad'!I18</f>
        <v>0</v>
      </c>
      <c r="J18" s="525">
        <f>'1.mell.kiadás_össz'!J17-'26._önként_össz_kiad'!J18-'26._államig_össz_kiad'!J18</f>
        <v>0</v>
      </c>
      <c r="K18" s="525">
        <f>'1.mell.kiadás_össz'!K17-'26._önként_össz_kiad'!K18-'26._államig_össz_kiad'!K18</f>
        <v>0</v>
      </c>
      <c r="L18" s="525" t="e">
        <f>'1.mell.kiadás_össz'!L17-'26._önként_össz_kiad'!L18</f>
        <v>#VALUE!</v>
      </c>
    </row>
    <row r="19" spans="1:12" ht="12.2" customHeight="1" x14ac:dyDescent="0.2">
      <c r="A19" s="1003" t="s">
        <v>307</v>
      </c>
      <c r="B19" s="816" t="s">
        <v>647</v>
      </c>
      <c r="C19" s="504">
        <f>'1.mell.kiadás_össz'!C18-'26._önként_össz_kiad'!C19-'26._államig_össz_kiad'!C19</f>
        <v>3222984305</v>
      </c>
      <c r="D19" s="625">
        <f>'1.mell.kiadás_össz'!D18-'26._önként_össz_kiad'!D19-'26._államig_össz_kiad'!D19</f>
        <v>3222984305</v>
      </c>
      <c r="E19" s="569">
        <f>'1.mell.kiadás_össz'!E18-'26._önként_össz_kiad'!E19-'26._államig_össz_kiad'!E19</f>
        <v>3222984305</v>
      </c>
      <c r="F19" s="569">
        <f>'1.mell.kiadás_össz'!F18-'26._önként_össz_kiad'!F19-'26._államig_össz_kiad'!F19</f>
        <v>3222984305</v>
      </c>
      <c r="G19" s="569">
        <f>'1.mell.kiadás_össz'!G18-'26._önként_össz_kiad'!G19-'26._államig_össz_kiad'!G19</f>
        <v>0</v>
      </c>
      <c r="H19" s="525">
        <f t="shared" si="2"/>
        <v>0</v>
      </c>
      <c r="I19" s="629">
        <f>'1.mell.kiadás_össz'!I18-'26._önként_össz_kiad'!I19-'26._államig_össz_kiad'!I19</f>
        <v>0</v>
      </c>
      <c r="J19" s="525">
        <f>'1.mell.kiadás_össz'!J18-'26._önként_össz_kiad'!J19-'26._államig_össz_kiad'!J19</f>
        <v>2449468069</v>
      </c>
      <c r="K19" s="525">
        <f>'1.mell.kiadás_össz'!K18-'26._önként_össz_kiad'!K19-'26._államig_össz_kiad'!K19</f>
        <v>0</v>
      </c>
      <c r="L19" s="525">
        <f>'1.mell.kiadás_össz'!L18-'26._önként_össz_kiad'!L19</f>
        <v>75.999999913124</v>
      </c>
    </row>
    <row r="20" spans="1:12" ht="12.2" customHeight="1" x14ac:dyDescent="0.2">
      <c r="A20" s="1003" t="s">
        <v>308</v>
      </c>
      <c r="B20" s="816" t="s">
        <v>646</v>
      </c>
      <c r="C20" s="504">
        <f>'1.mell.kiadás_össz'!C19-'26._önként_össz_kiad'!C20-'26._államig_össz_kiad'!C20</f>
        <v>0</v>
      </c>
      <c r="D20" s="625">
        <f>'1.mell.kiadás_össz'!D19-'26._önként_össz_kiad'!D20-'26._államig_össz_kiad'!D20</f>
        <v>0</v>
      </c>
      <c r="E20" s="569">
        <f>'1.mell.kiadás_össz'!E19-'26._önként_össz_kiad'!E20-'26._államig_össz_kiad'!E20</f>
        <v>0</v>
      </c>
      <c r="F20" s="569">
        <f>'1.mell.kiadás_össz'!F19-'26._önként_össz_kiad'!F20-'26._államig_össz_kiad'!F20</f>
        <v>0</v>
      </c>
      <c r="G20" s="569">
        <f>'1.mell.kiadás_össz'!G19-'26._önként_össz_kiad'!G20-'26._államig_össz_kiad'!G20</f>
        <v>0</v>
      </c>
      <c r="H20" s="525">
        <f t="shared" si="2"/>
        <v>0</v>
      </c>
      <c r="I20" s="629">
        <f>'1.mell.kiadás_össz'!I19-'26._önként_össz_kiad'!I20-'26._államig_össz_kiad'!I20</f>
        <v>0</v>
      </c>
      <c r="J20" s="525">
        <f>'1.mell.kiadás_össz'!J19-'26._önként_össz_kiad'!J20-'26._államig_össz_kiad'!J20</f>
        <v>0</v>
      </c>
      <c r="K20" s="525">
        <f>'1.mell.kiadás_össz'!K19-'26._önként_össz_kiad'!K20-'26._államig_össz_kiad'!K20</f>
        <v>0</v>
      </c>
      <c r="L20" s="525" t="e">
        <f>'1.mell.kiadás_össz'!L19-'26._önként_össz_kiad'!L20</f>
        <v>#VALUE!</v>
      </c>
    </row>
    <row r="21" spans="1:12" ht="12.2" customHeight="1" x14ac:dyDescent="0.2">
      <c r="A21" s="1003" t="s">
        <v>309</v>
      </c>
      <c r="B21" s="816" t="s">
        <v>645</v>
      </c>
      <c r="C21" s="504">
        <f>'1.mell.kiadás_össz'!C20-'26._önként_össz_kiad'!C21-'26._államig_össz_kiad'!C21</f>
        <v>14245500</v>
      </c>
      <c r="D21" s="625">
        <f>'1.mell.kiadás_össz'!D20-'26._önként_össz_kiad'!D21-'26._államig_össz_kiad'!D21</f>
        <v>14253080</v>
      </c>
      <c r="E21" s="569">
        <f>'1.mell.kiadás_össz'!E20-'26._önként_össz_kiad'!E21-'26._államig_össz_kiad'!E21</f>
        <v>14259417</v>
      </c>
      <c r="F21" s="569">
        <f>'1.mell.kiadás_össz'!F20-'26._önként_össz_kiad'!F21-'26._államig_össz_kiad'!F21</f>
        <v>81512799</v>
      </c>
      <c r="G21" s="569">
        <f>'1.mell.kiadás_össz'!G20-'26._önként_össz_kiad'!G21-'26._államig_össz_kiad'!G21</f>
        <v>1259417</v>
      </c>
      <c r="H21" s="525">
        <f t="shared" si="2"/>
        <v>6337</v>
      </c>
      <c r="I21" s="629">
        <f>'1.mell.kiadás_össz'!I20-'26._önként_össz_kiad'!I21-'26._államig_össz_kiad'!I21</f>
        <v>3545401</v>
      </c>
      <c r="J21" s="525">
        <f>'1.mell.kiadás_össz'!J20-'26._önként_össz_kiad'!J21-'26._államig_össz_kiad'!J21</f>
        <v>13970930</v>
      </c>
      <c r="K21" s="525">
        <f>'1.mell.kiadás_össz'!K20-'26._önként_össz_kiad'!K21-'26._államig_össz_kiad'!K21</f>
        <v>0</v>
      </c>
      <c r="L21" s="525">
        <f>'1.mell.kiadás_össz'!L20-'26._önként_össz_kiad'!L21</f>
        <v>16.671997094372941</v>
      </c>
    </row>
    <row r="22" spans="1:12" ht="12.2" customHeight="1" x14ac:dyDescent="0.2">
      <c r="A22" s="1003" t="s">
        <v>310</v>
      </c>
      <c r="B22" s="816" t="s">
        <v>650</v>
      </c>
      <c r="C22" s="504">
        <f>'1.mell.kiadás_össz'!C21-'26._önként_össz_kiad'!C22-'26._államig_össz_kiad'!C22</f>
        <v>0</v>
      </c>
      <c r="D22" s="625">
        <f>'1.mell.kiadás_össz'!D21-'26._önként_össz_kiad'!D22-'26._államig_össz_kiad'!D22</f>
        <v>0</v>
      </c>
      <c r="E22" s="569">
        <f>'1.mell.kiadás_össz'!E21-'26._önként_össz_kiad'!E22-'26._államig_össz_kiad'!E22</f>
        <v>0</v>
      </c>
      <c r="F22" s="569">
        <f>'1.mell.kiadás_össz'!F21-'26._önként_össz_kiad'!F22-'26._államig_össz_kiad'!F22</f>
        <v>0</v>
      </c>
      <c r="G22" s="569">
        <f>'1.mell.kiadás_össz'!G21-'26._önként_össz_kiad'!G22-'26._államig_össz_kiad'!G22</f>
        <v>0</v>
      </c>
      <c r="H22" s="525">
        <f t="shared" si="2"/>
        <v>0</v>
      </c>
      <c r="I22" s="629">
        <f>'1.mell.kiadás_össz'!I21-'26._önként_össz_kiad'!I22-'26._államig_össz_kiad'!I22</f>
        <v>0</v>
      </c>
      <c r="J22" s="525">
        <f>'1.mell.kiadás_össz'!J21-'26._önként_össz_kiad'!J22-'26._államig_össz_kiad'!J22</f>
        <v>0</v>
      </c>
      <c r="K22" s="525">
        <f>'1.mell.kiadás_össz'!K21-'26._önként_össz_kiad'!K22-'26._államig_össz_kiad'!K22</f>
        <v>0</v>
      </c>
      <c r="L22" s="525" t="e">
        <f>'1.mell.kiadás_össz'!L21-'26._önként_össz_kiad'!L22</f>
        <v>#VALUE!</v>
      </c>
    </row>
    <row r="23" spans="1:12" ht="12.2" customHeight="1" x14ac:dyDescent="0.2">
      <c r="A23" s="1003" t="s">
        <v>361</v>
      </c>
      <c r="B23" s="816" t="s">
        <v>644</v>
      </c>
      <c r="C23" s="504">
        <f>'1.mell.kiadás_össz'!C22-'26._önként_össz_kiad'!C23-'26._államig_össz_kiad'!C23</f>
        <v>901900000</v>
      </c>
      <c r="D23" s="625">
        <f>'1.mell.kiadás_össz'!D22-'26._önként_össz_kiad'!D23-'26._államig_össz_kiad'!D23</f>
        <v>989528000</v>
      </c>
      <c r="E23" s="569">
        <f>'1.mell.kiadás_össz'!E22-'26._önként_össz_kiad'!E23-'26._államig_össz_kiad'!E23</f>
        <v>1188728000</v>
      </c>
      <c r="F23" s="569">
        <f>'1.mell.kiadás_össz'!F22-'26._önként_össz_kiad'!F23-'26._államig_össz_kiad'!F23</f>
        <v>1755525658</v>
      </c>
      <c r="G23" s="569">
        <f>'1.mell.kiadás_össz'!G22-'26._önként_össz_kiad'!G23-'26._államig_össz_kiad'!G23</f>
        <v>0</v>
      </c>
      <c r="H23" s="525">
        <f t="shared" si="2"/>
        <v>199200000</v>
      </c>
      <c r="I23" s="629" t="e">
        <f>'1.mell.kiadás_össz'!I22-'26._önként_össz_kiad'!I23-'26._államig_össz_kiad'!I23</f>
        <v>#REF!</v>
      </c>
      <c r="J23" s="525">
        <f>'1.mell.kiadás_össz'!J22-'26._önként_össz_kiad'!J23-'26._államig_össz_kiad'!J23</f>
        <v>1209336053</v>
      </c>
      <c r="K23" s="525" t="e">
        <f>'1.mell.kiadás_össz'!K22-'26._önként_össz_kiad'!K23-'26._államig_össz_kiad'!K23</f>
        <v>#REF!</v>
      </c>
      <c r="L23" s="525">
        <f>'1.mell.kiadás_össz'!L22-'26._önként_össz_kiad'!L23</f>
        <v>68.887404037019209</v>
      </c>
    </row>
    <row r="24" spans="1:12" ht="12.2" customHeight="1" x14ac:dyDescent="0.2">
      <c r="A24" s="1003" t="s">
        <v>615</v>
      </c>
      <c r="B24" s="817" t="s">
        <v>649</v>
      </c>
      <c r="C24" s="1022">
        <f>'1.mell.kiadás_össz'!C23-'26._önként_össz_kiad'!C24-'26._államig_össz_kiad'!C24</f>
        <v>553840560</v>
      </c>
      <c r="D24" s="669">
        <f>'1.mell.kiadás_össz'!D23-'26._önként_össz_kiad'!D24-'26._államig_össz_kiad'!D24</f>
        <v>509069037</v>
      </c>
      <c r="E24" s="606">
        <f>'1.mell.kiadás_össz'!E23-'26._önként_össz_kiad'!E24-'26._államig_össz_kiad'!E24</f>
        <v>1195307753</v>
      </c>
      <c r="F24" s="606">
        <f>'1.mell.kiadás_össz'!F23-'26._önként_össz_kiad'!F24-'26._államig_össz_kiad'!F24</f>
        <v>1203984465</v>
      </c>
      <c r="G24" s="606">
        <f>'1.mell.kiadás_össz'!G23-'26._önként_össz_kiad'!G24-'26._államig_össz_kiad'!G24</f>
        <v>0</v>
      </c>
      <c r="H24" s="534">
        <f t="shared" si="2"/>
        <v>686238716</v>
      </c>
      <c r="I24" s="826">
        <f>'1.mell.kiadás_össz'!I23-'26._önként_össz_kiad'!I24-'26._államig_össz_kiad'!I24</f>
        <v>0</v>
      </c>
      <c r="J24" s="527">
        <f>'1.mell.kiadás_össz'!J23-'26._önként_össz_kiad'!J24-'26._államig_össz_kiad'!J24</f>
        <v>0</v>
      </c>
      <c r="K24" s="527">
        <f>'1.mell.kiadás_össz'!K23-'26._önként_össz_kiad'!K24-'26._államig_össz_kiad'!K24</f>
        <v>0</v>
      </c>
      <c r="L24" s="527">
        <f>'1.mell.kiadás_össz'!L23-'26._önként_össz_kiad'!L24</f>
        <v>0</v>
      </c>
    </row>
    <row r="25" spans="1:12" ht="12.75" customHeight="1" x14ac:dyDescent="0.2">
      <c r="A25" s="12" t="s">
        <v>616</v>
      </c>
      <c r="B25" s="818" t="s">
        <v>617</v>
      </c>
      <c r="C25" s="114">
        <f>'1.mell.kiadás_össz'!C24-'26._önként_össz_kiad'!C25-'26._államig_össz_kiad'!C25</f>
        <v>100000000</v>
      </c>
      <c r="D25" s="185">
        <f>'1.mell.kiadás_össz'!D24-'26._önként_össz_kiad'!D25-'26._államig_össz_kiad'!D25</f>
        <v>100000000</v>
      </c>
      <c r="E25" s="567">
        <f>'1.mell.kiadás_össz'!E24-'26._önként_össz_kiad'!E25-'26._államig_össz_kiad'!E25</f>
        <v>100000000</v>
      </c>
      <c r="F25" s="567">
        <f>'1.mell.kiadás_össz'!F24-'26._önként_össz_kiad'!F25-'26._államig_össz_kiad'!F25</f>
        <v>100000000</v>
      </c>
      <c r="G25" s="567">
        <f>'1.mell.kiadás_össz'!G24-'26._önként_össz_kiad'!G25-'26._államig_össz_kiad'!G25</f>
        <v>0</v>
      </c>
      <c r="H25" s="16">
        <f t="shared" si="2"/>
        <v>0</v>
      </c>
      <c r="I25" s="626">
        <f>'1.mell.kiadás_össz'!I24-'26._önként_össz_kiad'!I25-'26._államig_össz_kiad'!I25</f>
        <v>0</v>
      </c>
      <c r="J25" s="16">
        <f>'1.mell.kiadás_össz'!J24-'26._önként_össz_kiad'!J25-'26._államig_össz_kiad'!J25</f>
        <v>0</v>
      </c>
      <c r="K25" s="16">
        <f>'1.mell.kiadás_össz'!K24-'26._önként_össz_kiad'!K25-'26._államig_össz_kiad'!K25</f>
        <v>0</v>
      </c>
      <c r="L25" s="16">
        <f>'1.mell.kiadás_össz'!L24-'26._önként_össz_kiad'!L25</f>
        <v>0</v>
      </c>
    </row>
    <row r="26" spans="1:12" ht="12.75" customHeight="1" x14ac:dyDescent="0.2">
      <c r="A26" s="1005" t="s">
        <v>618</v>
      </c>
      <c r="B26" s="819" t="s">
        <v>619</v>
      </c>
      <c r="C26" s="401">
        <f>'1.mell.kiadás_össz'!C25-'26._önként_össz_kiad'!C26-'26._államig_össz_kiad'!C26</f>
        <v>453840560</v>
      </c>
      <c r="D26" s="325">
        <f>'1.mell.kiadás_össz'!D25-'26._önként_össz_kiad'!D26-'26._államig_össz_kiad'!D26</f>
        <v>409069037</v>
      </c>
      <c r="E26" s="568">
        <f>'1.mell.kiadás_össz'!E25-'26._önként_össz_kiad'!E26-'26._államig_össz_kiad'!E26</f>
        <v>1095307753</v>
      </c>
      <c r="F26" s="568">
        <f>'1.mell.kiadás_össz'!F25-'26._önként_össz_kiad'!F26-'26._államig_össz_kiad'!F26</f>
        <v>1103984465</v>
      </c>
      <c r="G26" s="568">
        <f>'1.mell.kiadás_össz'!G25-'26._önként_össz_kiad'!G26-'26._államig_össz_kiad'!G26</f>
        <v>0</v>
      </c>
      <c r="H26" s="327">
        <f t="shared" si="2"/>
        <v>686238716</v>
      </c>
      <c r="I26" s="627">
        <f>'1.mell.kiadás_össz'!I25-'26._önként_össz_kiad'!I26-'26._államig_össz_kiad'!I26</f>
        <v>0</v>
      </c>
      <c r="J26" s="327">
        <f>'1.mell.kiadás_össz'!J25-'26._önként_össz_kiad'!J26-'26._államig_össz_kiad'!J26</f>
        <v>0</v>
      </c>
      <c r="K26" s="327">
        <f>'1.mell.kiadás_össz'!K25-'26._önként_össz_kiad'!K26-'26._államig_össz_kiad'!K26</f>
        <v>0</v>
      </c>
      <c r="L26" s="327">
        <f>'1.mell.kiadás_össz'!L25-'26._önként_össz_kiad'!L26</f>
        <v>0</v>
      </c>
    </row>
    <row r="27" spans="1:12" ht="12.75" customHeight="1" x14ac:dyDescent="0.2">
      <c r="A27" s="1005" t="s">
        <v>620</v>
      </c>
      <c r="B27" s="820" t="s">
        <v>648</v>
      </c>
      <c r="C27" s="401">
        <f>'1.mell.kiadás_össz'!C26-'26._önként_össz_kiad'!C27-'26._államig_össz_kiad'!C27</f>
        <v>403840560</v>
      </c>
      <c r="D27" s="325">
        <f>'1.mell.kiadás_össz'!D26-'26._önként_össz_kiad'!D27-'26._államig_össz_kiad'!D27</f>
        <v>368069037</v>
      </c>
      <c r="E27" s="568">
        <f>'1.mell.kiadás_össz'!E26-'26._önként_össz_kiad'!E27-'26._államig_össz_kiad'!E27</f>
        <v>1054307753</v>
      </c>
      <c r="F27" s="568">
        <f>'1.mell.kiadás_össz'!F26-'26._önként_össz_kiad'!F27-'26._államig_össz_kiad'!F27</f>
        <v>1062984465</v>
      </c>
      <c r="G27" s="568">
        <f>'1.mell.kiadás_össz'!G26-'26._önként_össz_kiad'!G27-'26._államig_össz_kiad'!G27</f>
        <v>0</v>
      </c>
      <c r="H27" s="327">
        <f t="shared" si="2"/>
        <v>686238716</v>
      </c>
      <c r="I27" s="627">
        <f>'1.mell.kiadás_össz'!I26-'26._önként_össz_kiad'!I27-'26._államig_össz_kiad'!I27</f>
        <v>0</v>
      </c>
      <c r="J27" s="327">
        <f>'1.mell.kiadás_össz'!J26-'26._önként_össz_kiad'!J27-'26._államig_össz_kiad'!J27</f>
        <v>0</v>
      </c>
      <c r="K27" s="327">
        <f>'1.mell.kiadás_össz'!K26-'26._önként_össz_kiad'!K27-'26._államig_össz_kiad'!K27</f>
        <v>0</v>
      </c>
      <c r="L27" s="327">
        <f>'1.mell.kiadás_össz'!L26-'26._önként_össz_kiad'!L27</f>
        <v>0</v>
      </c>
    </row>
    <row r="28" spans="1:12" ht="12.75" customHeight="1" thickBot="1" x14ac:dyDescent="0.25">
      <c r="A28" s="1005" t="s">
        <v>621</v>
      </c>
      <c r="B28" s="820" t="s">
        <v>636</v>
      </c>
      <c r="C28" s="401">
        <f>'1.mell.kiadás_össz'!C27-'26._önként_össz_kiad'!C28-'26._államig_össz_kiad'!C28</f>
        <v>50000000</v>
      </c>
      <c r="D28" s="325">
        <f>'1.mell.kiadás_össz'!D27-'26._önként_össz_kiad'!D28-'26._államig_össz_kiad'!D28</f>
        <v>41000000</v>
      </c>
      <c r="E28" s="568">
        <f>'1.mell.kiadás_össz'!E27-'26._önként_össz_kiad'!E28-'26._államig_össz_kiad'!E28</f>
        <v>41000000</v>
      </c>
      <c r="F28" s="568">
        <f>'1.mell.kiadás_össz'!F27-'26._önként_össz_kiad'!F28-'26._államig_össz_kiad'!F28</f>
        <v>41000000</v>
      </c>
      <c r="G28" s="568">
        <f>'1.mell.kiadás_össz'!G27-'26._önként_össz_kiad'!G28-'26._államig_össz_kiad'!G28</f>
        <v>0</v>
      </c>
      <c r="H28" s="327">
        <f t="shared" si="2"/>
        <v>0</v>
      </c>
      <c r="I28" s="627">
        <f>'1.mell.kiadás_össz'!I27-'26._önként_össz_kiad'!I28-'26._államig_össz_kiad'!I28</f>
        <v>0</v>
      </c>
      <c r="J28" s="327">
        <f>'1.mell.kiadás_össz'!J27-'26._önként_össz_kiad'!J28-'26._államig_össz_kiad'!J28</f>
        <v>0</v>
      </c>
      <c r="K28" s="327">
        <f>'1.mell.kiadás_össz'!K27-'26._önként_össz_kiad'!K28-'26._államig_össz_kiad'!K28</f>
        <v>0</v>
      </c>
      <c r="L28" s="327">
        <f>'1.mell.kiadás_össz'!L27-'26._önként_össz_kiad'!L28</f>
        <v>0</v>
      </c>
    </row>
    <row r="29" spans="1:12" ht="12.2" customHeight="1" thickBot="1" x14ac:dyDescent="0.25">
      <c r="A29" s="14" t="s">
        <v>13</v>
      </c>
      <c r="B29" s="100" t="s">
        <v>384</v>
      </c>
      <c r="C29" s="113">
        <f>+C30+C32+C34</f>
        <v>533026491</v>
      </c>
      <c r="D29" s="186">
        <f t="shared" ref="D29:K29" si="4">+D30+D32+D34</f>
        <v>1062816697</v>
      </c>
      <c r="E29" s="566">
        <f t="shared" si="4"/>
        <v>1094821521</v>
      </c>
      <c r="F29" s="566">
        <f t="shared" si="4"/>
        <v>1789057717</v>
      </c>
      <c r="G29" s="566">
        <f t="shared" si="4"/>
        <v>0</v>
      </c>
      <c r="H29" s="28">
        <f t="shared" si="2"/>
        <v>32004824</v>
      </c>
      <c r="I29" s="628">
        <f t="shared" si="4"/>
        <v>210603455</v>
      </c>
      <c r="J29" s="28">
        <f t="shared" si="4"/>
        <v>902185085</v>
      </c>
      <c r="K29" s="28" t="e">
        <f t="shared" si="4"/>
        <v>#VALUE!</v>
      </c>
      <c r="L29" s="28">
        <f t="shared" ref="L29" si="5">+L30+L32+L34</f>
        <v>153.48978933581816</v>
      </c>
    </row>
    <row r="30" spans="1:12" ht="12.2" customHeight="1" x14ac:dyDescent="0.2">
      <c r="A30" s="12" t="s">
        <v>94</v>
      </c>
      <c r="B30" s="330" t="s">
        <v>119</v>
      </c>
      <c r="C30" s="114">
        <f>'1.mell.kiadás_össz'!C29-'26._önként_össz_kiad'!C30-'26._államig_össz_kiad'!C30</f>
        <v>103505900</v>
      </c>
      <c r="D30" s="185">
        <f>'1.mell.kiadás_össz'!D29-'26._önként_össz_kiad'!D30-'26._államig_össz_kiad'!D30</f>
        <v>219649564</v>
      </c>
      <c r="E30" s="567">
        <f>'1.mell.kiadás_össz'!E29-'26._önként_össz_kiad'!E30-'26._államig_össz_kiad'!E30</f>
        <v>241172800</v>
      </c>
      <c r="F30" s="567">
        <f>'1.mell.kiadás_össz'!F29-'26._önként_össz_kiad'!F30-'26._államig_össz_kiad'!F30</f>
        <v>447908996</v>
      </c>
      <c r="G30" s="567">
        <f>'1.mell.kiadás_össz'!G29-'26._önként_össz_kiad'!G30-'26._államig_össz_kiad'!G30</f>
        <v>0</v>
      </c>
      <c r="H30" s="16">
        <f t="shared" si="2"/>
        <v>21523236</v>
      </c>
      <c r="I30" s="626">
        <f>'1.mell.kiadás_össz'!I29-'26._önként_össz_kiad'!I30-'26._államig_össz_kiad'!I30</f>
        <v>180603455</v>
      </c>
      <c r="J30" s="16">
        <f>'1.mell.kiadás_össz'!J29-'26._önként_össz_kiad'!J30-'26._államig_össz_kiad'!J30</f>
        <v>274829598</v>
      </c>
      <c r="K30" s="16">
        <f>'1.mell.kiadás_össz'!K29-'26._önként_össz_kiad'!K30-'26._államig_össz_kiad'!K30</f>
        <v>175.50548216442655</v>
      </c>
      <c r="L30" s="16">
        <f>'1.mell.kiadás_össz'!L29-'26._önként_össz_kiad'!L30</f>
        <v>61.358356374695369</v>
      </c>
    </row>
    <row r="31" spans="1:12" ht="12.2" customHeight="1" x14ac:dyDescent="0.2">
      <c r="A31" s="12" t="s">
        <v>316</v>
      </c>
      <c r="B31" s="819" t="s">
        <v>225</v>
      </c>
      <c r="C31" s="114">
        <f>'1.mell.kiadás_össz'!C30-'26._önként_össz_kiad'!C31-'26._államig_össz_kiad'!C31</f>
        <v>0</v>
      </c>
      <c r="D31" s="185">
        <f>'1.mell.kiadás_össz'!D30-'26._önként_össz_kiad'!D31-'26._államig_össz_kiad'!D31</f>
        <v>56894300</v>
      </c>
      <c r="E31" s="567">
        <f>'1.mell.kiadás_össz'!E30-'26._önként_össz_kiad'!E31-'26._államig_össz_kiad'!E31</f>
        <v>56894300</v>
      </c>
      <c r="F31" s="567">
        <f>'1.mell.kiadás_össz'!F30-'26._önként_össz_kiad'!F31-'26._államig_össz_kiad'!F31</f>
        <v>188851803</v>
      </c>
      <c r="G31" s="567">
        <f>'1.mell.kiadás_össz'!G30-'26._önként_össz_kiad'!G31-'26._államig_össz_kiad'!G31</f>
        <v>0</v>
      </c>
      <c r="H31" s="16">
        <f t="shared" si="2"/>
        <v>0</v>
      </c>
      <c r="I31" s="626">
        <f>'1.mell.kiadás_össz'!I30-'26._önként_össz_kiad'!I31-'26._államig_össz_kiad'!I31</f>
        <v>0</v>
      </c>
      <c r="J31" s="16">
        <f>'1.mell.kiadás_össz'!J30-'26._önként_össz_kiad'!J31-'26._államig_össz_kiad'!J31</f>
        <v>131957503</v>
      </c>
      <c r="K31" s="16">
        <f>'1.mell.kiadás_össz'!K30-'26._önként_össz_kiad'!K31-'26._államig_össz_kiad'!K31</f>
        <v>0</v>
      </c>
      <c r="L31" s="16">
        <f>'1.mell.kiadás_össz'!L30-'26._önként_össz_kiad'!L31</f>
        <v>69.87357330128323</v>
      </c>
    </row>
    <row r="32" spans="1:12" ht="12.2" customHeight="1" x14ac:dyDescent="0.2">
      <c r="A32" s="12" t="s">
        <v>95</v>
      </c>
      <c r="B32" s="354" t="s">
        <v>2</v>
      </c>
      <c r="C32" s="401">
        <f>'1.mell.kiadás_össz'!C31-'26._önként_össz_kiad'!C32-'26._államig_össz_kiad'!C32</f>
        <v>428020591</v>
      </c>
      <c r="D32" s="325">
        <f>'1.mell.kiadás_össz'!D31-'26._önként_össz_kiad'!D32-'26._államig_össz_kiad'!D32</f>
        <v>642682133</v>
      </c>
      <c r="E32" s="568">
        <f>'1.mell.kiadás_össz'!E31-'26._önként_össz_kiad'!E32-'26._államig_össz_kiad'!E32</f>
        <v>653163721</v>
      </c>
      <c r="F32" s="568">
        <f>'1.mell.kiadás_össz'!F31-'26._önként_össz_kiad'!F32-'26._államig_össz_kiad'!F32</f>
        <v>653163721</v>
      </c>
      <c r="G32" s="568">
        <f>'1.mell.kiadás_össz'!G31-'26._önként_össz_kiad'!G32-'26._államig_össz_kiad'!G32</f>
        <v>0</v>
      </c>
      <c r="H32" s="327">
        <f t="shared" si="2"/>
        <v>10481588</v>
      </c>
      <c r="I32" s="627">
        <f>'1.mell.kiadás_össz'!I31-'26._önként_össz_kiad'!I32-'26._államig_össz_kiad'!I32</f>
        <v>0</v>
      </c>
      <c r="J32" s="327">
        <f>'1.mell.kiadás_össz'!J31-'26._önként_össz_kiad'!J32-'26._államig_össz_kiad'!J32</f>
        <v>121829731</v>
      </c>
      <c r="K32" s="327" t="e">
        <f>'1.mell.kiadás_össz'!K31-'26._önként_össz_kiad'!K32-'26._államig_össz_kiad'!K32</f>
        <v>#VALUE!</v>
      </c>
      <c r="L32" s="327">
        <f>'1.mell.kiadás_össz'!L31-'26._önként_össz_kiad'!L32</f>
        <v>18.652250130101759</v>
      </c>
    </row>
    <row r="33" spans="1:17" ht="12.2" customHeight="1" x14ac:dyDescent="0.2">
      <c r="A33" s="12" t="s">
        <v>315</v>
      </c>
      <c r="B33" s="819" t="s">
        <v>553</v>
      </c>
      <c r="C33" s="401">
        <f>'1.mell.kiadás_össz'!C32-'26._önként_össz_kiad'!C33-'26._államig_össz_kiad'!C33</f>
        <v>0</v>
      </c>
      <c r="D33" s="325">
        <f>'1.mell.kiadás_össz'!D32-'26._önként_össz_kiad'!D33-'26._államig_össz_kiad'!D33</f>
        <v>172803287</v>
      </c>
      <c r="E33" s="568">
        <f>'1.mell.kiadás_össz'!E32-'26._önként_össz_kiad'!E33-'26._államig_össz_kiad'!E33</f>
        <v>172803287</v>
      </c>
      <c r="F33" s="568">
        <f>'1.mell.kiadás_össz'!F32-'26._önként_össz_kiad'!F33-'26._államig_össz_kiad'!F33</f>
        <v>172803287</v>
      </c>
      <c r="G33" s="568">
        <f>'1.mell.kiadás_össz'!G32-'26._önként_össz_kiad'!G33-'26._államig_össz_kiad'!G33</f>
        <v>0</v>
      </c>
      <c r="H33" s="327">
        <f t="shared" si="2"/>
        <v>0</v>
      </c>
      <c r="I33" s="627">
        <f>'1.mell.kiadás_össz'!I32-'26._önként_össz_kiad'!I33-'26._államig_össz_kiad'!I33</f>
        <v>0</v>
      </c>
      <c r="J33" s="327">
        <f>'1.mell.kiadás_össz'!J32-'26._önként_össz_kiad'!J33-'26._államig_össz_kiad'!J33</f>
        <v>0</v>
      </c>
      <c r="K33" s="327">
        <f>'1.mell.kiadás_össz'!K32-'26._önként_össz_kiad'!K33-'26._államig_össz_kiad'!K33</f>
        <v>0</v>
      </c>
      <c r="L33" s="327">
        <f>'1.mell.kiadás_össz'!L32-'26._önként_össz_kiad'!L33</f>
        <v>0</v>
      </c>
    </row>
    <row r="34" spans="1:17" ht="12.2" customHeight="1" x14ac:dyDescent="0.2">
      <c r="A34" s="12" t="s">
        <v>96</v>
      </c>
      <c r="B34" s="496" t="s">
        <v>268</v>
      </c>
      <c r="C34" s="401">
        <f>SUM(C35:C38)</f>
        <v>1500000</v>
      </c>
      <c r="D34" s="325">
        <f t="shared" ref="D34:K34" si="6">SUM(D35:D38)</f>
        <v>200485000</v>
      </c>
      <c r="E34" s="568">
        <f t="shared" si="6"/>
        <v>200485000</v>
      </c>
      <c r="F34" s="568">
        <f t="shared" si="6"/>
        <v>687985000</v>
      </c>
      <c r="G34" s="568">
        <f t="shared" si="6"/>
        <v>0</v>
      </c>
      <c r="H34" s="327">
        <f t="shared" si="2"/>
        <v>0</v>
      </c>
      <c r="I34" s="627">
        <f t="shared" si="6"/>
        <v>30000000</v>
      </c>
      <c r="J34" s="327">
        <f t="shared" si="6"/>
        <v>505525756</v>
      </c>
      <c r="K34" s="327">
        <f t="shared" si="6"/>
        <v>0</v>
      </c>
      <c r="L34" s="327">
        <f>'1.mell.kiadás_össz'!L33-'26._önként_össz_kiad'!L34</f>
        <v>73.479182831021035</v>
      </c>
    </row>
    <row r="35" spans="1:17" ht="12.2" customHeight="1" x14ac:dyDescent="0.2">
      <c r="A35" s="12" t="s">
        <v>317</v>
      </c>
      <c r="B35" s="351" t="s">
        <v>226</v>
      </c>
      <c r="C35" s="401">
        <f>'1.mell.kiadás_össz'!C34-'26._önként_össz_kiad'!C35-'26._államig_össz_kiad'!C35</f>
        <v>0</v>
      </c>
      <c r="D35" s="325">
        <f>'1.mell.kiadás_össz'!D34-'26._önként_össz_kiad'!D35-'26._államig_össz_kiad'!D35</f>
        <v>0</v>
      </c>
      <c r="E35" s="568">
        <f>'1.mell.kiadás_össz'!E34-'26._önként_össz_kiad'!E35-'26._államig_össz_kiad'!E35</f>
        <v>0</v>
      </c>
      <c r="F35" s="568">
        <f>'1.mell.kiadás_össz'!F34-'26._önként_össz_kiad'!F35-'26._államig_össz_kiad'!F35</f>
        <v>0</v>
      </c>
      <c r="G35" s="568">
        <f>'1.mell.kiadás_össz'!G34-'26._önként_össz_kiad'!G35-'26._államig_össz_kiad'!G35</f>
        <v>0</v>
      </c>
      <c r="H35" s="327">
        <f t="shared" si="2"/>
        <v>0</v>
      </c>
      <c r="I35" s="627">
        <f>'1.mell.kiadás_össz'!I34-'26._önként_össz_kiad'!I35-'26._államig_össz_kiad'!I35</f>
        <v>0</v>
      </c>
      <c r="J35" s="327">
        <f>'1.mell.kiadás_össz'!J34-'26._önként_össz_kiad'!J35-'26._államig_össz_kiad'!J35</f>
        <v>0</v>
      </c>
      <c r="K35" s="327">
        <f>'1.mell.kiadás_össz'!K34-'26._önként_össz_kiad'!K35-'26._államig_össz_kiad'!K35</f>
        <v>0</v>
      </c>
      <c r="L35" s="327" t="e">
        <f>'1.mell.kiadás_össz'!L34-'26._önként_össz_kiad'!L35</f>
        <v>#VALUE!</v>
      </c>
      <c r="P35" s="25" t="s">
        <v>385</v>
      </c>
    </row>
    <row r="36" spans="1:17" ht="12.2" customHeight="1" x14ac:dyDescent="0.2">
      <c r="A36" s="12" t="s">
        <v>318</v>
      </c>
      <c r="B36" s="351" t="s">
        <v>227</v>
      </c>
      <c r="C36" s="401">
        <f>'1.mell.kiadás_össz'!C35-'26._önként_össz_kiad'!C36-'26._államig_össz_kiad'!C36</f>
        <v>1500000</v>
      </c>
      <c r="D36" s="325">
        <f>'1.mell.kiadás_össz'!D35-'26._önként_össz_kiad'!D36-'26._államig_össz_kiad'!D36</f>
        <v>1613000</v>
      </c>
      <c r="E36" s="568">
        <f>'1.mell.kiadás_össz'!E35-'26._önként_össz_kiad'!E36-'26._államig_össz_kiad'!E36</f>
        <v>1613000</v>
      </c>
      <c r="F36" s="568">
        <f>'1.mell.kiadás_össz'!F35-'26._önként_össz_kiad'!F36-'26._államig_össz_kiad'!F36</f>
        <v>31613000</v>
      </c>
      <c r="G36" s="568">
        <f>'1.mell.kiadás_össz'!G35-'26._önként_össz_kiad'!G36-'26._államig_össz_kiad'!G36</f>
        <v>0</v>
      </c>
      <c r="H36" s="327">
        <f t="shared" si="2"/>
        <v>0</v>
      </c>
      <c r="I36" s="627">
        <f>'1.mell.kiadás_össz'!I35-'26._önként_össz_kiad'!I36-'26._államig_össz_kiad'!I36</f>
        <v>30000000</v>
      </c>
      <c r="J36" s="327">
        <f>'1.mell.kiadás_össz'!J35-'26._önként_össz_kiad'!J36-'26._államig_össz_kiad'!J36</f>
        <v>30000000</v>
      </c>
      <c r="K36" s="327">
        <f>'1.mell.kiadás_össz'!K35-'26._önként_össz_kiad'!K36-'26._államig_össz_kiad'!K36</f>
        <v>0</v>
      </c>
      <c r="L36" s="327">
        <f>'1.mell.kiadás_össz'!L35-'26._önként_össz_kiad'!L36</f>
        <v>94.897668680606088</v>
      </c>
    </row>
    <row r="37" spans="1:17" ht="12.2" customHeight="1" x14ac:dyDescent="0.2">
      <c r="A37" s="12" t="s">
        <v>319</v>
      </c>
      <c r="B37" s="351" t="s">
        <v>224</v>
      </c>
      <c r="C37" s="401">
        <f>'1.mell.kiadás_össz'!C36-'26._önként_össz_kiad'!C37-'26._államig_össz_kiad'!C37</f>
        <v>0</v>
      </c>
      <c r="D37" s="325">
        <f>'1.mell.kiadás_össz'!D36-'26._önként_össz_kiad'!D37-'26._államig_össz_kiad'!D37</f>
        <v>0</v>
      </c>
      <c r="E37" s="568">
        <f>'1.mell.kiadás_össz'!E36-'26._önként_össz_kiad'!E37-'26._államig_össz_kiad'!E37</f>
        <v>0</v>
      </c>
      <c r="F37" s="568">
        <f>'1.mell.kiadás_össz'!F36-'26._önként_össz_kiad'!F37-'26._államig_össz_kiad'!F37</f>
        <v>264000000</v>
      </c>
      <c r="G37" s="568">
        <f>'1.mell.kiadás_össz'!G36-'26._önként_össz_kiad'!G37-'26._államig_össz_kiad'!G37</f>
        <v>0</v>
      </c>
      <c r="H37" s="327">
        <f t="shared" si="2"/>
        <v>0</v>
      </c>
      <c r="I37" s="627">
        <f>'1.mell.kiadás_össz'!I36-'26._önként_össz_kiad'!I37-'26._államig_össz_kiad'!I37</f>
        <v>0</v>
      </c>
      <c r="J37" s="327">
        <f>'1.mell.kiadás_össz'!J36-'26._önként_össz_kiad'!J37-'26._államig_össz_kiad'!J37</f>
        <v>169600000</v>
      </c>
      <c r="K37" s="327">
        <f>'1.mell.kiadás_össz'!K36-'26._önként_össz_kiad'!K37-'26._államig_össz_kiad'!K37</f>
        <v>0</v>
      </c>
      <c r="L37" s="327">
        <f>'1.mell.kiadás_össz'!L36-'26._önként_össz_kiad'!L37</f>
        <v>64.242424242424249</v>
      </c>
    </row>
    <row r="38" spans="1:17" ht="12.2" customHeight="1" thickBot="1" x14ac:dyDescent="0.25">
      <c r="A38" s="12" t="s">
        <v>320</v>
      </c>
      <c r="B38" s="351" t="s">
        <v>228</v>
      </c>
      <c r="C38" s="401">
        <f>'1.mell.kiadás_össz'!C37-'26._önként_össz_kiad'!C38-'26._államig_össz_kiad'!C38</f>
        <v>0</v>
      </c>
      <c r="D38" s="325">
        <f>'1.mell.kiadás_össz'!D37-'26._önként_össz_kiad'!D38-'26._államig_össz_kiad'!D38</f>
        <v>198872000</v>
      </c>
      <c r="E38" s="568">
        <f>'1.mell.kiadás_össz'!E37-'26._önként_össz_kiad'!E38-'26._államig_össz_kiad'!E38</f>
        <v>198872000</v>
      </c>
      <c r="F38" s="568">
        <f>'1.mell.kiadás_össz'!F37-'26._önként_össz_kiad'!F38-'26._államig_össz_kiad'!F38</f>
        <v>392372000</v>
      </c>
      <c r="G38" s="568">
        <f>'1.mell.kiadás_össz'!G37-'26._önként_össz_kiad'!G38-'26._államig_össz_kiad'!G38</f>
        <v>0</v>
      </c>
      <c r="H38" s="327">
        <f t="shared" si="2"/>
        <v>0</v>
      </c>
      <c r="I38" s="627">
        <f>'1.mell.kiadás_össz'!I37-'26._önként_össz_kiad'!I38-'26._államig_össz_kiad'!I38</f>
        <v>0</v>
      </c>
      <c r="J38" s="327">
        <f>'1.mell.kiadás_össz'!J37-'26._önként_össz_kiad'!J38-'26._államig_össz_kiad'!J38</f>
        <v>305925756</v>
      </c>
      <c r="K38" s="327">
        <f>'1.mell.kiadás_össz'!K37-'26._önként_össz_kiad'!K38-'26._államig_össz_kiad'!K38</f>
        <v>0</v>
      </c>
      <c r="L38" s="327">
        <f>'1.mell.kiadás_össz'!L37-'26._önként_össz_kiad'!L38</f>
        <v>77.968294373706584</v>
      </c>
    </row>
    <row r="39" spans="1:17" ht="12.2" customHeight="1" thickBot="1" x14ac:dyDescent="0.25">
      <c r="A39" s="14" t="s">
        <v>14</v>
      </c>
      <c r="B39" s="56" t="s">
        <v>540</v>
      </c>
      <c r="C39" s="1080">
        <f>+C11+C29</f>
        <v>8251223929</v>
      </c>
      <c r="D39" s="663">
        <f t="shared" ref="D39:K39" si="7">+D11+D29</f>
        <v>8988701048</v>
      </c>
      <c r="E39" s="577">
        <f t="shared" si="7"/>
        <v>10334991598</v>
      </c>
      <c r="F39" s="577">
        <f t="shared" si="7"/>
        <v>14384699383</v>
      </c>
      <c r="G39" s="577">
        <f t="shared" si="7"/>
        <v>1259417</v>
      </c>
      <c r="H39" s="272">
        <f t="shared" si="2"/>
        <v>1346290550</v>
      </c>
      <c r="I39" s="1082" t="e">
        <f t="shared" si="7"/>
        <v>#REF!</v>
      </c>
      <c r="J39" s="272">
        <f t="shared" si="7"/>
        <v>8781827607</v>
      </c>
      <c r="K39" s="272" t="e">
        <f t="shared" si="7"/>
        <v>#REF!</v>
      </c>
      <c r="L39" s="272" t="e">
        <f t="shared" ref="L39" si="8">+L11+L29</f>
        <v>#VALUE!</v>
      </c>
    </row>
    <row r="40" spans="1:17" ht="12.2" customHeight="1" thickBot="1" x14ac:dyDescent="0.25">
      <c r="A40" s="14" t="s">
        <v>15</v>
      </c>
      <c r="B40" s="56" t="s">
        <v>312</v>
      </c>
      <c r="C40" s="113">
        <f>+C41+C42+C43</f>
        <v>0</v>
      </c>
      <c r="D40" s="186">
        <f t="shared" ref="D40:K40" si="9">+D41+D42+D43</f>
        <v>0</v>
      </c>
      <c r="E40" s="566">
        <f t="shared" si="9"/>
        <v>0</v>
      </c>
      <c r="F40" s="566">
        <f t="shared" si="9"/>
        <v>0</v>
      </c>
      <c r="G40" s="566">
        <f t="shared" si="9"/>
        <v>0</v>
      </c>
      <c r="H40" s="28">
        <f t="shared" si="2"/>
        <v>0</v>
      </c>
      <c r="I40" s="628">
        <f t="shared" si="9"/>
        <v>0</v>
      </c>
      <c r="J40" s="28">
        <f t="shared" si="9"/>
        <v>0</v>
      </c>
      <c r="K40" s="28">
        <f t="shared" si="9"/>
        <v>0</v>
      </c>
      <c r="L40" s="28" t="e">
        <f t="shared" ref="L40" si="10">+L41+L42+L43</f>
        <v>#VALUE!</v>
      </c>
    </row>
    <row r="41" spans="1:17" s="31" customFormat="1" ht="12.2" customHeight="1" x14ac:dyDescent="0.2">
      <c r="A41" s="12" t="s">
        <v>100</v>
      </c>
      <c r="B41" s="17" t="s">
        <v>397</v>
      </c>
      <c r="C41" s="401">
        <f>'1.mell.kiadás_össz'!C40-'26._önként_össz_kiad'!C41-'26._államig_össz_kiad'!C41</f>
        <v>0</v>
      </c>
      <c r="D41" s="325">
        <f>'1.mell.kiadás_össz'!D40-'26._önként_össz_kiad'!D41-'26._államig_össz_kiad'!D41</f>
        <v>0</v>
      </c>
      <c r="E41" s="568">
        <f>'1.mell.kiadás_össz'!E40-'26._önként_össz_kiad'!E41-'26._államig_össz_kiad'!E41</f>
        <v>0</v>
      </c>
      <c r="F41" s="568">
        <f>'1.mell.kiadás_össz'!F40-'26._önként_össz_kiad'!F41-'26._államig_össz_kiad'!F41</f>
        <v>0</v>
      </c>
      <c r="G41" s="568">
        <f>'1.mell.kiadás_össz'!G40-'26._önként_össz_kiad'!G41-'26._államig_össz_kiad'!G41</f>
        <v>0</v>
      </c>
      <c r="H41" s="327">
        <f t="shared" si="2"/>
        <v>0</v>
      </c>
      <c r="I41" s="627">
        <f>'1.mell.kiadás_össz'!I40-'26._önként_össz_kiad'!I41-'26._államig_össz_kiad'!I41</f>
        <v>0</v>
      </c>
      <c r="J41" s="327">
        <f>'1.mell.kiadás_össz'!J40-'26._önként_össz_kiad'!J41-'26._államig_össz_kiad'!J41</f>
        <v>0</v>
      </c>
      <c r="K41" s="327">
        <f>'1.mell.kiadás_össz'!K40-'26._önként_össz_kiad'!K41-'26._államig_össz_kiad'!K41</f>
        <v>0</v>
      </c>
      <c r="L41" s="327" t="e">
        <f>'1.mell.kiadás_össz'!L40-'26._önként_össz_kiad'!L41</f>
        <v>#VALUE!</v>
      </c>
    </row>
    <row r="42" spans="1:17" ht="12.2" customHeight="1" x14ac:dyDescent="0.2">
      <c r="A42" s="12" t="s">
        <v>101</v>
      </c>
      <c r="B42" s="17" t="s">
        <v>243</v>
      </c>
      <c r="C42" s="401">
        <f>'1.mell.kiadás_össz'!C41-'26._önként_össz_kiad'!C42-'26._államig_össz_kiad'!C42</f>
        <v>0</v>
      </c>
      <c r="D42" s="325">
        <f>'1.mell.kiadás_össz'!D41-'26._önként_össz_kiad'!D42-'26._államig_össz_kiad'!D42</f>
        <v>0</v>
      </c>
      <c r="E42" s="568">
        <f>'1.mell.kiadás_össz'!E41-'26._önként_össz_kiad'!E42-'26._államig_össz_kiad'!E42</f>
        <v>0</v>
      </c>
      <c r="F42" s="568">
        <f>'1.mell.kiadás_össz'!F41-'26._önként_össz_kiad'!F42-'26._államig_össz_kiad'!F42</f>
        <v>0</v>
      </c>
      <c r="G42" s="568">
        <f>'1.mell.kiadás_össz'!G41-'26._önként_össz_kiad'!G42-'26._államig_össz_kiad'!G42</f>
        <v>0</v>
      </c>
      <c r="H42" s="327">
        <f t="shared" si="2"/>
        <v>0</v>
      </c>
      <c r="I42" s="627">
        <f>'1.mell.kiadás_össz'!I41-'26._önként_össz_kiad'!I42-'26._államig_össz_kiad'!I42</f>
        <v>0</v>
      </c>
      <c r="J42" s="327">
        <f>'1.mell.kiadás_össz'!J41-'26._önként_össz_kiad'!J42-'26._államig_össz_kiad'!J42</f>
        <v>0</v>
      </c>
      <c r="K42" s="327">
        <f>'1.mell.kiadás_össz'!K41-'26._önként_össz_kiad'!K42-'26._államig_össz_kiad'!K42</f>
        <v>0</v>
      </c>
      <c r="L42" s="327" t="e">
        <f>'1.mell.kiadás_össz'!L41-'26._önként_össz_kiad'!L42</f>
        <v>#VALUE!</v>
      </c>
    </row>
    <row r="43" spans="1:17" ht="12.2" customHeight="1" thickBot="1" x14ac:dyDescent="0.25">
      <c r="A43" s="13" t="s">
        <v>164</v>
      </c>
      <c r="B43" s="52" t="s">
        <v>244</v>
      </c>
      <c r="C43" s="401">
        <f>'1.mell.kiadás_össz'!C42-'26._önként_össz_kiad'!C43-'26._államig_össz_kiad'!C43</f>
        <v>0</v>
      </c>
      <c r="D43" s="325">
        <f>'1.mell.kiadás_össz'!D42-'26._önként_össz_kiad'!D43-'26._államig_össz_kiad'!D43</f>
        <v>0</v>
      </c>
      <c r="E43" s="568">
        <f>'1.mell.kiadás_össz'!E42-'26._önként_össz_kiad'!E43-'26._államig_össz_kiad'!E43</f>
        <v>0</v>
      </c>
      <c r="F43" s="568">
        <f>'1.mell.kiadás_össz'!F42-'26._önként_össz_kiad'!F43-'26._államig_össz_kiad'!F43</f>
        <v>0</v>
      </c>
      <c r="G43" s="568">
        <f>'1.mell.kiadás_össz'!G42-'26._önként_össz_kiad'!G43-'26._államig_össz_kiad'!G43</f>
        <v>0</v>
      </c>
      <c r="H43" s="327">
        <f t="shared" si="2"/>
        <v>0</v>
      </c>
      <c r="I43" s="627">
        <f>'1.mell.kiadás_össz'!I42-'26._önként_össz_kiad'!I43-'26._államig_össz_kiad'!I43</f>
        <v>0</v>
      </c>
      <c r="J43" s="327">
        <f>'1.mell.kiadás_össz'!J42-'26._önként_össz_kiad'!J43-'26._államig_össz_kiad'!J43</f>
        <v>0</v>
      </c>
      <c r="K43" s="327">
        <f>'1.mell.kiadás_össz'!K42-'26._önként_össz_kiad'!K43-'26._államig_össz_kiad'!K43</f>
        <v>0</v>
      </c>
      <c r="L43" s="327" t="e">
        <f>'1.mell.kiadás_össz'!L42-'26._önként_össz_kiad'!L43</f>
        <v>#VALUE!</v>
      </c>
      <c r="Q43" s="25" t="s">
        <v>385</v>
      </c>
    </row>
    <row r="44" spans="1:17" ht="12.2" customHeight="1" thickBot="1" x14ac:dyDescent="0.25">
      <c r="A44" s="14" t="s">
        <v>16</v>
      </c>
      <c r="B44" s="56" t="s">
        <v>545</v>
      </c>
      <c r="C44" s="113">
        <f>+C45+C47+C46</f>
        <v>0</v>
      </c>
      <c r="D44" s="186">
        <f t="shared" ref="D44:K44" si="11">+D45+D47+D46</f>
        <v>468945500</v>
      </c>
      <c r="E44" s="566">
        <f t="shared" si="11"/>
        <v>468945500</v>
      </c>
      <c r="F44" s="566">
        <f t="shared" si="11"/>
        <v>468945500</v>
      </c>
      <c r="G44" s="566">
        <f t="shared" si="11"/>
        <v>0</v>
      </c>
      <c r="H44" s="28">
        <f t="shared" si="2"/>
        <v>0</v>
      </c>
      <c r="I44" s="628">
        <f t="shared" si="11"/>
        <v>0</v>
      </c>
      <c r="J44" s="28">
        <f t="shared" si="11"/>
        <v>468945500</v>
      </c>
      <c r="K44" s="28">
        <f t="shared" si="11"/>
        <v>0</v>
      </c>
      <c r="L44" s="28" t="e">
        <f t="shared" ref="L44" si="12">+L45+L47</f>
        <v>#VALUE!</v>
      </c>
    </row>
    <row r="45" spans="1:17" ht="12.2" customHeight="1" x14ac:dyDescent="0.2">
      <c r="A45" s="12" t="s">
        <v>89</v>
      </c>
      <c r="B45" s="17" t="s">
        <v>391</v>
      </c>
      <c r="C45" s="401">
        <f>'1.mell.kiadás_össz'!C44-'26._önként_össz_kiad'!C45-'26._államig_össz_kiad'!C45</f>
        <v>0</v>
      </c>
      <c r="D45" s="325">
        <f>'1.mell.kiadás_össz'!D44-'26._önként_össz_kiad'!D45-'26._államig_össz_kiad'!D45</f>
        <v>468945500</v>
      </c>
      <c r="E45" s="568">
        <f>'1.mell.kiadás_össz'!E44-'26._önként_össz_kiad'!E45-'26._államig_össz_kiad'!E45</f>
        <v>468945500</v>
      </c>
      <c r="F45" s="568">
        <f>'1.mell.kiadás_össz'!F44-'26._önként_össz_kiad'!F45-'26._államig_össz_kiad'!F45</f>
        <v>468945500</v>
      </c>
      <c r="G45" s="568">
        <f>'1.mell.kiadás_össz'!G44-'26._önként_össz_kiad'!G45-'26._államig_össz_kiad'!G45</f>
        <v>0</v>
      </c>
      <c r="H45" s="327">
        <f t="shared" si="2"/>
        <v>0</v>
      </c>
      <c r="I45" s="627">
        <f>'1.mell.kiadás_össz'!I44-'26._önként_össz_kiad'!I45-'26._államig_össz_kiad'!I45</f>
        <v>0</v>
      </c>
      <c r="J45" s="327">
        <f>'1.mell.kiadás_össz'!J44-'26._önként_össz_kiad'!J45-'26._államig_össz_kiad'!J45</f>
        <v>468945500</v>
      </c>
      <c r="K45" s="327">
        <f>'1.mell.kiadás_össz'!K44-'26._önként_össz_kiad'!K45-'26._államig_össz_kiad'!K45</f>
        <v>0</v>
      </c>
      <c r="L45" s="327">
        <f>'1.mell.kiadás_össz'!L44-'26._önként_össz_kiad'!L45</f>
        <v>100</v>
      </c>
    </row>
    <row r="46" spans="1:17" ht="12.2" customHeight="1" x14ac:dyDescent="0.2">
      <c r="A46" s="12" t="s">
        <v>102</v>
      </c>
      <c r="B46" s="17" t="s">
        <v>392</v>
      </c>
      <c r="C46" s="401">
        <f>'1.mell.kiadás_össz'!C45-'26._önként_össz_kiad'!C46-'26._államig_össz_kiad'!C46</f>
        <v>0</v>
      </c>
      <c r="D46" s="325">
        <f>'1.mell.kiadás_össz'!D45-'26._önként_össz_kiad'!D46-'26._államig_össz_kiad'!D46</f>
        <v>0</v>
      </c>
      <c r="E46" s="568">
        <f>'1.mell.kiadás_össz'!E45-'26._önként_össz_kiad'!E46-'26._államig_össz_kiad'!E46</f>
        <v>0</v>
      </c>
      <c r="F46" s="568">
        <f>'1.mell.kiadás_össz'!F45-'26._önként_össz_kiad'!F46-'26._államig_össz_kiad'!F46</f>
        <v>0</v>
      </c>
      <c r="G46" s="568">
        <f>'1.mell.kiadás_össz'!G45-'26._önként_össz_kiad'!G46-'26._államig_össz_kiad'!G46</f>
        <v>0</v>
      </c>
      <c r="H46" s="327">
        <f t="shared" si="2"/>
        <v>0</v>
      </c>
      <c r="I46" s="627">
        <f>'1.mell.kiadás_össz'!I45-'26._önként_össz_kiad'!I46-'26._államig_össz_kiad'!I46</f>
        <v>0</v>
      </c>
      <c r="J46" s="327">
        <f>'1.mell.kiadás_össz'!J45-'26._önként_össz_kiad'!J46-'26._államig_össz_kiad'!J46</f>
        <v>0</v>
      </c>
      <c r="K46" s="327">
        <f>'1.mell.kiadás_össz'!K45-'26._önként_össz_kiad'!K46-'26._államig_össz_kiad'!K46</f>
        <v>0</v>
      </c>
      <c r="L46" s="327" t="e">
        <f>'1.mell.kiadás_össz'!L45-'26._önként_össz_kiad'!L46</f>
        <v>#VALUE!</v>
      </c>
    </row>
    <row r="47" spans="1:17" ht="12.2" customHeight="1" thickBot="1" x14ac:dyDescent="0.25">
      <c r="A47" s="12" t="s">
        <v>103</v>
      </c>
      <c r="B47" s="52" t="s">
        <v>536</v>
      </c>
      <c r="C47" s="401">
        <f>'1.mell.kiadás_össz'!C46-'26._önként_össz_kiad'!C47-'26._államig_össz_kiad'!C47</f>
        <v>0</v>
      </c>
      <c r="D47" s="325">
        <f>'1.mell.kiadás_össz'!D46-'26._önként_össz_kiad'!D47-'26._államig_össz_kiad'!D47</f>
        <v>0</v>
      </c>
      <c r="E47" s="568">
        <f>'1.mell.kiadás_össz'!E46-'26._önként_össz_kiad'!E47-'26._államig_össz_kiad'!E47</f>
        <v>0</v>
      </c>
      <c r="F47" s="568">
        <f>'1.mell.kiadás_össz'!F46-'26._önként_össz_kiad'!F47-'26._államig_össz_kiad'!F47</f>
        <v>0</v>
      </c>
      <c r="G47" s="568">
        <f>'1.mell.kiadás_össz'!G46-'26._önként_össz_kiad'!G47-'26._államig_össz_kiad'!G47</f>
        <v>0</v>
      </c>
      <c r="H47" s="327">
        <f t="shared" si="2"/>
        <v>0</v>
      </c>
      <c r="I47" s="627">
        <f>'1.mell.kiadás_össz'!I46-'26._önként_össz_kiad'!I47-'26._államig_össz_kiad'!I47</f>
        <v>0</v>
      </c>
      <c r="J47" s="327">
        <f>'1.mell.kiadás_össz'!J46-'26._önként_össz_kiad'!J47-'26._államig_össz_kiad'!J47</f>
        <v>0</v>
      </c>
      <c r="K47" s="327">
        <f>'1.mell.kiadás_össz'!K46-'26._önként_össz_kiad'!K47-'26._államig_össz_kiad'!K47</f>
        <v>0</v>
      </c>
      <c r="L47" s="327" t="e">
        <f>'1.mell.kiadás_össz'!L46-'26._önként_össz_kiad'!L47</f>
        <v>#VALUE!</v>
      </c>
    </row>
    <row r="48" spans="1:17" ht="12.2" customHeight="1" thickBot="1" x14ac:dyDescent="0.25">
      <c r="A48" s="14" t="s">
        <v>17</v>
      </c>
      <c r="B48" s="56" t="s">
        <v>542</v>
      </c>
      <c r="C48" s="1023">
        <f>+C49+C50+C51+C52+C53</f>
        <v>52821826</v>
      </c>
      <c r="D48" s="187">
        <f t="shared" ref="D48:K48" si="13">+D49+D50+D51+D52+D53</f>
        <v>1515389518</v>
      </c>
      <c r="E48" s="532">
        <f t="shared" si="13"/>
        <v>2314346206</v>
      </c>
      <c r="F48" s="532">
        <f t="shared" si="13"/>
        <v>2584302148</v>
      </c>
      <c r="G48" s="532">
        <f t="shared" si="13"/>
        <v>0</v>
      </c>
      <c r="H48" s="74">
        <f t="shared" si="2"/>
        <v>798956688</v>
      </c>
      <c r="I48" s="638">
        <f t="shared" si="13"/>
        <v>0</v>
      </c>
      <c r="J48" s="74">
        <f t="shared" si="13"/>
        <v>75063425983</v>
      </c>
      <c r="K48" s="74" t="e">
        <f t="shared" si="13"/>
        <v>#VALUE!</v>
      </c>
      <c r="L48" s="74" t="e">
        <f t="shared" ref="L48" si="14">+L49+L50+L51+L52+L53</f>
        <v>#VALUE!</v>
      </c>
      <c r="O48" s="79"/>
    </row>
    <row r="49" spans="1:14" x14ac:dyDescent="0.2">
      <c r="A49" s="12" t="s">
        <v>104</v>
      </c>
      <c r="B49" s="17" t="s">
        <v>240</v>
      </c>
      <c r="C49" s="401">
        <f>'1.mell.kiadás_össz'!C48-'26._önként_össz_kiad'!C49-'26._államig_össz_kiad'!C49</f>
        <v>0</v>
      </c>
      <c r="D49" s="325">
        <f>'1.mell.kiadás_össz'!D48-'26._önként_össz_kiad'!D49-'26._államig_össz_kiad'!D49</f>
        <v>0</v>
      </c>
      <c r="E49" s="568">
        <f>'1.mell.kiadás_össz'!E48-'26._önként_össz_kiad'!E49-'26._államig_össz_kiad'!E49</f>
        <v>0</v>
      </c>
      <c r="F49" s="568">
        <f>'1.mell.kiadás_össz'!F48-'26._önként_össz_kiad'!F49-'26._államig_össz_kiad'!F49</f>
        <v>0</v>
      </c>
      <c r="G49" s="568">
        <f>'1.mell.kiadás_össz'!G48-'26._önként_össz_kiad'!G49-'26._államig_össz_kiad'!G49</f>
        <v>0</v>
      </c>
      <c r="H49" s="327">
        <f t="shared" si="2"/>
        <v>0</v>
      </c>
      <c r="I49" s="627">
        <f>'1.mell.kiadás_össz'!I48-'26._önként_össz_kiad'!I49-'26._államig_össz_kiad'!I49</f>
        <v>0</v>
      </c>
      <c r="J49" s="327">
        <f>'1.mell.kiadás_össz'!J48-'26._önként_össz_kiad'!J49-'26._államig_össz_kiad'!J49</f>
        <v>0</v>
      </c>
      <c r="K49" s="327" t="e">
        <f>'1.mell.kiadás_össz'!K48-'26._önként_össz_kiad'!K49-'26._államig_össz_kiad'!K49</f>
        <v>#VALUE!</v>
      </c>
      <c r="L49" s="327" t="e">
        <f>'1.mell.kiadás_össz'!L48-'26._önként_össz_kiad'!L49</f>
        <v>#VALUE!</v>
      </c>
      <c r="M49" s="25" t="s">
        <v>385</v>
      </c>
    </row>
    <row r="50" spans="1:14" ht="12.2" customHeight="1" x14ac:dyDescent="0.2">
      <c r="A50" s="12" t="s">
        <v>105</v>
      </c>
      <c r="B50" s="17" t="s">
        <v>241</v>
      </c>
      <c r="C50" s="401">
        <f>'1.mell.kiadás_össz'!C49-'26._önként_össz_kiad'!C50-'26._államig_össz_kiad'!C50</f>
        <v>0</v>
      </c>
      <c r="D50" s="325">
        <f>'1.mell.kiadás_össz'!D49-'26._önként_össz_kiad'!D50-'26._államig_össz_kiad'!D50</f>
        <v>0</v>
      </c>
      <c r="E50" s="568">
        <f>'1.mell.kiadás_össz'!E49-'26._önként_össz_kiad'!E50-'26._államig_össz_kiad'!E50</f>
        <v>0</v>
      </c>
      <c r="F50" s="568">
        <f>'1.mell.kiadás_össz'!F49-'26._önként_össz_kiad'!F50-'26._államig_össz_kiad'!F50</f>
        <v>0</v>
      </c>
      <c r="G50" s="568">
        <f>'1.mell.kiadás_össz'!G49-'26._önként_össz_kiad'!G50-'26._államig_össz_kiad'!G50</f>
        <v>0</v>
      </c>
      <c r="H50" s="327">
        <f t="shared" si="2"/>
        <v>0</v>
      </c>
      <c r="I50" s="627">
        <f>'1.mell.kiadás_össz'!I49-'26._önként_össz_kiad'!I50-'26._államig_össz_kiad'!I50</f>
        <v>0</v>
      </c>
      <c r="J50" s="327">
        <f>'1.mell.kiadás_össz'!J49-'26._önként_össz_kiad'!J50-'26._államig_össz_kiad'!J50</f>
        <v>0</v>
      </c>
      <c r="K50" s="327">
        <f>'1.mell.kiadás_össz'!K49-'26._önként_össz_kiad'!K50-'26._államig_össz_kiad'!K50</f>
        <v>0</v>
      </c>
      <c r="L50" s="327" t="e">
        <f>'1.mell.kiadás_össz'!L49-'26._önként_össz_kiad'!L50</f>
        <v>#VALUE!</v>
      </c>
    </row>
    <row r="51" spans="1:14" s="31" customFormat="1" ht="12.2" customHeight="1" x14ac:dyDescent="0.2">
      <c r="A51" s="12" t="s">
        <v>205</v>
      </c>
      <c r="B51" s="17" t="s">
        <v>398</v>
      </c>
      <c r="C51" s="401">
        <f>'1.mell.kiadás_össz'!C50-'26._önként_össz_kiad'!C51-'26._államig_össz_kiad'!C51</f>
        <v>0</v>
      </c>
      <c r="D51" s="325">
        <f>'1.mell.kiadás_össz'!D50-'26._önként_össz_kiad'!D51-'26._államig_össz_kiad'!D51</f>
        <v>0</v>
      </c>
      <c r="E51" s="568">
        <f>'1.mell.kiadás_össz'!E50-'26._önként_össz_kiad'!E51-'26._államig_össz_kiad'!E51</f>
        <v>0</v>
      </c>
      <c r="F51" s="568">
        <f>'1.mell.kiadás_össz'!F50-'26._önként_össz_kiad'!F51-'26._államig_össz_kiad'!F51</f>
        <v>0</v>
      </c>
      <c r="G51" s="568">
        <f>'1.mell.kiadás_össz'!G50-'26._önként_össz_kiad'!G51-'26._államig_össz_kiad'!G51</f>
        <v>0</v>
      </c>
      <c r="H51" s="327">
        <f t="shared" si="2"/>
        <v>0</v>
      </c>
      <c r="I51" s="627">
        <f>'1.mell.kiadás_össz'!I50-'26._önként_össz_kiad'!I51-'26._államig_össz_kiad'!I51</f>
        <v>0</v>
      </c>
      <c r="J51" s="327">
        <f>'1.mell.kiadás_össz'!J50-'26._önként_össz_kiad'!J51-'26._államig_össz_kiad'!J51</f>
        <v>72479123835</v>
      </c>
      <c r="K51" s="327">
        <f>'1.mell.kiadás_össz'!K50-'26._önként_össz_kiad'!K51-'26._államig_össz_kiad'!K51</f>
        <v>0</v>
      </c>
      <c r="L51" s="327" t="e">
        <f>'1.mell.kiadás_össz'!L50-'26._önként_össz_kiad'!L51</f>
        <v>#VALUE!</v>
      </c>
    </row>
    <row r="52" spans="1:14" s="31" customFormat="1" ht="12.2" customHeight="1" x14ac:dyDescent="0.2">
      <c r="A52" s="13" t="s">
        <v>206</v>
      </c>
      <c r="B52" s="52" t="s">
        <v>229</v>
      </c>
      <c r="C52" s="401">
        <f>'1.mell.kiadás_össz'!C51-'26._önként_össz_kiad'!C52-'26._államig_össz_kiad'!C52</f>
        <v>0</v>
      </c>
      <c r="D52" s="325">
        <f>'1.mell.kiadás_össz'!D51-'26._önként_össz_kiad'!D52-'26._államig_össz_kiad'!D52</f>
        <v>0</v>
      </c>
      <c r="E52" s="568">
        <f>'1.mell.kiadás_össz'!E51-'26._önként_össz_kiad'!E52-'26._államig_össz_kiad'!E52</f>
        <v>0</v>
      </c>
      <c r="F52" s="568">
        <f>'1.mell.kiadás_össz'!F51-'26._önként_össz_kiad'!F52-'26._államig_össz_kiad'!F52</f>
        <v>0</v>
      </c>
      <c r="G52" s="568">
        <f>'1.mell.kiadás_össz'!G51-'26._önként_össz_kiad'!G52-'26._államig_össz_kiad'!G52</f>
        <v>0</v>
      </c>
      <c r="H52" s="327">
        <f t="shared" si="2"/>
        <v>0</v>
      </c>
      <c r="I52" s="627">
        <f>'1.mell.kiadás_össz'!I51-'26._önként_össz_kiad'!I52-'26._államig_össz_kiad'!I52</f>
        <v>0</v>
      </c>
      <c r="J52" s="327">
        <f>'1.mell.kiadás_össz'!J51-'26._önként_össz_kiad'!J52-'26._államig_össz_kiad'!J52</f>
        <v>0</v>
      </c>
      <c r="K52" s="327">
        <f>'1.mell.kiadás_össz'!K51-'26._önként_össz_kiad'!K52-'26._államig_össz_kiad'!K52</f>
        <v>0</v>
      </c>
      <c r="L52" s="327" t="e">
        <f>'1.mell.kiadás_össz'!L51-'26._önként_össz_kiad'!L52</f>
        <v>#VALUE!</v>
      </c>
    </row>
    <row r="53" spans="1:14" s="31" customFormat="1" ht="12.2" customHeight="1" thickBot="1" x14ac:dyDescent="0.25">
      <c r="A53" s="172" t="s">
        <v>208</v>
      </c>
      <c r="B53" s="173" t="s">
        <v>399</v>
      </c>
      <c r="C53" s="1081">
        <f>'1.mell.kiadás_össz'!C52-'26._önként_össz_kiad'!C53-'26._államig_össz_kiad'!C53</f>
        <v>52821826</v>
      </c>
      <c r="D53" s="664">
        <f>'1.mell.kiadás_össz'!D52-'26._önként_össz_kiad'!D53-'26._államig_össz_kiad'!D53</f>
        <v>1515389518</v>
      </c>
      <c r="E53" s="578">
        <f>'1.mell.kiadás_össz'!E52-'26._önként_össz_kiad'!E53-'26._államig_össz_kiad'!E53</f>
        <v>2314346206</v>
      </c>
      <c r="F53" s="578">
        <f>'1.mell.kiadás_össz'!F52-'26._önként_össz_kiad'!F53-'26._államig_össz_kiad'!F53</f>
        <v>2584302148</v>
      </c>
      <c r="G53" s="578">
        <f>'1.mell.kiadás_össz'!G52-'26._önként_össz_kiad'!G53-'26._államig_össz_kiad'!G53</f>
        <v>0</v>
      </c>
      <c r="H53" s="528">
        <f t="shared" si="2"/>
        <v>798956688</v>
      </c>
      <c r="I53" s="672">
        <f>'1.mell.kiadás_össz'!I52-'26._önként_össz_kiad'!I53-'26._államig_össz_kiad'!I53</f>
        <v>0</v>
      </c>
      <c r="J53" s="528">
        <f>'1.mell.kiadás_össz'!J52-'26._önként_össz_kiad'!J53-'26._államig_össz_kiad'!J53</f>
        <v>2584302148</v>
      </c>
      <c r="K53" s="528">
        <f>'1.mell.kiadás_össz'!K52-'26._önként_össz_kiad'!K53-'26._államig_össz_kiad'!K53</f>
        <v>0</v>
      </c>
      <c r="L53" s="528">
        <f>'1.mell.kiadás_össz'!L52-'26._önként_össz_kiad'!L53</f>
        <v>100</v>
      </c>
    </row>
    <row r="54" spans="1:14" s="562" customFormat="1" ht="12.2" customHeight="1" thickBot="1" x14ac:dyDescent="0.25">
      <c r="A54" s="14" t="s">
        <v>18</v>
      </c>
      <c r="B54" s="56" t="s">
        <v>544</v>
      </c>
      <c r="C54" s="1024">
        <f>+C40+C44+C48</f>
        <v>52821826</v>
      </c>
      <c r="D54" s="349">
        <f t="shared" ref="D54:K54" si="15">+D40+D44+D48</f>
        <v>1984335018</v>
      </c>
      <c r="E54" s="579">
        <f t="shared" si="15"/>
        <v>2783291706</v>
      </c>
      <c r="F54" s="579">
        <f t="shared" si="15"/>
        <v>3053247648</v>
      </c>
      <c r="G54" s="579">
        <f t="shared" si="15"/>
        <v>0</v>
      </c>
      <c r="H54" s="560">
        <f t="shared" si="2"/>
        <v>798956688</v>
      </c>
      <c r="I54" s="673">
        <f t="shared" si="15"/>
        <v>0</v>
      </c>
      <c r="J54" s="560">
        <f t="shared" si="15"/>
        <v>75532371483</v>
      </c>
      <c r="K54" s="560" t="e">
        <f t="shared" si="15"/>
        <v>#VALUE!</v>
      </c>
      <c r="L54" s="560" t="e">
        <f t="shared" ref="L54" si="16">+L40+L44+L48</f>
        <v>#VALUE!</v>
      </c>
    </row>
    <row r="55" spans="1:14" s="562" customFormat="1" ht="15" customHeight="1" thickBot="1" x14ac:dyDescent="0.25">
      <c r="A55" s="80" t="s">
        <v>19</v>
      </c>
      <c r="B55" s="561" t="s">
        <v>543</v>
      </c>
      <c r="C55" s="1024">
        <f>+C39+C54</f>
        <v>8304045755</v>
      </c>
      <c r="D55" s="349">
        <f>+D39+D54</f>
        <v>10973036066</v>
      </c>
      <c r="E55" s="579">
        <f t="shared" ref="E55:K55" si="17">+E39+E54</f>
        <v>13118283304</v>
      </c>
      <c r="F55" s="579">
        <f t="shared" si="17"/>
        <v>17437947031</v>
      </c>
      <c r="G55" s="579">
        <f t="shared" si="17"/>
        <v>1259417</v>
      </c>
      <c r="H55" s="560">
        <f>+E55-D55</f>
        <v>2145247238</v>
      </c>
      <c r="I55" s="673" t="e">
        <f t="shared" si="17"/>
        <v>#REF!</v>
      </c>
      <c r="J55" s="560">
        <f t="shared" si="17"/>
        <v>84314199090</v>
      </c>
      <c r="K55" s="560" t="e">
        <f t="shared" si="17"/>
        <v>#REF!</v>
      </c>
      <c r="L55" s="560" t="e">
        <f t="shared" ref="L55" si="18">+L39+L54</f>
        <v>#VALUE!</v>
      </c>
      <c r="N55" s="1118" t="b">
        <f>E55='26._köt_össz_bev'!E84</f>
        <v>1</v>
      </c>
    </row>
    <row r="56" spans="1:14" ht="13.5" thickBot="1" x14ac:dyDescent="0.25">
      <c r="A56" s="529"/>
      <c r="B56" s="530"/>
      <c r="C56" s="531"/>
      <c r="D56" s="531"/>
      <c r="H56" s="27"/>
      <c r="I56" s="27"/>
      <c r="J56" s="27"/>
      <c r="K56" s="27"/>
      <c r="L56" s="27"/>
    </row>
    <row r="57" spans="1:14" ht="15" customHeight="1" thickBot="1" x14ac:dyDescent="0.25">
      <c r="A57" s="634" t="s">
        <v>292</v>
      </c>
      <c r="B57" s="636"/>
      <c r="C57" s="136">
        <f>'1.mell.kiadás_össz'!C56-'26._önként_össz_kiad'!C57-'26._államig_össz_kiad'!C57</f>
        <v>299</v>
      </c>
      <c r="D57" s="635">
        <f>'1.mell.kiadás_össz'!D56-'26._önként_össz_kiad'!D57-'26._államig_össz_kiad'!D57</f>
        <v>327</v>
      </c>
      <c r="E57" s="520">
        <f>'1.mell.kiadás_össz'!E56-'26._önként_össz_kiad'!E57-'26._államig_össz_kiad'!E57</f>
        <v>318</v>
      </c>
      <c r="F57" s="520">
        <f>'1.mell.kiadás_össz'!F56-'26._önként_össz_kiad'!F57-'26._államig_össz_kiad'!F57</f>
        <v>498</v>
      </c>
      <c r="G57" s="520">
        <f>'1.mell.kiadás_össz'!G56-'26._önként_össz_kiad'!G57-'26._államig_össz_kiad'!G57</f>
        <v>-2</v>
      </c>
      <c r="H57" s="174">
        <f t="shared" si="2"/>
        <v>-9</v>
      </c>
      <c r="I57" s="174">
        <f>'1.mell.kiadás_össz'!I56-'26._önként_össz_kiad'!I57-'26._államig_össz_kiad'!I57</f>
        <v>-2</v>
      </c>
      <c r="J57" s="174">
        <f>'1.mell.kiadás_össz'!J56-'26._önként_össz_kiad'!J57-'26._államig_össz_kiad'!J57</f>
        <v>486</v>
      </c>
      <c r="K57" s="174">
        <f>'1.mell.kiadás_össz'!K56-'26._önként_össz_kiad'!K57-'26._államig_össz_kiad'!K57</f>
        <v>-2</v>
      </c>
      <c r="L57" s="174">
        <f>'1.mell.kiadás_össz'!L56-'26._önként_össz_kiad'!L57</f>
        <v>94.84210526315789</v>
      </c>
    </row>
    <row r="58" spans="1:14" ht="14.25" hidden="1" customHeight="1" thickBot="1" x14ac:dyDescent="0.25">
      <c r="A58" s="69" t="s">
        <v>291</v>
      </c>
      <c r="B58" s="533"/>
      <c r="C58" s="609">
        <f>'1.mell.kiadás_össz'!C57-'26._önként_össz_kiad'!C58-'26._államig_össz_kiad'!C58</f>
        <v>0</v>
      </c>
      <c r="D58" s="639">
        <f>'1.mell.kiadás_össz'!D57-'26._önként_össz_kiad'!D58-'26._államig_össz_kiad'!D58</f>
        <v>0</v>
      </c>
      <c r="E58" s="607">
        <f>'1.mell.kiadás_össz'!E57-'26._önként_össz_kiad'!E58-'26._államig_össz_kiad'!E58</f>
        <v>0</v>
      </c>
      <c r="F58" s="607">
        <f>'1.mell.kiadás_össz'!F57-'26._önként_össz_kiad'!F58-'26._államig_össz_kiad'!F58</f>
        <v>0</v>
      </c>
      <c r="G58" s="607">
        <f>'1.mell.kiadás_össz'!G57-'26._önként_össz_kiad'!G58-'26._államig_össz_kiad'!G58</f>
        <v>0</v>
      </c>
      <c r="H58" s="609">
        <f t="shared" ref="H58" si="19">+D58-C58</f>
        <v>0</v>
      </c>
      <c r="I58" s="609">
        <f>'1.mell.kiadás_össz'!I57-'26._önként_össz_kiad'!I58-'26._államig_össz_kiad'!I58</f>
        <v>0</v>
      </c>
      <c r="J58" s="609">
        <f>'1.mell.kiadás_össz'!J57-'26._önként_össz_kiad'!J58-'26._államig_össz_kiad'!J58</f>
        <v>0</v>
      </c>
      <c r="K58" s="609">
        <f>'1.mell.kiadás_össz'!K57-'26._önként_össz_kiad'!K58-'26._államig_össz_kiad'!K58</f>
        <v>0</v>
      </c>
      <c r="L58" s="609" t="e">
        <f>'1.mell.kiadás_össz'!L57-'26._önként_össz_kiad'!L58</f>
        <v>#DIV/0!</v>
      </c>
    </row>
    <row r="59" spans="1:14" x14ac:dyDescent="0.2">
      <c r="H59" s="27" t="s">
        <v>385</v>
      </c>
      <c r="I59" s="27"/>
      <c r="J59" s="27"/>
      <c r="K59" s="27"/>
      <c r="L59" s="27"/>
    </row>
    <row r="69" spans="8:8" x14ac:dyDescent="0.2">
      <c r="H69" s="1019" t="s">
        <v>385</v>
      </c>
    </row>
  </sheetData>
  <sheetProtection formatCells="0"/>
  <mergeCells count="6">
    <mergeCell ref="A8:H8"/>
    <mergeCell ref="A1:H1"/>
    <mergeCell ref="A2:H2"/>
    <mergeCell ref="A4:H4"/>
    <mergeCell ref="A5:H5"/>
    <mergeCell ref="A6:H6"/>
  </mergeCells>
  <printOptions horizontalCentered="1"/>
  <pageMargins left="0.39370078740157483" right="0.39370078740157483" top="0.78740157480314965" bottom="0.78740157480314965" header="0.78740157480314965" footer="0.78740157480314965"/>
  <pageSetup paperSize="9" scale="7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86"/>
  <sheetViews>
    <sheetView view="pageBreakPreview" topLeftCell="A34" zoomScale="142" zoomScaleNormal="100" zoomScaleSheetLayoutView="142" workbookViewId="0">
      <selection activeCell="A2" sqref="A2:H2"/>
    </sheetView>
  </sheetViews>
  <sheetFormatPr defaultRowHeight="12.75" x14ac:dyDescent="0.2"/>
  <cols>
    <col min="1" max="1" width="8.5" style="81" customWidth="1"/>
    <col min="2" max="2" width="59.6640625" style="82" customWidth="1"/>
    <col min="3" max="3" width="14" style="83" customWidth="1"/>
    <col min="4" max="4" width="14.5" style="83" customWidth="1"/>
    <col min="5" max="5" width="14.83203125" style="83" customWidth="1"/>
    <col min="6" max="7" width="16.83203125" style="83" hidden="1" customWidth="1"/>
    <col min="8" max="8" width="14.1640625" style="83" customWidth="1"/>
    <col min="9" max="12" width="13.5" style="83" hidden="1" customWidth="1"/>
    <col min="13" max="261" width="9.33203125" style="25"/>
    <col min="262" max="262" width="19.5" style="25" customWidth="1"/>
    <col min="263" max="263" width="69.33203125" style="25" customWidth="1"/>
    <col min="264" max="264" width="21.5" style="25" customWidth="1"/>
    <col min="265" max="517" width="9.33203125" style="25"/>
    <col min="518" max="518" width="19.5" style="25" customWidth="1"/>
    <col min="519" max="519" width="69.33203125" style="25" customWidth="1"/>
    <col min="520" max="520" width="21.5" style="25" customWidth="1"/>
    <col min="521" max="773" width="9.33203125" style="25"/>
    <col min="774" max="774" width="19.5" style="25" customWidth="1"/>
    <col min="775" max="775" width="69.33203125" style="25" customWidth="1"/>
    <col min="776" max="776" width="21.5" style="25" customWidth="1"/>
    <col min="777" max="1029" width="9.33203125" style="25"/>
    <col min="1030" max="1030" width="19.5" style="25" customWidth="1"/>
    <col min="1031" max="1031" width="69.33203125" style="25" customWidth="1"/>
    <col min="1032" max="1032" width="21.5" style="25" customWidth="1"/>
    <col min="1033" max="1285" width="9.33203125" style="25"/>
    <col min="1286" max="1286" width="19.5" style="25" customWidth="1"/>
    <col min="1287" max="1287" width="69.33203125" style="25" customWidth="1"/>
    <col min="1288" max="1288" width="21.5" style="25" customWidth="1"/>
    <col min="1289" max="1541" width="9.33203125" style="25"/>
    <col min="1542" max="1542" width="19.5" style="25" customWidth="1"/>
    <col min="1543" max="1543" width="69.33203125" style="25" customWidth="1"/>
    <col min="1544" max="1544" width="21.5" style="25" customWidth="1"/>
    <col min="1545" max="1797" width="9.33203125" style="25"/>
    <col min="1798" max="1798" width="19.5" style="25" customWidth="1"/>
    <col min="1799" max="1799" width="69.33203125" style="25" customWidth="1"/>
    <col min="1800" max="1800" width="21.5" style="25" customWidth="1"/>
    <col min="1801" max="2053" width="9.33203125" style="25"/>
    <col min="2054" max="2054" width="19.5" style="25" customWidth="1"/>
    <col min="2055" max="2055" width="69.33203125" style="25" customWidth="1"/>
    <col min="2056" max="2056" width="21.5" style="25" customWidth="1"/>
    <col min="2057" max="2309" width="9.33203125" style="25"/>
    <col min="2310" max="2310" width="19.5" style="25" customWidth="1"/>
    <col min="2311" max="2311" width="69.33203125" style="25" customWidth="1"/>
    <col min="2312" max="2312" width="21.5" style="25" customWidth="1"/>
    <col min="2313" max="2565" width="9.33203125" style="25"/>
    <col min="2566" max="2566" width="19.5" style="25" customWidth="1"/>
    <col min="2567" max="2567" width="69.33203125" style="25" customWidth="1"/>
    <col min="2568" max="2568" width="21.5" style="25" customWidth="1"/>
    <col min="2569" max="2821" width="9.33203125" style="25"/>
    <col min="2822" max="2822" width="19.5" style="25" customWidth="1"/>
    <col min="2823" max="2823" width="69.33203125" style="25" customWidth="1"/>
    <col min="2824" max="2824" width="21.5" style="25" customWidth="1"/>
    <col min="2825" max="3077" width="9.33203125" style="25"/>
    <col min="3078" max="3078" width="19.5" style="25" customWidth="1"/>
    <col min="3079" max="3079" width="69.33203125" style="25" customWidth="1"/>
    <col min="3080" max="3080" width="21.5" style="25" customWidth="1"/>
    <col min="3081" max="3333" width="9.33203125" style="25"/>
    <col min="3334" max="3334" width="19.5" style="25" customWidth="1"/>
    <col min="3335" max="3335" width="69.33203125" style="25" customWidth="1"/>
    <col min="3336" max="3336" width="21.5" style="25" customWidth="1"/>
    <col min="3337" max="3589" width="9.33203125" style="25"/>
    <col min="3590" max="3590" width="19.5" style="25" customWidth="1"/>
    <col min="3591" max="3591" width="69.33203125" style="25" customWidth="1"/>
    <col min="3592" max="3592" width="21.5" style="25" customWidth="1"/>
    <col min="3593" max="3845" width="9.33203125" style="25"/>
    <col min="3846" max="3846" width="19.5" style="25" customWidth="1"/>
    <col min="3847" max="3847" width="69.33203125" style="25" customWidth="1"/>
    <col min="3848" max="3848" width="21.5" style="25" customWidth="1"/>
    <col min="3849" max="4101" width="9.33203125" style="25"/>
    <col min="4102" max="4102" width="19.5" style="25" customWidth="1"/>
    <col min="4103" max="4103" width="69.33203125" style="25" customWidth="1"/>
    <col min="4104" max="4104" width="21.5" style="25" customWidth="1"/>
    <col min="4105" max="4357" width="9.33203125" style="25"/>
    <col min="4358" max="4358" width="19.5" style="25" customWidth="1"/>
    <col min="4359" max="4359" width="69.33203125" style="25" customWidth="1"/>
    <col min="4360" max="4360" width="21.5" style="25" customWidth="1"/>
    <col min="4361" max="4613" width="9.33203125" style="25"/>
    <col min="4614" max="4614" width="19.5" style="25" customWidth="1"/>
    <col min="4615" max="4615" width="69.33203125" style="25" customWidth="1"/>
    <col min="4616" max="4616" width="21.5" style="25" customWidth="1"/>
    <col min="4617" max="4869" width="9.33203125" style="25"/>
    <col min="4870" max="4870" width="19.5" style="25" customWidth="1"/>
    <col min="4871" max="4871" width="69.33203125" style="25" customWidth="1"/>
    <col min="4872" max="4872" width="21.5" style="25" customWidth="1"/>
    <col min="4873" max="5125" width="9.33203125" style="25"/>
    <col min="5126" max="5126" width="19.5" style="25" customWidth="1"/>
    <col min="5127" max="5127" width="69.33203125" style="25" customWidth="1"/>
    <col min="5128" max="5128" width="21.5" style="25" customWidth="1"/>
    <col min="5129" max="5381" width="9.33203125" style="25"/>
    <col min="5382" max="5382" width="19.5" style="25" customWidth="1"/>
    <col min="5383" max="5383" width="69.33203125" style="25" customWidth="1"/>
    <col min="5384" max="5384" width="21.5" style="25" customWidth="1"/>
    <col min="5385" max="5637" width="9.33203125" style="25"/>
    <col min="5638" max="5638" width="19.5" style="25" customWidth="1"/>
    <col min="5639" max="5639" width="69.33203125" style="25" customWidth="1"/>
    <col min="5640" max="5640" width="21.5" style="25" customWidth="1"/>
    <col min="5641" max="5893" width="9.33203125" style="25"/>
    <col min="5894" max="5894" width="19.5" style="25" customWidth="1"/>
    <col min="5895" max="5895" width="69.33203125" style="25" customWidth="1"/>
    <col min="5896" max="5896" width="21.5" style="25" customWidth="1"/>
    <col min="5897" max="6149" width="9.33203125" style="25"/>
    <col min="6150" max="6150" width="19.5" style="25" customWidth="1"/>
    <col min="6151" max="6151" width="69.33203125" style="25" customWidth="1"/>
    <col min="6152" max="6152" width="21.5" style="25" customWidth="1"/>
    <col min="6153" max="6405" width="9.33203125" style="25"/>
    <col min="6406" max="6406" width="19.5" style="25" customWidth="1"/>
    <col min="6407" max="6407" width="69.33203125" style="25" customWidth="1"/>
    <col min="6408" max="6408" width="21.5" style="25" customWidth="1"/>
    <col min="6409" max="6661" width="9.33203125" style="25"/>
    <col min="6662" max="6662" width="19.5" style="25" customWidth="1"/>
    <col min="6663" max="6663" width="69.33203125" style="25" customWidth="1"/>
    <col min="6664" max="6664" width="21.5" style="25" customWidth="1"/>
    <col min="6665" max="6917" width="9.33203125" style="25"/>
    <col min="6918" max="6918" width="19.5" style="25" customWidth="1"/>
    <col min="6919" max="6919" width="69.33203125" style="25" customWidth="1"/>
    <col min="6920" max="6920" width="21.5" style="25" customWidth="1"/>
    <col min="6921" max="7173" width="9.33203125" style="25"/>
    <col min="7174" max="7174" width="19.5" style="25" customWidth="1"/>
    <col min="7175" max="7175" width="69.33203125" style="25" customWidth="1"/>
    <col min="7176" max="7176" width="21.5" style="25" customWidth="1"/>
    <col min="7177" max="7429" width="9.33203125" style="25"/>
    <col min="7430" max="7430" width="19.5" style="25" customWidth="1"/>
    <col min="7431" max="7431" width="69.33203125" style="25" customWidth="1"/>
    <col min="7432" max="7432" width="21.5" style="25" customWidth="1"/>
    <col min="7433" max="7685" width="9.33203125" style="25"/>
    <col min="7686" max="7686" width="19.5" style="25" customWidth="1"/>
    <col min="7687" max="7687" width="69.33203125" style="25" customWidth="1"/>
    <col min="7688" max="7688" width="21.5" style="25" customWidth="1"/>
    <col min="7689" max="7941" width="9.33203125" style="25"/>
    <col min="7942" max="7942" width="19.5" style="25" customWidth="1"/>
    <col min="7943" max="7943" width="69.33203125" style="25" customWidth="1"/>
    <col min="7944" max="7944" width="21.5" style="25" customWidth="1"/>
    <col min="7945" max="8197" width="9.33203125" style="25"/>
    <col min="8198" max="8198" width="19.5" style="25" customWidth="1"/>
    <col min="8199" max="8199" width="69.33203125" style="25" customWidth="1"/>
    <col min="8200" max="8200" width="21.5" style="25" customWidth="1"/>
    <col min="8201" max="8453" width="9.33203125" style="25"/>
    <col min="8454" max="8454" width="19.5" style="25" customWidth="1"/>
    <col min="8455" max="8455" width="69.33203125" style="25" customWidth="1"/>
    <col min="8456" max="8456" width="21.5" style="25" customWidth="1"/>
    <col min="8457" max="8709" width="9.33203125" style="25"/>
    <col min="8710" max="8710" width="19.5" style="25" customWidth="1"/>
    <col min="8711" max="8711" width="69.33203125" style="25" customWidth="1"/>
    <col min="8712" max="8712" width="21.5" style="25" customWidth="1"/>
    <col min="8713" max="8965" width="9.33203125" style="25"/>
    <col min="8966" max="8966" width="19.5" style="25" customWidth="1"/>
    <col min="8967" max="8967" width="69.33203125" style="25" customWidth="1"/>
    <col min="8968" max="8968" width="21.5" style="25" customWidth="1"/>
    <col min="8969" max="9221" width="9.33203125" style="25"/>
    <col min="9222" max="9222" width="19.5" style="25" customWidth="1"/>
    <col min="9223" max="9223" width="69.33203125" style="25" customWidth="1"/>
    <col min="9224" max="9224" width="21.5" style="25" customWidth="1"/>
    <col min="9225" max="9477" width="9.33203125" style="25"/>
    <col min="9478" max="9478" width="19.5" style="25" customWidth="1"/>
    <col min="9479" max="9479" width="69.33203125" style="25" customWidth="1"/>
    <col min="9480" max="9480" width="21.5" style="25" customWidth="1"/>
    <col min="9481" max="9733" width="9.33203125" style="25"/>
    <col min="9734" max="9734" width="19.5" style="25" customWidth="1"/>
    <col min="9735" max="9735" width="69.33203125" style="25" customWidth="1"/>
    <col min="9736" max="9736" width="21.5" style="25" customWidth="1"/>
    <col min="9737" max="9989" width="9.33203125" style="25"/>
    <col min="9990" max="9990" width="19.5" style="25" customWidth="1"/>
    <col min="9991" max="9991" width="69.33203125" style="25" customWidth="1"/>
    <col min="9992" max="9992" width="21.5" style="25" customWidth="1"/>
    <col min="9993" max="10245" width="9.33203125" style="25"/>
    <col min="10246" max="10246" width="19.5" style="25" customWidth="1"/>
    <col min="10247" max="10247" width="69.33203125" style="25" customWidth="1"/>
    <col min="10248" max="10248" width="21.5" style="25" customWidth="1"/>
    <col min="10249" max="10501" width="9.33203125" style="25"/>
    <col min="10502" max="10502" width="19.5" style="25" customWidth="1"/>
    <col min="10503" max="10503" width="69.33203125" style="25" customWidth="1"/>
    <col min="10504" max="10504" width="21.5" style="25" customWidth="1"/>
    <col min="10505" max="10757" width="9.33203125" style="25"/>
    <col min="10758" max="10758" width="19.5" style="25" customWidth="1"/>
    <col min="10759" max="10759" width="69.33203125" style="25" customWidth="1"/>
    <col min="10760" max="10760" width="21.5" style="25" customWidth="1"/>
    <col min="10761" max="11013" width="9.33203125" style="25"/>
    <col min="11014" max="11014" width="19.5" style="25" customWidth="1"/>
    <col min="11015" max="11015" width="69.33203125" style="25" customWidth="1"/>
    <col min="11016" max="11016" width="21.5" style="25" customWidth="1"/>
    <col min="11017" max="11269" width="9.33203125" style="25"/>
    <col min="11270" max="11270" width="19.5" style="25" customWidth="1"/>
    <col min="11271" max="11271" width="69.33203125" style="25" customWidth="1"/>
    <col min="11272" max="11272" width="21.5" style="25" customWidth="1"/>
    <col min="11273" max="11525" width="9.33203125" style="25"/>
    <col min="11526" max="11526" width="19.5" style="25" customWidth="1"/>
    <col min="11527" max="11527" width="69.33203125" style="25" customWidth="1"/>
    <col min="11528" max="11528" width="21.5" style="25" customWidth="1"/>
    <col min="11529" max="11781" width="9.33203125" style="25"/>
    <col min="11782" max="11782" width="19.5" style="25" customWidth="1"/>
    <col min="11783" max="11783" width="69.33203125" style="25" customWidth="1"/>
    <col min="11784" max="11784" width="21.5" style="25" customWidth="1"/>
    <col min="11785" max="12037" width="9.33203125" style="25"/>
    <col min="12038" max="12038" width="19.5" style="25" customWidth="1"/>
    <col min="12039" max="12039" width="69.33203125" style="25" customWidth="1"/>
    <col min="12040" max="12040" width="21.5" style="25" customWidth="1"/>
    <col min="12041" max="12293" width="9.33203125" style="25"/>
    <col min="12294" max="12294" width="19.5" style="25" customWidth="1"/>
    <col min="12295" max="12295" width="69.33203125" style="25" customWidth="1"/>
    <col min="12296" max="12296" width="21.5" style="25" customWidth="1"/>
    <col min="12297" max="12549" width="9.33203125" style="25"/>
    <col min="12550" max="12550" width="19.5" style="25" customWidth="1"/>
    <col min="12551" max="12551" width="69.33203125" style="25" customWidth="1"/>
    <col min="12552" max="12552" width="21.5" style="25" customWidth="1"/>
    <col min="12553" max="12805" width="9.33203125" style="25"/>
    <col min="12806" max="12806" width="19.5" style="25" customWidth="1"/>
    <col min="12807" max="12807" width="69.33203125" style="25" customWidth="1"/>
    <col min="12808" max="12808" width="21.5" style="25" customWidth="1"/>
    <col min="12809" max="13061" width="9.33203125" style="25"/>
    <col min="13062" max="13062" width="19.5" style="25" customWidth="1"/>
    <col min="13063" max="13063" width="69.33203125" style="25" customWidth="1"/>
    <col min="13064" max="13064" width="21.5" style="25" customWidth="1"/>
    <col min="13065" max="13317" width="9.33203125" style="25"/>
    <col min="13318" max="13318" width="19.5" style="25" customWidth="1"/>
    <col min="13319" max="13319" width="69.33203125" style="25" customWidth="1"/>
    <col min="13320" max="13320" width="21.5" style="25" customWidth="1"/>
    <col min="13321" max="13573" width="9.33203125" style="25"/>
    <col min="13574" max="13574" width="19.5" style="25" customWidth="1"/>
    <col min="13575" max="13575" width="69.33203125" style="25" customWidth="1"/>
    <col min="13576" max="13576" width="21.5" style="25" customWidth="1"/>
    <col min="13577" max="13829" width="9.33203125" style="25"/>
    <col min="13830" max="13830" width="19.5" style="25" customWidth="1"/>
    <col min="13831" max="13831" width="69.33203125" style="25" customWidth="1"/>
    <col min="13832" max="13832" width="21.5" style="25" customWidth="1"/>
    <col min="13833" max="14085" width="9.33203125" style="25"/>
    <col min="14086" max="14086" width="19.5" style="25" customWidth="1"/>
    <col min="14087" max="14087" width="69.33203125" style="25" customWidth="1"/>
    <col min="14088" max="14088" width="21.5" style="25" customWidth="1"/>
    <col min="14089" max="14341" width="9.33203125" style="25"/>
    <col min="14342" max="14342" width="19.5" style="25" customWidth="1"/>
    <col min="14343" max="14343" width="69.33203125" style="25" customWidth="1"/>
    <col min="14344" max="14344" width="21.5" style="25" customWidth="1"/>
    <col min="14345" max="14597" width="9.33203125" style="25"/>
    <col min="14598" max="14598" width="19.5" style="25" customWidth="1"/>
    <col min="14599" max="14599" width="69.33203125" style="25" customWidth="1"/>
    <col min="14600" max="14600" width="21.5" style="25" customWidth="1"/>
    <col min="14601" max="14853" width="9.33203125" style="25"/>
    <col min="14854" max="14854" width="19.5" style="25" customWidth="1"/>
    <col min="14855" max="14855" width="69.33203125" style="25" customWidth="1"/>
    <col min="14856" max="14856" width="21.5" style="25" customWidth="1"/>
    <col min="14857" max="15109" width="9.33203125" style="25"/>
    <col min="15110" max="15110" width="19.5" style="25" customWidth="1"/>
    <col min="15111" max="15111" width="69.33203125" style="25" customWidth="1"/>
    <col min="15112" max="15112" width="21.5" style="25" customWidth="1"/>
    <col min="15113" max="15365" width="9.33203125" style="25"/>
    <col min="15366" max="15366" width="19.5" style="25" customWidth="1"/>
    <col min="15367" max="15367" width="69.33203125" style="25" customWidth="1"/>
    <col min="15368" max="15368" width="21.5" style="25" customWidth="1"/>
    <col min="15369" max="15621" width="9.33203125" style="25"/>
    <col min="15622" max="15622" width="19.5" style="25" customWidth="1"/>
    <col min="15623" max="15623" width="69.33203125" style="25" customWidth="1"/>
    <col min="15624" max="15624" width="21.5" style="25" customWidth="1"/>
    <col min="15625" max="15877" width="9.33203125" style="25"/>
    <col min="15878" max="15878" width="19.5" style="25" customWidth="1"/>
    <col min="15879" max="15879" width="69.33203125" style="25" customWidth="1"/>
    <col min="15880" max="15880" width="21.5" style="25" customWidth="1"/>
    <col min="15881" max="16133" width="9.33203125" style="25"/>
    <col min="16134" max="16134" width="19.5" style="25" customWidth="1"/>
    <col min="16135" max="16135" width="69.33203125" style="25" customWidth="1"/>
    <col min="16136" max="16136" width="21.5" style="25" customWidth="1"/>
    <col min="16137" max="16384" width="9.33203125" style="25"/>
  </cols>
  <sheetData>
    <row r="1" spans="1:15" x14ac:dyDescent="0.2">
      <c r="A1" s="1774" t="s">
        <v>803</v>
      </c>
      <c r="B1" s="1774"/>
      <c r="C1" s="1774"/>
      <c r="D1" s="1774"/>
      <c r="E1" s="1774"/>
      <c r="F1" s="1774"/>
      <c r="G1" s="1774"/>
      <c r="H1" s="1774"/>
      <c r="I1" s="25"/>
      <c r="J1" s="25"/>
      <c r="K1" s="25"/>
      <c r="L1" s="25"/>
    </row>
    <row r="2" spans="1:15" x14ac:dyDescent="0.2">
      <c r="A2" s="1774" t="s">
        <v>724</v>
      </c>
      <c r="B2" s="1774"/>
      <c r="C2" s="1774"/>
      <c r="D2" s="1774"/>
      <c r="E2" s="1774"/>
      <c r="F2" s="1774"/>
      <c r="G2" s="1774"/>
      <c r="H2" s="1774"/>
      <c r="I2" s="25"/>
      <c r="J2" s="25"/>
      <c r="K2" s="25"/>
      <c r="L2" s="25"/>
    </row>
    <row r="3" spans="1:15" s="24" customFormat="1" ht="16.5" customHeight="1" x14ac:dyDescent="0.2">
      <c r="A3" s="169"/>
      <c r="B3" s="170"/>
      <c r="C3" s="167"/>
      <c r="D3" s="167"/>
      <c r="E3" s="167"/>
      <c r="F3" s="167"/>
      <c r="G3" s="167"/>
      <c r="H3" s="167"/>
      <c r="I3" s="167"/>
      <c r="J3" s="167"/>
      <c r="K3" s="167"/>
      <c r="L3" s="167"/>
    </row>
    <row r="4" spans="1:15" s="24" customFormat="1" ht="11.25" customHeight="1" x14ac:dyDescent="0.2">
      <c r="A4" s="169"/>
      <c r="B4" s="170"/>
      <c r="C4" s="167"/>
      <c r="D4" s="167"/>
      <c r="E4" s="167"/>
      <c r="F4" s="167"/>
      <c r="G4" s="167"/>
      <c r="H4" s="167"/>
      <c r="I4" s="167"/>
      <c r="J4" s="167"/>
      <c r="K4" s="167"/>
      <c r="L4" s="167"/>
    </row>
    <row r="5" spans="1:15" s="38" customFormat="1" ht="21.2" customHeight="1" x14ac:dyDescent="0.2">
      <c r="A5" s="1771" t="s">
        <v>232</v>
      </c>
      <c r="B5" s="1771"/>
      <c r="C5" s="1771"/>
      <c r="D5" s="1771"/>
      <c r="E5" s="1771"/>
      <c r="F5" s="1771"/>
      <c r="G5" s="1771"/>
      <c r="H5" s="1771"/>
    </row>
    <row r="6" spans="1:15" s="38" customFormat="1" ht="21.2" customHeight="1" x14ac:dyDescent="0.2">
      <c r="A6" s="1771" t="str">
        <f>'26._köt_össz_kiad'!A5:C5</f>
        <v>2023. ÉVI KÖLTSÉGVETÉS</v>
      </c>
      <c r="B6" s="1771"/>
      <c r="C6" s="1771"/>
      <c r="D6" s="1771"/>
      <c r="E6" s="1771"/>
      <c r="F6" s="1771"/>
      <c r="G6" s="1771"/>
      <c r="H6" s="1771"/>
    </row>
    <row r="7" spans="1:15" s="38" customFormat="1" ht="21.2" customHeight="1" x14ac:dyDescent="0.2">
      <c r="A7" s="1771" t="s">
        <v>400</v>
      </c>
      <c r="B7" s="1771"/>
      <c r="C7" s="1771"/>
      <c r="D7" s="1771"/>
      <c r="E7" s="1771"/>
      <c r="F7" s="1771"/>
      <c r="G7" s="1771"/>
      <c r="H7" s="1771"/>
    </row>
    <row r="8" spans="1:15" s="38" customFormat="1" ht="8.4499999999999993" customHeight="1" x14ac:dyDescent="0.2">
      <c r="A8" s="168"/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</row>
    <row r="9" spans="1:15" s="41" customFormat="1" ht="15.95" customHeight="1" thickBot="1" x14ac:dyDescent="0.3">
      <c r="A9" s="1805" t="s">
        <v>362</v>
      </c>
      <c r="B9" s="1805"/>
      <c r="C9" s="1805"/>
      <c r="D9" s="1805"/>
      <c r="E9" s="1805"/>
      <c r="F9" s="1805"/>
      <c r="G9" s="1805"/>
      <c r="H9" s="1805"/>
    </row>
    <row r="10" spans="1:15" s="46" customFormat="1" ht="48.2" customHeight="1" thickBot="1" x14ac:dyDescent="0.25">
      <c r="A10" s="43" t="s">
        <v>129</v>
      </c>
      <c r="B10" s="44" t="s">
        <v>11</v>
      </c>
      <c r="C10" s="44" t="str">
        <f>'26._köt_össz_kiad'!C9</f>
        <v>2023. évi eredeti előirányzat
2/2023. (II.14.)</v>
      </c>
      <c r="D10" s="182" t="str">
        <f>'26._köt_össz_kiad'!D9</f>
        <v>Módosított előirányzat a 14/2023.  (VI.29.)  rendelet szerint</v>
      </c>
      <c r="E10" s="44" t="str">
        <f>'26._köt_össz_kiad'!E9</f>
        <v>Módosított előirányzat a 18/2023. (IX.26.)  rendelet szerint</v>
      </c>
      <c r="F10" s="44" t="str">
        <f>'26._köt_össz_kiad'!F9</f>
        <v>Módosított előirányzat 2023.09.30-án</v>
      </c>
      <c r="G10" s="44" t="str">
        <f>'26._köt_össz_kiad'!G9</f>
        <v>Módosított előirányzat a …../2023. (II…..)  rendelet szerint</v>
      </c>
      <c r="H10" s="45" t="str">
        <f>'26._köt_össz_kiad'!H9</f>
        <v>Változás a 14/2023. (VI.29.) rendelethez képest</v>
      </c>
      <c r="I10" s="182" t="str">
        <f>'26._köt_össz_kiad'!I9</f>
        <v>2023. évi teljesítés              2023.06.30-ig</v>
      </c>
      <c r="J10" s="44" t="str">
        <f>'26._köt_össz_kiad'!J9</f>
        <v>2023. évi teljesítés              2023.09.30-ig</v>
      </c>
      <c r="K10" s="44" t="str">
        <f>'26._köt_össz_kiad'!K9</f>
        <v>2023. évi teljesítés              2023.12.31-ig</v>
      </c>
      <c r="L10" s="44" t="str">
        <f>'26._köt_össz_kiad'!L9</f>
        <v>Teljesítés %-a</v>
      </c>
    </row>
    <row r="11" spans="1:15" s="46" customFormat="1" ht="15.95" customHeight="1" thickBot="1" x14ac:dyDescent="0.25">
      <c r="A11" s="43" t="s">
        <v>297</v>
      </c>
      <c r="B11" s="44" t="s">
        <v>298</v>
      </c>
      <c r="C11" s="989" t="s">
        <v>299</v>
      </c>
      <c r="D11" s="182" t="s">
        <v>300</v>
      </c>
      <c r="E11" s="44" t="s">
        <v>301</v>
      </c>
      <c r="F11" s="44" t="s">
        <v>388</v>
      </c>
      <c r="G11" s="44" t="s">
        <v>424</v>
      </c>
      <c r="H11" s="180" t="s">
        <v>388</v>
      </c>
      <c r="I11" s="180"/>
      <c r="J11" s="45"/>
      <c r="K11" s="45"/>
      <c r="L11" s="45"/>
      <c r="O11" s="46" t="s">
        <v>385</v>
      </c>
    </row>
    <row r="12" spans="1:15" s="46" customFormat="1" ht="12.2" customHeight="1" thickBot="1" x14ac:dyDescent="0.25">
      <c r="A12" s="14" t="s">
        <v>12</v>
      </c>
      <c r="B12" s="72" t="s">
        <v>622</v>
      </c>
      <c r="C12" s="113">
        <f>+C20+C21+C22+C23+C24</f>
        <v>1090154663</v>
      </c>
      <c r="D12" s="186">
        <f t="shared" ref="D12:K12" si="0">+D20+D21+D22+D23+D24</f>
        <v>1090154663</v>
      </c>
      <c r="E12" s="566">
        <f t="shared" si="0"/>
        <v>1090154663</v>
      </c>
      <c r="F12" s="566">
        <f t="shared" si="0"/>
        <v>0</v>
      </c>
      <c r="G12" s="566">
        <f t="shared" si="0"/>
        <v>0</v>
      </c>
      <c r="H12" s="28">
        <f>+E12-D12</f>
        <v>0</v>
      </c>
      <c r="I12" s="628">
        <f t="shared" si="0"/>
        <v>0</v>
      </c>
      <c r="J12" s="28">
        <f t="shared" si="0"/>
        <v>0</v>
      </c>
      <c r="K12" s="28">
        <f t="shared" si="0"/>
        <v>0</v>
      </c>
      <c r="L12" s="28">
        <f t="shared" ref="L12" si="1">+L13+L14+L15+L16+L17+L18+L19</f>
        <v>0</v>
      </c>
    </row>
    <row r="13" spans="1:15" s="26" customFormat="1" ht="12.2" customHeight="1" x14ac:dyDescent="0.2">
      <c r="A13" s="12" t="s">
        <v>91</v>
      </c>
      <c r="B13" s="73" t="s">
        <v>188</v>
      </c>
      <c r="C13" s="114">
        <f>'27._önkorm_önként'!C12</f>
        <v>0</v>
      </c>
      <c r="D13" s="185">
        <f>'27._önkorm_önként'!D12</f>
        <v>0</v>
      </c>
      <c r="E13" s="567">
        <f>'27._önkorm_önként'!E12</f>
        <v>0</v>
      </c>
      <c r="F13" s="567">
        <f>'27._önkorm_önként'!F12</f>
        <v>0</v>
      </c>
      <c r="G13" s="567">
        <f>'27._önkorm_önként'!G12</f>
        <v>0</v>
      </c>
      <c r="H13" s="16">
        <f t="shared" ref="H13:H76" si="2">+E13-D13</f>
        <v>0</v>
      </c>
      <c r="I13" s="626">
        <f>'27._önkorm_önként'!I12</f>
        <v>0</v>
      </c>
      <c r="J13" s="16">
        <f>'27._önkorm_önként'!J12</f>
        <v>0</v>
      </c>
      <c r="K13" s="16">
        <f>'27._önkorm_önként'!K12</f>
        <v>0</v>
      </c>
      <c r="L13" s="16">
        <f>'27._önkorm_önként'!L12</f>
        <v>0</v>
      </c>
    </row>
    <row r="14" spans="1:15" s="54" customFormat="1" ht="12.2" customHeight="1" x14ac:dyDescent="0.2">
      <c r="A14" s="1003" t="s">
        <v>92</v>
      </c>
      <c r="B14" s="345" t="s">
        <v>532</v>
      </c>
      <c r="C14" s="114">
        <f>'27._önkorm_önként'!C13</f>
        <v>0</v>
      </c>
      <c r="D14" s="185">
        <f>'27._önkorm_önként'!D13</f>
        <v>0</v>
      </c>
      <c r="E14" s="567">
        <f>'27._önkorm_önként'!E13</f>
        <v>0</v>
      </c>
      <c r="F14" s="567">
        <f>'27._önkorm_önként'!F13</f>
        <v>0</v>
      </c>
      <c r="G14" s="567">
        <f>'27._önkorm_önként'!G13</f>
        <v>0</v>
      </c>
      <c r="H14" s="16">
        <f t="shared" si="2"/>
        <v>0</v>
      </c>
      <c r="I14" s="626">
        <f>'27._önkorm_önként'!I13</f>
        <v>0</v>
      </c>
      <c r="J14" s="16">
        <f>'27._önkorm_önként'!J13</f>
        <v>0</v>
      </c>
      <c r="K14" s="16">
        <f>'27._önkorm_önként'!K13</f>
        <v>0</v>
      </c>
      <c r="L14" s="16">
        <f>'27._önkorm_önként'!L13</f>
        <v>0</v>
      </c>
    </row>
    <row r="15" spans="1:15" s="54" customFormat="1" ht="12.2" customHeight="1" x14ac:dyDescent="0.2">
      <c r="A15" s="1003" t="s">
        <v>93</v>
      </c>
      <c r="B15" s="345" t="s">
        <v>533</v>
      </c>
      <c r="C15" s="114">
        <f>'27._önkorm_önként'!C14</f>
        <v>0</v>
      </c>
      <c r="D15" s="185">
        <f>'27._önkorm_önként'!D14</f>
        <v>0</v>
      </c>
      <c r="E15" s="567">
        <f>'27._önkorm_önként'!E14</f>
        <v>0</v>
      </c>
      <c r="F15" s="567">
        <f>'27._önkorm_önként'!F14</f>
        <v>0</v>
      </c>
      <c r="G15" s="567">
        <f>'27._önkorm_önként'!G14</f>
        <v>0</v>
      </c>
      <c r="H15" s="16">
        <f t="shared" si="2"/>
        <v>0</v>
      </c>
      <c r="I15" s="626">
        <f>'27._önkorm_önként'!I14</f>
        <v>0</v>
      </c>
      <c r="J15" s="16">
        <f>'27._önkorm_önként'!J14</f>
        <v>0</v>
      </c>
      <c r="K15" s="16">
        <f>'27._önkorm_önként'!K14</f>
        <v>0</v>
      </c>
      <c r="L15" s="16">
        <f>'27._önkorm_önként'!L14</f>
        <v>0</v>
      </c>
    </row>
    <row r="16" spans="1:15" s="54" customFormat="1" ht="12.2" customHeight="1" x14ac:dyDescent="0.2">
      <c r="A16" s="1003" t="s">
        <v>90</v>
      </c>
      <c r="B16" s="345" t="s">
        <v>534</v>
      </c>
      <c r="C16" s="114">
        <f>'27._önkorm_önként'!C16</f>
        <v>0</v>
      </c>
      <c r="D16" s="185">
        <f>'27._önkorm_önként'!D16</f>
        <v>0</v>
      </c>
      <c r="E16" s="567">
        <f>'27._önkorm_önként'!E16</f>
        <v>0</v>
      </c>
      <c r="F16" s="567">
        <f>'27._önkorm_önként'!F16</f>
        <v>0</v>
      </c>
      <c r="G16" s="567">
        <f>'27._önkorm_önként'!G16</f>
        <v>0</v>
      </c>
      <c r="H16" s="16">
        <f t="shared" si="2"/>
        <v>0</v>
      </c>
      <c r="I16" s="626">
        <f>'27._önkorm_önként'!I16</f>
        <v>0</v>
      </c>
      <c r="J16" s="16">
        <f>'27._önkorm_önként'!J16</f>
        <v>0</v>
      </c>
      <c r="K16" s="16">
        <f>'27._önkorm_önként'!K16</f>
        <v>0</v>
      </c>
      <c r="L16" s="16">
        <f>'27._önkorm_önként'!L16</f>
        <v>0</v>
      </c>
    </row>
    <row r="17" spans="1:12" s="54" customFormat="1" ht="12.2" customHeight="1" x14ac:dyDescent="0.2">
      <c r="A17" s="1003" t="s">
        <v>147</v>
      </c>
      <c r="B17" s="345" t="s">
        <v>189</v>
      </c>
      <c r="C17" s="114">
        <f>'27._önkorm_önként'!C17</f>
        <v>0</v>
      </c>
      <c r="D17" s="185">
        <f>'27._önkorm_önként'!D17</f>
        <v>0</v>
      </c>
      <c r="E17" s="567">
        <f>'27._önkorm_önként'!E17</f>
        <v>0</v>
      </c>
      <c r="F17" s="567">
        <f>'27._önkorm_önként'!F17</f>
        <v>0</v>
      </c>
      <c r="G17" s="567">
        <f>'27._önkorm_önként'!G17</f>
        <v>0</v>
      </c>
      <c r="H17" s="16">
        <f t="shared" si="2"/>
        <v>0</v>
      </c>
      <c r="I17" s="626">
        <f>'27._önkorm_önként'!I17</f>
        <v>0</v>
      </c>
      <c r="J17" s="16">
        <f>'27._önkorm_önként'!J17</f>
        <v>0</v>
      </c>
      <c r="K17" s="16">
        <f>'27._önkorm_önként'!K17</f>
        <v>0</v>
      </c>
      <c r="L17" s="16">
        <f>'27._önkorm_önként'!L17</f>
        <v>0</v>
      </c>
    </row>
    <row r="18" spans="1:12" s="54" customFormat="1" ht="12.2" customHeight="1" x14ac:dyDescent="0.2">
      <c r="A18" s="1005" t="s">
        <v>149</v>
      </c>
      <c r="B18" s="345" t="s">
        <v>271</v>
      </c>
      <c r="C18" s="114">
        <f>'27._önkorm_önként'!C18</f>
        <v>0</v>
      </c>
      <c r="D18" s="185">
        <f>'27._önkorm_önként'!D18</f>
        <v>0</v>
      </c>
      <c r="E18" s="567">
        <f>'27._önkorm_önként'!E18</f>
        <v>0</v>
      </c>
      <c r="F18" s="567">
        <f>'27._önkorm_önként'!F18</f>
        <v>0</v>
      </c>
      <c r="G18" s="567">
        <f>'27._önkorm_önként'!G18</f>
        <v>0</v>
      </c>
      <c r="H18" s="16">
        <f t="shared" si="2"/>
        <v>0</v>
      </c>
      <c r="I18" s="626">
        <f>'27._önkorm_önként'!I18</f>
        <v>0</v>
      </c>
      <c r="J18" s="16">
        <f>'27._önkorm_önként'!J18</f>
        <v>0</v>
      </c>
      <c r="K18" s="16">
        <f>'27._önkorm_önként'!K18</f>
        <v>0</v>
      </c>
      <c r="L18" s="16">
        <f>'27._önkorm_önként'!L18</f>
        <v>0</v>
      </c>
    </row>
    <row r="19" spans="1:12" s="26" customFormat="1" ht="12.2" customHeight="1" x14ac:dyDescent="0.2">
      <c r="A19" s="1005" t="s">
        <v>151</v>
      </c>
      <c r="B19" s="717" t="s">
        <v>272</v>
      </c>
      <c r="C19" s="114">
        <f>'27._önkorm_önként'!C19</f>
        <v>0</v>
      </c>
      <c r="D19" s="664">
        <f>'27._önkorm_önként'!D19</f>
        <v>0</v>
      </c>
      <c r="E19" s="578">
        <f>'27._önkorm_önként'!E19</f>
        <v>0</v>
      </c>
      <c r="F19" s="578">
        <f>'27._önkorm_önként'!F19</f>
        <v>0</v>
      </c>
      <c r="G19" s="578">
        <f>'27._önkorm_önként'!G19</f>
        <v>0</v>
      </c>
      <c r="H19" s="528">
        <f t="shared" si="2"/>
        <v>0</v>
      </c>
      <c r="I19" s="672">
        <f>'27._önkorm_önként'!I19</f>
        <v>0</v>
      </c>
      <c r="J19" s="528">
        <f>'27._önkorm_önként'!J19</f>
        <v>0</v>
      </c>
      <c r="K19" s="528">
        <f>'27._önkorm_önként'!K19</f>
        <v>0</v>
      </c>
      <c r="L19" s="528">
        <f>'27._önkorm_önként'!L19</f>
        <v>0</v>
      </c>
    </row>
    <row r="20" spans="1:12" s="26" customFormat="1" ht="12.2" customHeight="1" x14ac:dyDescent="0.2">
      <c r="A20" s="1010" t="s">
        <v>153</v>
      </c>
      <c r="B20" s="687" t="s">
        <v>623</v>
      </c>
      <c r="C20" s="114">
        <f>SUM(C13:C19)</f>
        <v>0</v>
      </c>
      <c r="D20" s="662">
        <f t="shared" ref="D20:K20" si="3">SUM(D13:D19)</f>
        <v>0</v>
      </c>
      <c r="E20" s="576">
        <f t="shared" si="3"/>
        <v>0</v>
      </c>
      <c r="F20" s="576">
        <f t="shared" si="3"/>
        <v>0</v>
      </c>
      <c r="G20" s="576">
        <f t="shared" si="3"/>
        <v>0</v>
      </c>
      <c r="H20" s="527">
        <f t="shared" si="2"/>
        <v>0</v>
      </c>
      <c r="I20" s="826">
        <f t="shared" si="3"/>
        <v>0</v>
      </c>
      <c r="J20" s="527">
        <f t="shared" si="3"/>
        <v>0</v>
      </c>
      <c r="K20" s="527">
        <f t="shared" si="3"/>
        <v>0</v>
      </c>
      <c r="L20" s="527">
        <f t="shared" ref="L20" si="4">SUM(L21:L24)</f>
        <v>0</v>
      </c>
    </row>
    <row r="21" spans="1:12" s="26" customFormat="1" ht="12.2" customHeight="1" x14ac:dyDescent="0.2">
      <c r="A21" s="12" t="s">
        <v>154</v>
      </c>
      <c r="B21" s="73" t="s">
        <v>159</v>
      </c>
      <c r="C21" s="114">
        <f>'27._önkorm_önként'!C20</f>
        <v>0</v>
      </c>
      <c r="D21" s="185">
        <f>'27._önkorm_önként'!D20</f>
        <v>0</v>
      </c>
      <c r="E21" s="567">
        <f>'27._önkorm_önként'!E20</f>
        <v>0</v>
      </c>
      <c r="F21" s="567">
        <f>'27._önkorm_önként'!F20</f>
        <v>0</v>
      </c>
      <c r="G21" s="567">
        <f>'27._önkorm_önként'!G20</f>
        <v>0</v>
      </c>
      <c r="H21" s="16">
        <f t="shared" si="2"/>
        <v>0</v>
      </c>
      <c r="I21" s="626">
        <f>'27._önkorm_önként'!I20</f>
        <v>0</v>
      </c>
      <c r="J21" s="16">
        <f>'27._önkorm_önként'!J20</f>
        <v>0</v>
      </c>
      <c r="K21" s="16">
        <f>'27._önkorm_önként'!K20</f>
        <v>0</v>
      </c>
      <c r="L21" s="16">
        <f>'27._önkorm_önként'!L20</f>
        <v>0</v>
      </c>
    </row>
    <row r="22" spans="1:12" s="26" customFormat="1" ht="12.2" customHeight="1" x14ac:dyDescent="0.2">
      <c r="A22" s="12" t="s">
        <v>156</v>
      </c>
      <c r="B22" s="345" t="s">
        <v>190</v>
      </c>
      <c r="C22" s="114">
        <f>'27._önkorm_önként'!C21</f>
        <v>0</v>
      </c>
      <c r="D22" s="185">
        <f>'27._önkorm_önként'!D21</f>
        <v>0</v>
      </c>
      <c r="E22" s="567">
        <f>'27._önkorm_önként'!E21</f>
        <v>0</v>
      </c>
      <c r="F22" s="567">
        <f>'27._önkorm_önként'!F21</f>
        <v>0</v>
      </c>
      <c r="G22" s="567">
        <f>'27._önkorm_önként'!G21</f>
        <v>0</v>
      </c>
      <c r="H22" s="16">
        <f t="shared" si="2"/>
        <v>0</v>
      </c>
      <c r="I22" s="626">
        <f>'27._önkorm_önként'!I21</f>
        <v>0</v>
      </c>
      <c r="J22" s="16">
        <f>'27._önkorm_önként'!J21</f>
        <v>0</v>
      </c>
      <c r="K22" s="16">
        <f>'27._önkorm_önként'!K21</f>
        <v>0</v>
      </c>
      <c r="L22" s="16">
        <f>'27._önkorm_önként'!L21</f>
        <v>0</v>
      </c>
    </row>
    <row r="23" spans="1:12" s="26" customFormat="1" ht="12.2" customHeight="1" x14ac:dyDescent="0.2">
      <c r="A23" s="12" t="s">
        <v>276</v>
      </c>
      <c r="B23" s="345" t="s">
        <v>191</v>
      </c>
      <c r="C23" s="114">
        <f>'27._önkorm_önként'!C22</f>
        <v>0</v>
      </c>
      <c r="D23" s="185">
        <f>'27._önkorm_önként'!D22</f>
        <v>0</v>
      </c>
      <c r="E23" s="567">
        <f>'27._önkorm_önként'!E22</f>
        <v>0</v>
      </c>
      <c r="F23" s="567">
        <f>'27._önkorm_önként'!F22</f>
        <v>0</v>
      </c>
      <c r="G23" s="567">
        <f>'27._önkorm_önként'!G22</f>
        <v>0</v>
      </c>
      <c r="H23" s="16">
        <f t="shared" si="2"/>
        <v>0</v>
      </c>
      <c r="I23" s="626">
        <f>'27._önkorm_önként'!I22</f>
        <v>0</v>
      </c>
      <c r="J23" s="16">
        <f>'27._önkorm_önként'!J22</f>
        <v>0</v>
      </c>
      <c r="K23" s="16">
        <f>'27._önkorm_önként'!K22</f>
        <v>0</v>
      </c>
      <c r="L23" s="16">
        <f>'27._önkorm_önként'!L22</f>
        <v>0</v>
      </c>
    </row>
    <row r="24" spans="1:12" s="26" customFormat="1" ht="12.2" customHeight="1" x14ac:dyDescent="0.2">
      <c r="A24" s="12" t="s">
        <v>595</v>
      </c>
      <c r="B24" s="345" t="s">
        <v>192</v>
      </c>
      <c r="C24" s="114">
        <f>'27._önkorm_önként'!C23+'28._Int össz_önk'!C25</f>
        <v>1090154663</v>
      </c>
      <c r="D24" s="185">
        <f>'27._önkorm_önként'!D23+'28._Int össz_önk'!D25</f>
        <v>1090154663</v>
      </c>
      <c r="E24" s="567">
        <f>'27._önkorm_önként'!E23+'28._Int össz_önk'!E25</f>
        <v>1090154663</v>
      </c>
      <c r="F24" s="567">
        <f>'27._önkorm_önként'!F23+'28._Int össz_önk'!F25</f>
        <v>0</v>
      </c>
      <c r="G24" s="567">
        <f>'27._önkorm_önként'!G23+'28._Int össz_önk'!G25</f>
        <v>0</v>
      </c>
      <c r="H24" s="16">
        <f t="shared" si="2"/>
        <v>0</v>
      </c>
      <c r="I24" s="626">
        <f>'27._önkorm_önként'!I23+'28._Int össz_önk'!I25</f>
        <v>0</v>
      </c>
      <c r="J24" s="16">
        <f>'27._önkorm_önként'!J23+'28._Int össz_önk'!J25</f>
        <v>0</v>
      </c>
      <c r="K24" s="16">
        <f>'27._önkorm_önként'!K23+'28._Int össz_önk'!K25</f>
        <v>0</v>
      </c>
      <c r="L24" s="16">
        <f>'27._önkorm_önként'!L23+'28._Int össz_önk'!L25</f>
        <v>0</v>
      </c>
    </row>
    <row r="25" spans="1:12" s="54" customFormat="1" ht="12.2" customHeight="1" thickBot="1" x14ac:dyDescent="0.25">
      <c r="A25" s="12" t="s">
        <v>596</v>
      </c>
      <c r="B25" s="496" t="s">
        <v>643</v>
      </c>
      <c r="C25" s="504">
        <f>'27._önkorm_önként'!C24+'28._Int össz_önk'!C26</f>
        <v>0</v>
      </c>
      <c r="D25" s="625">
        <f>'27._önkorm_önként'!D24+'28._Int össz_önk'!D26</f>
        <v>0</v>
      </c>
      <c r="E25" s="569">
        <f>'27._önkorm_önként'!E24+'28._Int össz_önk'!E26</f>
        <v>0</v>
      </c>
      <c r="F25" s="569">
        <f>'27._önkorm_önként'!F24+'28._Int össz_önk'!F26</f>
        <v>0</v>
      </c>
      <c r="G25" s="569">
        <f>'27._önkorm_önként'!G24+'28._Int össz_önk'!G26</f>
        <v>0</v>
      </c>
      <c r="H25" s="525">
        <f t="shared" si="2"/>
        <v>0</v>
      </c>
      <c r="I25" s="629">
        <f>'27._önkorm_önként'!I24+'28._Int össz_önk'!I26</f>
        <v>0</v>
      </c>
      <c r="J25" s="525">
        <f>'27._önkorm_önként'!J24+'28._Int össz_önk'!J26</f>
        <v>0</v>
      </c>
      <c r="K25" s="525">
        <f>'27._önkorm_önként'!K24+'28._Int össz_önk'!K26</f>
        <v>0</v>
      </c>
      <c r="L25" s="525">
        <f>'27._önkorm_önként'!L24+'28._Int össz_önk'!L26</f>
        <v>0</v>
      </c>
    </row>
    <row r="26" spans="1:12" s="54" customFormat="1" ht="12.2" customHeight="1" thickBot="1" x14ac:dyDescent="0.25">
      <c r="A26" s="14" t="s">
        <v>13</v>
      </c>
      <c r="B26" s="72" t="s">
        <v>597</v>
      </c>
      <c r="C26" s="113">
        <f>+C27+C28+C29+C30</f>
        <v>0</v>
      </c>
      <c r="D26" s="186">
        <f t="shared" ref="D26:K26" si="5">+D27+D28+D29+D30</f>
        <v>0</v>
      </c>
      <c r="E26" s="566">
        <f t="shared" si="5"/>
        <v>0</v>
      </c>
      <c r="F26" s="566">
        <f t="shared" si="5"/>
        <v>0</v>
      </c>
      <c r="G26" s="566">
        <f t="shared" si="5"/>
        <v>0</v>
      </c>
      <c r="H26" s="28">
        <f t="shared" si="2"/>
        <v>0</v>
      </c>
      <c r="I26" s="628">
        <f t="shared" si="5"/>
        <v>0</v>
      </c>
      <c r="J26" s="28">
        <f t="shared" si="5"/>
        <v>0</v>
      </c>
      <c r="K26" s="28">
        <f t="shared" si="5"/>
        <v>0</v>
      </c>
      <c r="L26" s="28">
        <f t="shared" ref="L26" si="6">+L27+L28+L29+L30</f>
        <v>0</v>
      </c>
    </row>
    <row r="27" spans="1:12" s="54" customFormat="1" ht="12.2" customHeight="1" x14ac:dyDescent="0.2">
      <c r="A27" s="12" t="s">
        <v>94</v>
      </c>
      <c r="B27" s="716" t="s">
        <v>193</v>
      </c>
      <c r="C27" s="114">
        <f>'27._önkorm_önként'!C26</f>
        <v>0</v>
      </c>
      <c r="D27" s="185">
        <f>'27._önkorm_önként'!D26</f>
        <v>0</v>
      </c>
      <c r="E27" s="567">
        <f>'27._önkorm_önként'!E26</f>
        <v>0</v>
      </c>
      <c r="F27" s="567">
        <f>'27._önkorm_önként'!F26</f>
        <v>0</v>
      </c>
      <c r="G27" s="567">
        <f>'27._önkorm_önként'!G26</f>
        <v>0</v>
      </c>
      <c r="H27" s="16">
        <f t="shared" si="2"/>
        <v>0</v>
      </c>
      <c r="I27" s="626">
        <f>'27._önkorm_önként'!I26</f>
        <v>0</v>
      </c>
      <c r="J27" s="16">
        <f>'27._önkorm_önként'!J26</f>
        <v>0</v>
      </c>
      <c r="K27" s="16">
        <f>'27._önkorm_önként'!K26</f>
        <v>0</v>
      </c>
      <c r="L27" s="16">
        <f>'27._önkorm_önként'!L26</f>
        <v>0</v>
      </c>
    </row>
    <row r="28" spans="1:12" s="54" customFormat="1" ht="12.2" customHeight="1" x14ac:dyDescent="0.2">
      <c r="A28" s="1003" t="s">
        <v>95</v>
      </c>
      <c r="B28" s="717" t="s">
        <v>194</v>
      </c>
      <c r="C28" s="401">
        <f>'27._önkorm_önként'!C27</f>
        <v>0</v>
      </c>
      <c r="D28" s="325">
        <f>'27._önkorm_önként'!D27</f>
        <v>0</v>
      </c>
      <c r="E28" s="568">
        <f>'27._önkorm_önként'!E27</f>
        <v>0</v>
      </c>
      <c r="F28" s="568">
        <f>'27._önkorm_önként'!F27</f>
        <v>0</v>
      </c>
      <c r="G28" s="568">
        <f>'27._önkorm_önként'!G27</f>
        <v>0</v>
      </c>
      <c r="H28" s="327">
        <f t="shared" si="2"/>
        <v>0</v>
      </c>
      <c r="I28" s="627">
        <f>'27._önkorm_önként'!I27</f>
        <v>0</v>
      </c>
      <c r="J28" s="327">
        <f>'27._önkorm_önként'!J27</f>
        <v>0</v>
      </c>
      <c r="K28" s="327">
        <f>'27._önkorm_önként'!K27</f>
        <v>0</v>
      </c>
      <c r="L28" s="327">
        <f>'27._önkorm_önként'!L27</f>
        <v>0</v>
      </c>
    </row>
    <row r="29" spans="1:12" s="54" customFormat="1" ht="12.2" customHeight="1" x14ac:dyDescent="0.2">
      <c r="A29" s="1003" t="s">
        <v>96</v>
      </c>
      <c r="B29" s="717" t="s">
        <v>196</v>
      </c>
      <c r="C29" s="401">
        <f>'27._önkorm_önként'!C28</f>
        <v>0</v>
      </c>
      <c r="D29" s="325">
        <f>'27._önkorm_önként'!D28</f>
        <v>0</v>
      </c>
      <c r="E29" s="568">
        <f>'27._önkorm_önként'!E28</f>
        <v>0</v>
      </c>
      <c r="F29" s="568">
        <f>'27._önkorm_önként'!F28</f>
        <v>0</v>
      </c>
      <c r="G29" s="568">
        <f>'27._önkorm_önként'!G28</f>
        <v>0</v>
      </c>
      <c r="H29" s="327">
        <f t="shared" si="2"/>
        <v>0</v>
      </c>
      <c r="I29" s="627">
        <f>'27._önkorm_önként'!I28</f>
        <v>0</v>
      </c>
      <c r="J29" s="327">
        <f>'27._önkorm_önként'!J28</f>
        <v>0</v>
      </c>
      <c r="K29" s="327">
        <f>'27._önkorm_önként'!K28</f>
        <v>0</v>
      </c>
      <c r="L29" s="327">
        <f>'27._önkorm_önként'!L28</f>
        <v>0</v>
      </c>
    </row>
    <row r="30" spans="1:12" s="54" customFormat="1" ht="12.2" customHeight="1" x14ac:dyDescent="0.2">
      <c r="A30" s="1003" t="s">
        <v>97</v>
      </c>
      <c r="B30" s="717" t="s">
        <v>197</v>
      </c>
      <c r="C30" s="401">
        <f>'27._önkorm_önként'!C29+'28._Int össz_önk'!C30</f>
        <v>0</v>
      </c>
      <c r="D30" s="325">
        <f>'27._önkorm_önként'!D29+'28._Int össz_önk'!D30</f>
        <v>0</v>
      </c>
      <c r="E30" s="568">
        <f>'27._önkorm_önként'!E29+'28._Int össz_önk'!E30</f>
        <v>0</v>
      </c>
      <c r="F30" s="568">
        <f>'27._önkorm_önként'!F29+'28._Int össz_önk'!F30</f>
        <v>0</v>
      </c>
      <c r="G30" s="568">
        <f>'27._önkorm_önként'!G29+'28._Int össz_önk'!G30</f>
        <v>0</v>
      </c>
      <c r="H30" s="327">
        <f t="shared" si="2"/>
        <v>0</v>
      </c>
      <c r="I30" s="627">
        <f>'27._önkorm_önként'!I29+'28._Int össz_önk'!I30</f>
        <v>0</v>
      </c>
      <c r="J30" s="327">
        <f>'27._önkorm_önként'!J29+'28._Int össz_önk'!J30</f>
        <v>0</v>
      </c>
      <c r="K30" s="327">
        <f>'27._önkorm_önként'!K29+'28._Int össz_önk'!K30</f>
        <v>0</v>
      </c>
      <c r="L30" s="327">
        <f>'27._önkorm_önként'!L29+'28._Int össz_önk'!L30</f>
        <v>0</v>
      </c>
    </row>
    <row r="31" spans="1:12" s="54" customFormat="1" ht="12.2" customHeight="1" thickBot="1" x14ac:dyDescent="0.25">
      <c r="A31" s="1005" t="s">
        <v>321</v>
      </c>
      <c r="B31" s="496" t="s">
        <v>273</v>
      </c>
      <c r="C31" s="504">
        <f>'27._önkorm_önként'!C30+'28._Int össz_önk'!C31</f>
        <v>0</v>
      </c>
      <c r="D31" s="625">
        <f>'27._önkorm_önként'!D30+'28._Int össz_önk'!D31</f>
        <v>0</v>
      </c>
      <c r="E31" s="569">
        <f>'27._önkorm_önként'!E30+'28._Int össz_önk'!E31</f>
        <v>0</v>
      </c>
      <c r="F31" s="569">
        <f>'27._önkorm_önként'!F30+'28._Int össz_önk'!F31</f>
        <v>0</v>
      </c>
      <c r="G31" s="569">
        <f>'27._önkorm_önként'!G30+'28._Int össz_önk'!G31</f>
        <v>0</v>
      </c>
      <c r="H31" s="525">
        <f t="shared" si="2"/>
        <v>0</v>
      </c>
      <c r="I31" s="629">
        <f>'27._önkorm_önként'!I30+'28._Int össz_önk'!I31</f>
        <v>0</v>
      </c>
      <c r="J31" s="525">
        <f>'27._önkorm_önként'!J30+'28._Int össz_önk'!J31</f>
        <v>0</v>
      </c>
      <c r="K31" s="525">
        <f>'27._önkorm_önként'!K30+'28._Int össz_önk'!K31</f>
        <v>0</v>
      </c>
      <c r="L31" s="525">
        <f>'27._önkorm_önként'!L30+'28._Int össz_önk'!L31</f>
        <v>0</v>
      </c>
    </row>
    <row r="32" spans="1:12" s="54" customFormat="1" ht="12.2" customHeight="1" thickBot="1" x14ac:dyDescent="0.25">
      <c r="A32" s="14" t="s">
        <v>625</v>
      </c>
      <c r="B32" s="72" t="s">
        <v>598</v>
      </c>
      <c r="C32" s="1023">
        <f>C33+C35+C37+C38+C41</f>
        <v>2285880078</v>
      </c>
      <c r="D32" s="187">
        <f t="shared" ref="D32:K32" si="7">D33+D35+D37+D38+D41</f>
        <v>2078182570</v>
      </c>
      <c r="E32" s="532">
        <f t="shared" si="7"/>
        <v>2471094426</v>
      </c>
      <c r="F32" s="532">
        <f t="shared" si="7"/>
        <v>0</v>
      </c>
      <c r="G32" s="532">
        <f t="shared" si="7"/>
        <v>0</v>
      </c>
      <c r="H32" s="74">
        <f>+E32-D32</f>
        <v>392911856</v>
      </c>
      <c r="I32" s="638">
        <f t="shared" si="7"/>
        <v>0</v>
      </c>
      <c r="J32" s="74">
        <f t="shared" si="7"/>
        <v>0</v>
      </c>
      <c r="K32" s="74">
        <f t="shared" si="7"/>
        <v>0</v>
      </c>
      <c r="L32" s="74">
        <f t="shared" ref="L32" si="8">L33+L35+L37+L38+L41</f>
        <v>0</v>
      </c>
    </row>
    <row r="33" spans="1:12" s="54" customFormat="1" ht="12.2" customHeight="1" x14ac:dyDescent="0.2">
      <c r="A33" s="12" t="s">
        <v>98</v>
      </c>
      <c r="B33" s="716" t="s">
        <v>278</v>
      </c>
      <c r="C33" s="115">
        <f>C34</f>
        <v>650000000</v>
      </c>
      <c r="D33" s="200">
        <f t="shared" ref="D33:K33" si="9">D34</f>
        <v>650000000</v>
      </c>
      <c r="E33" s="570">
        <f t="shared" si="9"/>
        <v>650000000</v>
      </c>
      <c r="F33" s="570">
        <f t="shared" si="9"/>
        <v>0</v>
      </c>
      <c r="G33" s="570">
        <f t="shared" si="9"/>
        <v>0</v>
      </c>
      <c r="H33" s="75">
        <f t="shared" si="2"/>
        <v>0</v>
      </c>
      <c r="I33" s="637">
        <f t="shared" si="9"/>
        <v>0</v>
      </c>
      <c r="J33" s="75">
        <f t="shared" si="9"/>
        <v>0</v>
      </c>
      <c r="K33" s="75">
        <f t="shared" si="9"/>
        <v>0</v>
      </c>
      <c r="L33" s="75">
        <f t="shared" ref="L33" si="10">L34</f>
        <v>0</v>
      </c>
    </row>
    <row r="34" spans="1:12" s="54" customFormat="1" ht="12.2" customHeight="1" x14ac:dyDescent="0.2">
      <c r="A34" s="1003" t="s">
        <v>599</v>
      </c>
      <c r="B34" s="717" t="s">
        <v>230</v>
      </c>
      <c r="C34" s="401">
        <f>'27._önkorm_önként'!C33</f>
        <v>650000000</v>
      </c>
      <c r="D34" s="325">
        <f>'27._önkorm_önként'!D33</f>
        <v>650000000</v>
      </c>
      <c r="E34" s="568">
        <f>'27._önkorm_önként'!E33</f>
        <v>650000000</v>
      </c>
      <c r="F34" s="568">
        <f>'27._önkorm_önként'!F33</f>
        <v>0</v>
      </c>
      <c r="G34" s="568">
        <f>'27._önkorm_önként'!G33</f>
        <v>0</v>
      </c>
      <c r="H34" s="327">
        <f t="shared" si="2"/>
        <v>0</v>
      </c>
      <c r="I34" s="627">
        <f>'27._önkorm_önként'!I33</f>
        <v>0</v>
      </c>
      <c r="J34" s="327">
        <f>'27._önkorm_önként'!J33</f>
        <v>0</v>
      </c>
      <c r="K34" s="327">
        <f>'27._önkorm_önként'!K33</f>
        <v>0</v>
      </c>
      <c r="L34" s="327">
        <f>'27._önkorm_önként'!L33</f>
        <v>0</v>
      </c>
    </row>
    <row r="35" spans="1:12" s="54" customFormat="1" ht="12.2" customHeight="1" x14ac:dyDescent="0.2">
      <c r="A35" s="1003" t="s">
        <v>99</v>
      </c>
      <c r="B35" s="716" t="s">
        <v>279</v>
      </c>
      <c r="C35" s="401">
        <f>C36</f>
        <v>1608880078</v>
      </c>
      <c r="D35" s="325">
        <f t="shared" ref="D35:K35" si="11">D36</f>
        <v>1401182570</v>
      </c>
      <c r="E35" s="568">
        <f t="shared" si="11"/>
        <v>1794094426</v>
      </c>
      <c r="F35" s="568">
        <f t="shared" si="11"/>
        <v>0</v>
      </c>
      <c r="G35" s="568">
        <f t="shared" si="11"/>
        <v>0</v>
      </c>
      <c r="H35" s="327">
        <f t="shared" si="2"/>
        <v>392911856</v>
      </c>
      <c r="I35" s="627">
        <f t="shared" si="11"/>
        <v>0</v>
      </c>
      <c r="J35" s="327">
        <f t="shared" si="11"/>
        <v>0</v>
      </c>
      <c r="K35" s="327">
        <f t="shared" si="11"/>
        <v>0</v>
      </c>
      <c r="L35" s="327">
        <f t="shared" ref="L35" si="12">L36</f>
        <v>0</v>
      </c>
    </row>
    <row r="36" spans="1:12" s="54" customFormat="1" ht="12.2" customHeight="1" x14ac:dyDescent="0.2">
      <c r="A36" s="1003" t="s">
        <v>600</v>
      </c>
      <c r="B36" s="717" t="s">
        <v>280</v>
      </c>
      <c r="C36" s="401">
        <f>'27._önkorm_önként'!C35</f>
        <v>1608880078</v>
      </c>
      <c r="D36" s="325">
        <f>'27._önkorm_önként'!D35</f>
        <v>1401182570</v>
      </c>
      <c r="E36" s="568">
        <f>'27._önkorm_önként'!E35</f>
        <v>1794094426</v>
      </c>
      <c r="F36" s="568">
        <f>'27._önkorm_önként'!F35</f>
        <v>0</v>
      </c>
      <c r="G36" s="568">
        <f>'27._önkorm_önként'!G35</f>
        <v>0</v>
      </c>
      <c r="H36" s="327">
        <f t="shared" si="2"/>
        <v>392911856</v>
      </c>
      <c r="I36" s="627">
        <f>'27._önkorm_önként'!I35</f>
        <v>0</v>
      </c>
      <c r="J36" s="327">
        <f>'27._önkorm_önként'!J35</f>
        <v>0</v>
      </c>
      <c r="K36" s="327">
        <f>'27._önkorm_önként'!K35</f>
        <v>0</v>
      </c>
      <c r="L36" s="327">
        <f>'27._önkorm_önként'!L35</f>
        <v>0</v>
      </c>
    </row>
    <row r="37" spans="1:12" s="54" customFormat="1" ht="12.2" customHeight="1" x14ac:dyDescent="0.2">
      <c r="A37" s="1003" t="s">
        <v>106</v>
      </c>
      <c r="B37" s="717" t="s">
        <v>198</v>
      </c>
      <c r="C37" s="401">
        <f>'27._önkorm_önként'!C36</f>
        <v>0</v>
      </c>
      <c r="D37" s="325">
        <f>'27._önkorm_önként'!D36</f>
        <v>0</v>
      </c>
      <c r="E37" s="568">
        <f>'27._önkorm_önként'!E36</f>
        <v>0</v>
      </c>
      <c r="F37" s="568">
        <f>'27._önkorm_önként'!F36</f>
        <v>0</v>
      </c>
      <c r="G37" s="568">
        <f>'27._önkorm_önként'!G36</f>
        <v>0</v>
      </c>
      <c r="H37" s="327">
        <f t="shared" si="2"/>
        <v>0</v>
      </c>
      <c r="I37" s="627">
        <f>'27._önkorm_önként'!I36</f>
        <v>0</v>
      </c>
      <c r="J37" s="327">
        <f>'27._önkorm_önként'!J36</f>
        <v>0</v>
      </c>
      <c r="K37" s="327">
        <f>'27._önkorm_önként'!K36</f>
        <v>0</v>
      </c>
      <c r="L37" s="327">
        <f>'27._önkorm_önként'!L36</f>
        <v>0</v>
      </c>
    </row>
    <row r="38" spans="1:12" s="54" customFormat="1" ht="12.2" customHeight="1" x14ac:dyDescent="0.2">
      <c r="A38" s="1003" t="s">
        <v>195</v>
      </c>
      <c r="B38" s="717" t="s">
        <v>199</v>
      </c>
      <c r="C38" s="401">
        <f>SUM(C39:C40)</f>
        <v>12000000</v>
      </c>
      <c r="D38" s="325">
        <f t="shared" ref="D38:K38" si="13">SUM(D39:D40)</f>
        <v>12000000</v>
      </c>
      <c r="E38" s="568">
        <f t="shared" si="13"/>
        <v>12000000</v>
      </c>
      <c r="F38" s="568">
        <f t="shared" si="13"/>
        <v>0</v>
      </c>
      <c r="G38" s="568">
        <f t="shared" si="13"/>
        <v>0</v>
      </c>
      <c r="H38" s="327">
        <f t="shared" si="2"/>
        <v>0</v>
      </c>
      <c r="I38" s="627">
        <f t="shared" si="13"/>
        <v>0</v>
      </c>
      <c r="J38" s="327">
        <f t="shared" si="13"/>
        <v>0</v>
      </c>
      <c r="K38" s="327">
        <f t="shared" si="13"/>
        <v>0</v>
      </c>
      <c r="L38" s="327">
        <f t="shared" ref="L38" si="14">SUM(L39:L40)</f>
        <v>0</v>
      </c>
    </row>
    <row r="39" spans="1:12" s="54" customFormat="1" ht="12.2" customHeight="1" x14ac:dyDescent="0.2">
      <c r="A39" s="1005" t="s">
        <v>322</v>
      </c>
      <c r="B39" s="717" t="s">
        <v>231</v>
      </c>
      <c r="C39" s="504">
        <f>'27._önkorm_önként'!C38</f>
        <v>12000000</v>
      </c>
      <c r="D39" s="625">
        <f>'27._önkorm_önként'!D38</f>
        <v>12000000</v>
      </c>
      <c r="E39" s="569">
        <f>'27._önkorm_önként'!E38</f>
        <v>12000000</v>
      </c>
      <c r="F39" s="569">
        <f>'27._önkorm_önként'!F38</f>
        <v>0</v>
      </c>
      <c r="G39" s="569">
        <f>'27._önkorm_önként'!G38</f>
        <v>0</v>
      </c>
      <c r="H39" s="525">
        <f t="shared" si="2"/>
        <v>0</v>
      </c>
      <c r="I39" s="629">
        <f>'27._önkorm_önként'!I38</f>
        <v>0</v>
      </c>
      <c r="J39" s="525">
        <f>'27._önkorm_önként'!J38</f>
        <v>0</v>
      </c>
      <c r="K39" s="525">
        <f>'27._önkorm_önként'!K38</f>
        <v>0</v>
      </c>
      <c r="L39" s="525">
        <f>'27._önkorm_önként'!L38</f>
        <v>0</v>
      </c>
    </row>
    <row r="40" spans="1:12" s="54" customFormat="1" ht="12.2" customHeight="1" x14ac:dyDescent="0.2">
      <c r="A40" s="1005" t="s">
        <v>601</v>
      </c>
      <c r="B40" s="717" t="s">
        <v>792</v>
      </c>
      <c r="C40" s="504">
        <f>'27._önkorm_önként'!C39</f>
        <v>0</v>
      </c>
      <c r="D40" s="625">
        <f>'27._önkorm_önként'!D39</f>
        <v>0</v>
      </c>
      <c r="E40" s="569">
        <f>'27._önkorm_önként'!E39</f>
        <v>0</v>
      </c>
      <c r="F40" s="569">
        <f>'27._önkorm_önként'!F39</f>
        <v>0</v>
      </c>
      <c r="G40" s="569">
        <f>'27._önkorm_önként'!G39</f>
        <v>0</v>
      </c>
      <c r="H40" s="525">
        <f t="shared" si="2"/>
        <v>0</v>
      </c>
      <c r="I40" s="629">
        <f>'27._önkorm_önként'!I39</f>
        <v>0</v>
      </c>
      <c r="J40" s="525">
        <f>'27._önkorm_önként'!J39</f>
        <v>0</v>
      </c>
      <c r="K40" s="525">
        <f>'27._önkorm_önként'!K39</f>
        <v>0</v>
      </c>
      <c r="L40" s="525">
        <f>'27._önkorm_önként'!L39</f>
        <v>0</v>
      </c>
    </row>
    <row r="41" spans="1:12" s="54" customFormat="1" ht="12.2" customHeight="1" thickBot="1" x14ac:dyDescent="0.25">
      <c r="A41" s="1005" t="s">
        <v>602</v>
      </c>
      <c r="B41" s="496" t="s">
        <v>118</v>
      </c>
      <c r="C41" s="504">
        <f>'27._önkorm_önként'!C40</f>
        <v>15000000</v>
      </c>
      <c r="D41" s="625">
        <f>'27._önkorm_önként'!D40</f>
        <v>15000000</v>
      </c>
      <c r="E41" s="569">
        <f>'27._önkorm_önként'!E40</f>
        <v>15000000</v>
      </c>
      <c r="F41" s="569">
        <f>'27._önkorm_önként'!F40</f>
        <v>0</v>
      </c>
      <c r="G41" s="569">
        <f>'27._önkorm_önként'!G40</f>
        <v>0</v>
      </c>
      <c r="H41" s="525">
        <f t="shared" si="2"/>
        <v>0</v>
      </c>
      <c r="I41" s="629">
        <f>'27._önkorm_önként'!I40</f>
        <v>0</v>
      </c>
      <c r="J41" s="525">
        <f>'27._önkorm_önként'!J40</f>
        <v>0</v>
      </c>
      <c r="K41" s="525">
        <f>'27._önkorm_önként'!K40</f>
        <v>0</v>
      </c>
      <c r="L41" s="525">
        <f>'27._önkorm_önként'!L40</f>
        <v>0</v>
      </c>
    </row>
    <row r="42" spans="1:12" s="54" customFormat="1" ht="12.2" customHeight="1" thickBot="1" x14ac:dyDescent="0.25">
      <c r="A42" s="14" t="s">
        <v>15</v>
      </c>
      <c r="B42" s="72" t="s">
        <v>626</v>
      </c>
      <c r="C42" s="113">
        <f>SUM(C43:C53)</f>
        <v>100228177</v>
      </c>
      <c r="D42" s="186">
        <f t="shared" ref="D42:K42" si="15">SUM(D43:D53)</f>
        <v>100228177</v>
      </c>
      <c r="E42" s="566">
        <f t="shared" si="15"/>
        <v>100228177</v>
      </c>
      <c r="F42" s="566">
        <f t="shared" si="15"/>
        <v>0</v>
      </c>
      <c r="G42" s="566">
        <f t="shared" si="15"/>
        <v>0</v>
      </c>
      <c r="H42" s="28">
        <f t="shared" si="2"/>
        <v>0</v>
      </c>
      <c r="I42" s="628">
        <f t="shared" si="15"/>
        <v>0</v>
      </c>
      <c r="J42" s="28">
        <f t="shared" si="15"/>
        <v>0</v>
      </c>
      <c r="K42" s="28">
        <f t="shared" si="15"/>
        <v>0</v>
      </c>
      <c r="L42" s="28">
        <f t="shared" ref="L42" si="16">SUM(L43:L53)</f>
        <v>0</v>
      </c>
    </row>
    <row r="43" spans="1:12" s="54" customFormat="1" ht="12.2" customHeight="1" x14ac:dyDescent="0.2">
      <c r="A43" s="12" t="s">
        <v>100</v>
      </c>
      <c r="B43" s="716" t="s">
        <v>143</v>
      </c>
      <c r="C43" s="114">
        <f>'27._önkorm_önként'!C42+'28._Int össz_önk'!C11</f>
        <v>0</v>
      </c>
      <c r="D43" s="185">
        <f>'27._önkorm_önként'!D42+'28._Int össz_önk'!D11</f>
        <v>0</v>
      </c>
      <c r="E43" s="567">
        <f>'27._önkorm_önként'!E42+'28._Int össz_önk'!E11</f>
        <v>0</v>
      </c>
      <c r="F43" s="567">
        <f>'27._önkorm_önként'!F42+'28._Int össz_önk'!F11</f>
        <v>0</v>
      </c>
      <c r="G43" s="567">
        <f>'27._önkorm_önként'!G42+'28._Int össz_önk'!G11</f>
        <v>0</v>
      </c>
      <c r="H43" s="16">
        <f t="shared" si="2"/>
        <v>0</v>
      </c>
      <c r="I43" s="626">
        <f>'27._önkorm_önként'!I42+'28._Int össz_önk'!I11</f>
        <v>0</v>
      </c>
      <c r="J43" s="16">
        <f>'27._önkorm_önként'!J42+'28._Int össz_önk'!J11</f>
        <v>0</v>
      </c>
      <c r="K43" s="16">
        <f>'27._önkorm_önként'!K42+'28._Int össz_önk'!K11</f>
        <v>0</v>
      </c>
      <c r="L43" s="16">
        <f>'27._önkorm_önként'!L42+'28._Int össz_önk'!L11</f>
        <v>0</v>
      </c>
    </row>
    <row r="44" spans="1:12" s="54" customFormat="1" ht="12.2" customHeight="1" x14ac:dyDescent="0.2">
      <c r="A44" s="1003" t="s">
        <v>101</v>
      </c>
      <c r="B44" s="717" t="s">
        <v>144</v>
      </c>
      <c r="C44" s="401">
        <f>'27._önkorm_önként'!C43+'28._Int össz_önk'!C12</f>
        <v>33541063</v>
      </c>
      <c r="D44" s="325">
        <f>'27._önkorm_önként'!D43+'28._Int össz_önk'!D12</f>
        <v>33541063</v>
      </c>
      <c r="E44" s="568">
        <f>'27._önkorm_önként'!E43+'28._Int össz_önk'!E12</f>
        <v>33541063</v>
      </c>
      <c r="F44" s="568">
        <f>'27._önkorm_önként'!F43+'28._Int össz_önk'!F12</f>
        <v>0</v>
      </c>
      <c r="G44" s="568">
        <f>'27._önkorm_önként'!G43+'28._Int össz_önk'!G12</f>
        <v>0</v>
      </c>
      <c r="H44" s="327">
        <f t="shared" si="2"/>
        <v>0</v>
      </c>
      <c r="I44" s="627">
        <f>'27._önkorm_önként'!I43+'28._Int össz_önk'!I12</f>
        <v>0</v>
      </c>
      <c r="J44" s="327">
        <f>'27._önkorm_önként'!J43+'28._Int össz_önk'!J12</f>
        <v>0</v>
      </c>
      <c r="K44" s="327">
        <f>'27._önkorm_önként'!K43+'28._Int össz_önk'!K12</f>
        <v>0</v>
      </c>
      <c r="L44" s="327">
        <f>'27._önkorm_önként'!L43+'28._Int össz_önk'!L12</f>
        <v>0</v>
      </c>
    </row>
    <row r="45" spans="1:12" s="54" customFormat="1" ht="12.2" customHeight="1" x14ac:dyDescent="0.2">
      <c r="A45" s="1003" t="s">
        <v>164</v>
      </c>
      <c r="B45" s="717" t="s">
        <v>274</v>
      </c>
      <c r="C45" s="401">
        <f>'27._önkorm_önként'!C44+'28._Int össz_önk'!C13</f>
        <v>58164</v>
      </c>
      <c r="D45" s="325">
        <f>'27._önkorm_önként'!D44+'28._Int össz_önk'!D13</f>
        <v>58164</v>
      </c>
      <c r="E45" s="568">
        <f>'27._önkorm_önként'!E44+'28._Int össz_önk'!E13</f>
        <v>58164</v>
      </c>
      <c r="F45" s="568">
        <f>'27._önkorm_önként'!F44+'28._Int össz_önk'!F13</f>
        <v>0</v>
      </c>
      <c r="G45" s="568">
        <f>'27._önkorm_önként'!G44+'28._Int össz_önk'!G13</f>
        <v>0</v>
      </c>
      <c r="H45" s="327">
        <f t="shared" si="2"/>
        <v>0</v>
      </c>
      <c r="I45" s="627">
        <f>'27._önkorm_önként'!I44+'28._Int össz_önk'!I13</f>
        <v>0</v>
      </c>
      <c r="J45" s="327">
        <f>'27._önkorm_önként'!J44+'28._Int össz_önk'!J13</f>
        <v>0</v>
      </c>
      <c r="K45" s="327">
        <f>'27._önkorm_önként'!K44+'28._Int össz_önk'!K13</f>
        <v>0</v>
      </c>
      <c r="L45" s="327">
        <f>'27._önkorm_önként'!L44+'28._Int össz_önk'!L13</f>
        <v>0</v>
      </c>
    </row>
    <row r="46" spans="1:12" s="54" customFormat="1" ht="12.2" customHeight="1" x14ac:dyDescent="0.2">
      <c r="A46" s="1003" t="s">
        <v>200</v>
      </c>
      <c r="B46" s="717" t="s">
        <v>146</v>
      </c>
      <c r="C46" s="401">
        <f>'27._önkorm_önként'!C45+'28._Int össz_önk'!C14</f>
        <v>0</v>
      </c>
      <c r="D46" s="325">
        <f>'27._önkorm_önként'!D45+'28._Int össz_önk'!D14</f>
        <v>0</v>
      </c>
      <c r="E46" s="568">
        <f>'27._önkorm_önként'!E45+'28._Int össz_önk'!E14</f>
        <v>0</v>
      </c>
      <c r="F46" s="568">
        <f>'27._önkorm_önként'!F45+'28._Int össz_önk'!F14</f>
        <v>0</v>
      </c>
      <c r="G46" s="568">
        <f>'27._önkorm_önként'!G45+'28._Int össz_önk'!G14</f>
        <v>0</v>
      </c>
      <c r="H46" s="327">
        <f t="shared" si="2"/>
        <v>0</v>
      </c>
      <c r="I46" s="627">
        <f>'27._önkorm_önként'!I45+'28._Int össz_önk'!I14</f>
        <v>0</v>
      </c>
      <c r="J46" s="327">
        <f>'27._önkorm_önként'!J45+'28._Int össz_önk'!J14</f>
        <v>0</v>
      </c>
      <c r="K46" s="327">
        <f>'27._önkorm_önként'!K45+'28._Int össz_önk'!K14</f>
        <v>0</v>
      </c>
      <c r="L46" s="327">
        <f>'27._önkorm_önként'!L45+'28._Int össz_önk'!L14</f>
        <v>0</v>
      </c>
    </row>
    <row r="47" spans="1:12" s="54" customFormat="1" ht="12.2" customHeight="1" x14ac:dyDescent="0.2">
      <c r="A47" s="1003" t="s">
        <v>282</v>
      </c>
      <c r="B47" s="717" t="s">
        <v>148</v>
      </c>
      <c r="C47" s="401">
        <f>'27._önkorm_önként'!C46+'28._Int össz_önk'!C15</f>
        <v>55034080</v>
      </c>
      <c r="D47" s="325">
        <f>'27._önkorm_önként'!D46+'28._Int össz_önk'!D15</f>
        <v>55034080</v>
      </c>
      <c r="E47" s="568">
        <f>'27._önkorm_önként'!E46+'28._Int össz_önk'!E15</f>
        <v>55034080</v>
      </c>
      <c r="F47" s="568">
        <f>'27._önkorm_önként'!F46+'28._Int össz_önk'!F15</f>
        <v>0</v>
      </c>
      <c r="G47" s="568">
        <f>'27._önkorm_önként'!G46+'28._Int össz_önk'!G15</f>
        <v>0</v>
      </c>
      <c r="H47" s="327">
        <f t="shared" si="2"/>
        <v>0</v>
      </c>
      <c r="I47" s="627">
        <f>'27._önkorm_önként'!I46+'28._Int össz_önk'!I15</f>
        <v>0</v>
      </c>
      <c r="J47" s="327">
        <f>'27._önkorm_önként'!J46+'28._Int össz_önk'!J15</f>
        <v>0</v>
      </c>
      <c r="K47" s="327">
        <f>'27._önkorm_önként'!K46+'28._Int össz_önk'!K15</f>
        <v>0</v>
      </c>
      <c r="L47" s="327">
        <f>'27._önkorm_önként'!L46+'28._Int össz_önk'!L15</f>
        <v>0</v>
      </c>
    </row>
    <row r="48" spans="1:12" s="54" customFormat="1" ht="12.2" customHeight="1" x14ac:dyDescent="0.2">
      <c r="A48" s="1003" t="s">
        <v>603</v>
      </c>
      <c r="B48" s="717" t="s">
        <v>203</v>
      </c>
      <c r="C48" s="401">
        <f>'27._önkorm_önként'!C47+'28._Int össz_önk'!C16</f>
        <v>1228400</v>
      </c>
      <c r="D48" s="325">
        <f>'27._önkorm_önként'!D47+'28._Int össz_önk'!D16</f>
        <v>1228400</v>
      </c>
      <c r="E48" s="568">
        <f>'27._önkorm_önként'!E47+'28._Int össz_önk'!E16</f>
        <v>1228400</v>
      </c>
      <c r="F48" s="568">
        <f>'27._önkorm_önként'!F47+'28._Int össz_önk'!F16</f>
        <v>0</v>
      </c>
      <c r="G48" s="568">
        <f>'27._önkorm_önként'!G47+'28._Int össz_önk'!G16</f>
        <v>0</v>
      </c>
      <c r="H48" s="327">
        <f t="shared" si="2"/>
        <v>0</v>
      </c>
      <c r="I48" s="627">
        <f>'27._önkorm_önként'!I47+'28._Int össz_önk'!I16</f>
        <v>0</v>
      </c>
      <c r="J48" s="327">
        <f>'27._önkorm_önként'!J47+'28._Int össz_önk'!J16</f>
        <v>0</v>
      </c>
      <c r="K48" s="327">
        <f>'27._önkorm_önként'!K47+'28._Int össz_önk'!K16</f>
        <v>0</v>
      </c>
      <c r="L48" s="327">
        <f>'27._önkorm_önként'!L47+'28._Int össz_önk'!L16</f>
        <v>0</v>
      </c>
    </row>
    <row r="49" spans="1:12" s="54" customFormat="1" ht="12.2" customHeight="1" x14ac:dyDescent="0.2">
      <c r="A49" s="1003" t="s">
        <v>604</v>
      </c>
      <c r="B49" s="717" t="s">
        <v>204</v>
      </c>
      <c r="C49" s="401">
        <f>'27._önkorm_önként'!C48+'28._Int össz_önk'!C17</f>
        <v>0</v>
      </c>
      <c r="D49" s="325">
        <f>'27._önkorm_önként'!D48+'28._Int össz_önk'!D17</f>
        <v>0</v>
      </c>
      <c r="E49" s="568">
        <f>'27._önkorm_önként'!E48+'28._Int össz_önk'!E17</f>
        <v>0</v>
      </c>
      <c r="F49" s="568">
        <f>'27._önkorm_önként'!F48+'28._Int össz_önk'!F17</f>
        <v>0</v>
      </c>
      <c r="G49" s="568">
        <f>'27._önkorm_önként'!G48+'28._Int össz_önk'!G17</f>
        <v>0</v>
      </c>
      <c r="H49" s="327">
        <f t="shared" si="2"/>
        <v>0</v>
      </c>
      <c r="I49" s="627">
        <f>'27._önkorm_önként'!I48+'28._Int össz_önk'!I17</f>
        <v>0</v>
      </c>
      <c r="J49" s="327">
        <f>'27._önkorm_önként'!J48+'28._Int össz_önk'!J17</f>
        <v>0</v>
      </c>
      <c r="K49" s="327">
        <f>'27._önkorm_önként'!K48+'28._Int össz_önk'!K17</f>
        <v>0</v>
      </c>
      <c r="L49" s="327">
        <f>'27._önkorm_önként'!L48+'28._Int össz_önk'!L17</f>
        <v>0</v>
      </c>
    </row>
    <row r="50" spans="1:12" s="54" customFormat="1" ht="12.2" customHeight="1" x14ac:dyDescent="0.2">
      <c r="A50" s="1003" t="s">
        <v>605</v>
      </c>
      <c r="B50" s="717" t="s">
        <v>302</v>
      </c>
      <c r="C50" s="401">
        <f>'27._önkorm_önként'!C49+'28._Int össz_önk'!C18</f>
        <v>0</v>
      </c>
      <c r="D50" s="325">
        <f>'27._önkorm_önként'!D49+'28._Int össz_önk'!D18</f>
        <v>0</v>
      </c>
      <c r="E50" s="568">
        <f>'27._önkorm_önként'!E49+'28._Int össz_önk'!E18</f>
        <v>0</v>
      </c>
      <c r="F50" s="568">
        <f>'27._önkorm_önként'!F49+'28._Int össz_önk'!F18</f>
        <v>0</v>
      </c>
      <c r="G50" s="568">
        <f>'27._önkorm_önként'!G49+'28._Int össz_önk'!G18</f>
        <v>0</v>
      </c>
      <c r="H50" s="327">
        <f t="shared" si="2"/>
        <v>0</v>
      </c>
      <c r="I50" s="627">
        <f>'27._önkorm_önként'!I49+'28._Int össz_önk'!I18</f>
        <v>0</v>
      </c>
      <c r="J50" s="327">
        <f>'27._önkorm_önként'!J49+'28._Int össz_önk'!J18</f>
        <v>0</v>
      </c>
      <c r="K50" s="327">
        <f>'27._önkorm_önként'!K49+'28._Int össz_önk'!K18</f>
        <v>0</v>
      </c>
      <c r="L50" s="327">
        <f>'27._önkorm_önként'!L49+'28._Int össz_önk'!L18</f>
        <v>0</v>
      </c>
    </row>
    <row r="51" spans="1:12" s="54" customFormat="1" ht="12.2" customHeight="1" x14ac:dyDescent="0.2">
      <c r="A51" s="1003" t="s">
        <v>606</v>
      </c>
      <c r="B51" s="717" t="s">
        <v>155</v>
      </c>
      <c r="C51" s="402">
        <f>'27._önkorm_önként'!C50+'28._Int össz_önk'!C19</f>
        <v>0</v>
      </c>
      <c r="D51" s="326">
        <f>'27._önkorm_önként'!D50+'28._Int össz_önk'!D19</f>
        <v>0</v>
      </c>
      <c r="E51" s="573">
        <f>'27._önkorm_önként'!E50+'28._Int össz_önk'!E19</f>
        <v>0</v>
      </c>
      <c r="F51" s="573">
        <f>'27._önkorm_önként'!F50+'28._Int össz_önk'!F19</f>
        <v>0</v>
      </c>
      <c r="G51" s="573">
        <f>'27._önkorm_önként'!G50+'28._Int össz_önk'!G19</f>
        <v>0</v>
      </c>
      <c r="H51" s="328">
        <f t="shared" si="2"/>
        <v>0</v>
      </c>
      <c r="I51" s="666">
        <f>'27._önkorm_önként'!I50+'28._Int össz_önk'!I19</f>
        <v>0</v>
      </c>
      <c r="J51" s="328">
        <f>'27._önkorm_önként'!J50+'28._Int össz_önk'!J19</f>
        <v>0</v>
      </c>
      <c r="K51" s="328">
        <f>'27._önkorm_önként'!K50+'28._Int össz_önk'!K19</f>
        <v>0</v>
      </c>
      <c r="L51" s="328">
        <f>'27._önkorm_önként'!L50+'28._Int össz_önk'!L19</f>
        <v>0</v>
      </c>
    </row>
    <row r="52" spans="1:12" s="54" customFormat="1" ht="12.2" customHeight="1" x14ac:dyDescent="0.2">
      <c r="A52" s="1005" t="s">
        <v>607</v>
      </c>
      <c r="B52" s="496" t="s">
        <v>275</v>
      </c>
      <c r="C52" s="402">
        <f>'27._önkorm_önként'!C51+'28._Int össz_önk'!C20</f>
        <v>0</v>
      </c>
      <c r="D52" s="326">
        <f>'27._önkorm_önként'!D51+'28._Int össz_önk'!D20</f>
        <v>0</v>
      </c>
      <c r="E52" s="573">
        <f>'27._önkorm_önként'!E51+'28._Int össz_önk'!E20</f>
        <v>0</v>
      </c>
      <c r="F52" s="573">
        <f>'27._önkorm_önként'!F51+'28._Int össz_önk'!F20</f>
        <v>0</v>
      </c>
      <c r="G52" s="573">
        <f>'27._önkorm_önként'!G51+'28._Int össz_önk'!G20</f>
        <v>0</v>
      </c>
      <c r="H52" s="328">
        <f t="shared" si="2"/>
        <v>0</v>
      </c>
      <c r="I52" s="666">
        <f>'27._önkorm_önként'!I51+'28._Int össz_önk'!I20</f>
        <v>0</v>
      </c>
      <c r="J52" s="328">
        <f>'27._önkorm_önként'!J51+'28._Int össz_önk'!J20</f>
        <v>0</v>
      </c>
      <c r="K52" s="328">
        <f>'27._önkorm_önként'!K51+'28._Int össz_önk'!K20</f>
        <v>0</v>
      </c>
      <c r="L52" s="328">
        <f>'27._önkorm_önként'!L51+'28._Int össz_önk'!L20</f>
        <v>0</v>
      </c>
    </row>
    <row r="53" spans="1:12" s="54" customFormat="1" ht="12.2" customHeight="1" thickBot="1" x14ac:dyDescent="0.25">
      <c r="A53" s="1005" t="s">
        <v>608</v>
      </c>
      <c r="B53" s="496" t="s">
        <v>157</v>
      </c>
      <c r="C53" s="1029">
        <f>'27._önkorm_önként'!C52+'28._Int össz_önk'!C21</f>
        <v>10366470</v>
      </c>
      <c r="D53" s="661">
        <f>'27._önkorm_önként'!D52+'28._Int össz_önk'!D21</f>
        <v>10366470</v>
      </c>
      <c r="E53" s="571">
        <f>'27._önkorm_önként'!E52+'28._Int össz_önk'!E21</f>
        <v>10366470</v>
      </c>
      <c r="F53" s="571">
        <f>'27._önkorm_önként'!F52+'28._Int össz_önk'!F21</f>
        <v>0</v>
      </c>
      <c r="G53" s="571">
        <f>'27._önkorm_önként'!G52+'28._Int össz_önk'!G21</f>
        <v>0</v>
      </c>
      <c r="H53" s="526">
        <f t="shared" si="2"/>
        <v>0</v>
      </c>
      <c r="I53" s="667">
        <f>'27._önkorm_önként'!I52+'28._Int össz_önk'!I21</f>
        <v>0</v>
      </c>
      <c r="J53" s="526">
        <f>'27._önkorm_önként'!J52+'28._Int össz_önk'!J21</f>
        <v>0</v>
      </c>
      <c r="K53" s="526">
        <f>'27._önkorm_önként'!K52+'28._Int össz_önk'!K21</f>
        <v>0</v>
      </c>
      <c r="L53" s="526">
        <f>'27._önkorm_önként'!L52+'28._Int össz_önk'!L21</f>
        <v>0</v>
      </c>
    </row>
    <row r="54" spans="1:12" s="54" customFormat="1" ht="12.2" customHeight="1" thickBot="1" x14ac:dyDescent="0.25">
      <c r="A54" s="14" t="s">
        <v>16</v>
      </c>
      <c r="B54" s="72" t="s">
        <v>609</v>
      </c>
      <c r="C54" s="113">
        <f>SUM(C55:C59)</f>
        <v>0</v>
      </c>
      <c r="D54" s="186">
        <f t="shared" ref="D54:K54" si="17">SUM(D55:D59)</f>
        <v>0</v>
      </c>
      <c r="E54" s="566">
        <f t="shared" si="17"/>
        <v>0</v>
      </c>
      <c r="F54" s="566">
        <f t="shared" si="17"/>
        <v>0</v>
      </c>
      <c r="G54" s="566">
        <f t="shared" si="17"/>
        <v>0</v>
      </c>
      <c r="H54" s="28">
        <f t="shared" si="2"/>
        <v>0</v>
      </c>
      <c r="I54" s="628">
        <f t="shared" si="17"/>
        <v>0</v>
      </c>
      <c r="J54" s="28">
        <f t="shared" si="17"/>
        <v>0</v>
      </c>
      <c r="K54" s="28">
        <f t="shared" si="17"/>
        <v>0</v>
      </c>
      <c r="L54" s="28">
        <f t="shared" ref="L54" si="18">SUM(L55:L59)</f>
        <v>0</v>
      </c>
    </row>
    <row r="55" spans="1:12" s="54" customFormat="1" ht="12.2" customHeight="1" x14ac:dyDescent="0.2">
      <c r="A55" s="12" t="s">
        <v>89</v>
      </c>
      <c r="B55" s="716" t="s">
        <v>167</v>
      </c>
      <c r="C55" s="116">
        <f>'27._önkorm_önként'!C54+'28._Int össz_önk'!C33</f>
        <v>0</v>
      </c>
      <c r="D55" s="201">
        <f>'27._önkorm_önként'!D54+'28._Int össz_önk'!D33</f>
        <v>0</v>
      </c>
      <c r="E55" s="572">
        <f>'27._önkorm_önként'!E54+'28._Int össz_önk'!E33</f>
        <v>0</v>
      </c>
      <c r="F55" s="572">
        <f>'27._önkorm_önként'!F54+'28._Int össz_önk'!F33</f>
        <v>0</v>
      </c>
      <c r="G55" s="572">
        <f>'27._önkorm_önként'!G54+'28._Int össz_önk'!G33</f>
        <v>0</v>
      </c>
      <c r="H55" s="23">
        <f t="shared" si="2"/>
        <v>0</v>
      </c>
      <c r="I55" s="668">
        <f>'27._önkorm_önként'!I54+'28._Int össz_önk'!I33</f>
        <v>0</v>
      </c>
      <c r="J55" s="23">
        <f>'27._önkorm_önként'!J54+'28._Int össz_önk'!J33</f>
        <v>0</v>
      </c>
      <c r="K55" s="23">
        <f>'27._önkorm_önként'!K54+'28._Int össz_önk'!K33</f>
        <v>0</v>
      </c>
      <c r="L55" s="23">
        <f>'27._önkorm_önként'!L54+'28._Int össz_önk'!L33</f>
        <v>0</v>
      </c>
    </row>
    <row r="56" spans="1:12" s="54" customFormat="1" ht="12.2" customHeight="1" x14ac:dyDescent="0.2">
      <c r="A56" s="1003" t="s">
        <v>102</v>
      </c>
      <c r="B56" s="717" t="s">
        <v>168</v>
      </c>
      <c r="C56" s="402">
        <f>'27._önkorm_önként'!C55+'28._Int össz_önk'!C34</f>
        <v>0</v>
      </c>
      <c r="D56" s="326">
        <f>'27._önkorm_önként'!D55+'28._Int össz_önk'!D34</f>
        <v>0</v>
      </c>
      <c r="E56" s="573">
        <f>'27._önkorm_önként'!E55+'28._Int össz_önk'!E34</f>
        <v>0</v>
      </c>
      <c r="F56" s="573">
        <f>'27._önkorm_önként'!F55+'28._Int össz_önk'!F34</f>
        <v>0</v>
      </c>
      <c r="G56" s="573">
        <f>'27._önkorm_önként'!G55+'28._Int össz_önk'!G34</f>
        <v>0</v>
      </c>
      <c r="H56" s="328">
        <f t="shared" si="2"/>
        <v>0</v>
      </c>
      <c r="I56" s="666">
        <f>'27._önkorm_önként'!I55+'28._Int össz_önk'!I34</f>
        <v>0</v>
      </c>
      <c r="J56" s="328">
        <f>'27._önkorm_önként'!J55+'28._Int össz_önk'!J34</f>
        <v>0</v>
      </c>
      <c r="K56" s="328">
        <f>'27._önkorm_önként'!K55+'28._Int össz_önk'!K34</f>
        <v>0</v>
      </c>
      <c r="L56" s="328">
        <f>'27._önkorm_önként'!L55+'28._Int össz_önk'!L34</f>
        <v>0</v>
      </c>
    </row>
    <row r="57" spans="1:12" s="54" customFormat="1" ht="12.2" customHeight="1" x14ac:dyDescent="0.2">
      <c r="A57" s="1003" t="s">
        <v>103</v>
      </c>
      <c r="B57" s="717" t="s">
        <v>169</v>
      </c>
      <c r="C57" s="402">
        <f>'27._önkorm_önként'!C56+'28._Int össz_önk'!C35</f>
        <v>0</v>
      </c>
      <c r="D57" s="326">
        <f>'27._önkorm_önként'!D56+'28._Int össz_önk'!D35</f>
        <v>0</v>
      </c>
      <c r="E57" s="573">
        <f>'27._önkorm_önként'!E56+'28._Int össz_önk'!E35</f>
        <v>0</v>
      </c>
      <c r="F57" s="573">
        <f>'27._önkorm_önként'!F56+'28._Int össz_önk'!F35</f>
        <v>0</v>
      </c>
      <c r="G57" s="573">
        <f>'27._önkorm_önként'!G56+'28._Int össz_önk'!G35</f>
        <v>0</v>
      </c>
      <c r="H57" s="328">
        <f t="shared" si="2"/>
        <v>0</v>
      </c>
      <c r="I57" s="666">
        <f>'27._önkorm_önként'!I56+'28._Int össz_önk'!I35</f>
        <v>0</v>
      </c>
      <c r="J57" s="328">
        <f>'27._önkorm_önként'!J56+'28._Int össz_önk'!J35</f>
        <v>0</v>
      </c>
      <c r="K57" s="328">
        <f>'27._önkorm_önként'!K56+'28._Int össz_önk'!K35</f>
        <v>0</v>
      </c>
      <c r="L57" s="328">
        <f>'27._önkorm_önként'!L56+'28._Int össz_önk'!L35</f>
        <v>0</v>
      </c>
    </row>
    <row r="58" spans="1:12" s="54" customFormat="1" ht="12.2" customHeight="1" x14ac:dyDescent="0.2">
      <c r="A58" s="1003" t="s">
        <v>201</v>
      </c>
      <c r="B58" s="717" t="s">
        <v>207</v>
      </c>
      <c r="C58" s="402">
        <f>'27._önkorm_önként'!C57</f>
        <v>0</v>
      </c>
      <c r="D58" s="326">
        <f>'27._önkorm_önként'!D57</f>
        <v>0</v>
      </c>
      <c r="E58" s="573">
        <f>'27._önkorm_önként'!E57</f>
        <v>0</v>
      </c>
      <c r="F58" s="573">
        <f>'27._önkorm_önként'!F57</f>
        <v>0</v>
      </c>
      <c r="G58" s="573">
        <f>'27._önkorm_önként'!G57</f>
        <v>0</v>
      </c>
      <c r="H58" s="328">
        <f t="shared" si="2"/>
        <v>0</v>
      </c>
      <c r="I58" s="666">
        <f>'27._önkorm_önként'!I57</f>
        <v>0</v>
      </c>
      <c r="J58" s="328">
        <f>'27._önkorm_önként'!J57</f>
        <v>0</v>
      </c>
      <c r="K58" s="328">
        <f>'27._önkorm_önként'!K57</f>
        <v>0</v>
      </c>
      <c r="L58" s="328">
        <f>'27._önkorm_önként'!L57</f>
        <v>0</v>
      </c>
    </row>
    <row r="59" spans="1:12" s="54" customFormat="1" ht="12.2" customHeight="1" thickBot="1" x14ac:dyDescent="0.25">
      <c r="A59" s="1005" t="s">
        <v>202</v>
      </c>
      <c r="B59" s="496" t="s">
        <v>209</v>
      </c>
      <c r="C59" s="1029">
        <f>'27._önkorm_önként'!C58</f>
        <v>0</v>
      </c>
      <c r="D59" s="661">
        <f>'27._önkorm_önként'!D58</f>
        <v>0</v>
      </c>
      <c r="E59" s="571">
        <f>'27._önkorm_önként'!E58</f>
        <v>0</v>
      </c>
      <c r="F59" s="571">
        <f>'27._önkorm_önként'!F58</f>
        <v>0</v>
      </c>
      <c r="G59" s="571">
        <f>'27._önkorm_önként'!G58</f>
        <v>0</v>
      </c>
      <c r="H59" s="526">
        <f t="shared" si="2"/>
        <v>0</v>
      </c>
      <c r="I59" s="667">
        <f>'27._önkorm_önként'!I58</f>
        <v>0</v>
      </c>
      <c r="J59" s="526">
        <f>'27._önkorm_önként'!J58</f>
        <v>0</v>
      </c>
      <c r="K59" s="526">
        <f>'27._önkorm_önként'!K58</f>
        <v>0</v>
      </c>
      <c r="L59" s="526">
        <f>'27._önkorm_önként'!L58</f>
        <v>0</v>
      </c>
    </row>
    <row r="60" spans="1:12" s="54" customFormat="1" ht="12.2" customHeight="1" thickBot="1" x14ac:dyDescent="0.25">
      <c r="A60" s="14" t="s">
        <v>17</v>
      </c>
      <c r="B60" s="72" t="s">
        <v>627</v>
      </c>
      <c r="C60" s="113">
        <f>SUM(C61:C62)</f>
        <v>5018250</v>
      </c>
      <c r="D60" s="186">
        <f t="shared" ref="D60:K60" si="19">SUM(D61:D62)</f>
        <v>5018250</v>
      </c>
      <c r="E60" s="566">
        <f t="shared" si="19"/>
        <v>576263</v>
      </c>
      <c r="F60" s="566">
        <f t="shared" si="19"/>
        <v>5018250</v>
      </c>
      <c r="G60" s="566">
        <f t="shared" si="19"/>
        <v>5018250</v>
      </c>
      <c r="H60" s="28">
        <f t="shared" si="2"/>
        <v>-4441987</v>
      </c>
      <c r="I60" s="628">
        <f t="shared" si="19"/>
        <v>0</v>
      </c>
      <c r="J60" s="28">
        <f t="shared" si="19"/>
        <v>0</v>
      </c>
      <c r="K60" s="28">
        <f t="shared" si="19"/>
        <v>0</v>
      </c>
      <c r="L60" s="28">
        <f t="shared" ref="L60" si="20">SUM(L61:L62)</f>
        <v>0</v>
      </c>
    </row>
    <row r="61" spans="1:12" s="54" customFormat="1" ht="12.2" customHeight="1" x14ac:dyDescent="0.2">
      <c r="A61" s="1003" t="s">
        <v>104</v>
      </c>
      <c r="B61" s="717" t="s">
        <v>210</v>
      </c>
      <c r="C61" s="401">
        <f>'27._önkorm_önként'!C60</f>
        <v>0</v>
      </c>
      <c r="D61" s="325">
        <f>'27._önkorm_önként'!D60</f>
        <v>0</v>
      </c>
      <c r="E61" s="568">
        <f>'27._önkorm_önként'!E60</f>
        <v>0</v>
      </c>
      <c r="F61" s="568">
        <f>'27._önkorm_önként'!F60</f>
        <v>0</v>
      </c>
      <c r="G61" s="568">
        <f>'27._önkorm_önként'!G60</f>
        <v>0</v>
      </c>
      <c r="H61" s="327">
        <f t="shared" si="2"/>
        <v>0</v>
      </c>
      <c r="I61" s="627">
        <f>'27._önkorm_önként'!I60</f>
        <v>0</v>
      </c>
      <c r="J61" s="327">
        <f>'27._önkorm_önként'!J60</f>
        <v>0</v>
      </c>
      <c r="K61" s="327">
        <f>'27._önkorm_önként'!K60</f>
        <v>0</v>
      </c>
      <c r="L61" s="327">
        <f>'27._önkorm_önként'!L60</f>
        <v>0</v>
      </c>
    </row>
    <row r="62" spans="1:12" s="54" customFormat="1" ht="12.2" customHeight="1" x14ac:dyDescent="0.2">
      <c r="A62" s="1003" t="s">
        <v>105</v>
      </c>
      <c r="B62" s="717" t="s">
        <v>211</v>
      </c>
      <c r="C62" s="401">
        <f>'27._önkorm_önként'!C61+'28._Int össz_önk'!C36</f>
        <v>5018250</v>
      </c>
      <c r="D62" s="325">
        <f>'27._önkorm_önként'!D61+'28._Int össz_önk'!D36</f>
        <v>5018250</v>
      </c>
      <c r="E62" s="568">
        <f>'27._önkorm_önként'!E61+'28._Int össz_önk'!E36</f>
        <v>576263</v>
      </c>
      <c r="F62" s="568">
        <f>'27._önkorm_önként'!F61+'28._Int össz_önk'!F36</f>
        <v>5018250</v>
      </c>
      <c r="G62" s="568">
        <f>'27._önkorm_önként'!G61+'28._Int össz_önk'!G36</f>
        <v>5018250</v>
      </c>
      <c r="H62" s="327">
        <f t="shared" si="2"/>
        <v>-4441987</v>
      </c>
      <c r="I62" s="627">
        <f>'27._önkorm_önként'!I61+'28._Int össz_önk'!I36</f>
        <v>0</v>
      </c>
      <c r="J62" s="327">
        <f>'27._önkorm_önként'!J61+'28._Int össz_önk'!J36</f>
        <v>0</v>
      </c>
      <c r="K62" s="327">
        <f>'27._önkorm_önként'!K61+'28._Int össz_önk'!K36</f>
        <v>0</v>
      </c>
      <c r="L62" s="327">
        <f>'27._önkorm_önként'!L61+'28._Int össz_önk'!L36</f>
        <v>0</v>
      </c>
    </row>
    <row r="63" spans="1:12" s="54" customFormat="1" ht="12.2" customHeight="1" thickBot="1" x14ac:dyDescent="0.25">
      <c r="A63" s="1005" t="s">
        <v>610</v>
      </c>
      <c r="B63" s="496" t="s">
        <v>642</v>
      </c>
      <c r="C63" s="504">
        <f>'27._önkorm_önként'!C62+'28._Int össz_önk'!C37</f>
        <v>5018250</v>
      </c>
      <c r="D63" s="625">
        <f>'27._önkorm_önként'!D62+'28._Int össz_önk'!D37</f>
        <v>5018250</v>
      </c>
      <c r="E63" s="569">
        <f>'27._önkorm_önként'!E62+'28._Int össz_önk'!E37</f>
        <v>576263</v>
      </c>
      <c r="F63" s="569">
        <f>'27._önkorm_önként'!F62+'28._Int össz_önk'!F37</f>
        <v>0</v>
      </c>
      <c r="G63" s="569">
        <f>'27._önkorm_önként'!G62+'28._Int össz_önk'!G37</f>
        <v>0</v>
      </c>
      <c r="H63" s="525">
        <f t="shared" si="2"/>
        <v>-4441987</v>
      </c>
      <c r="I63" s="629">
        <f>'27._önkorm_önként'!I62+'28._Int össz_önk'!I37</f>
        <v>0</v>
      </c>
      <c r="J63" s="525">
        <f>'27._önkorm_önként'!J62+'28._Int össz_önk'!J37</f>
        <v>0</v>
      </c>
      <c r="K63" s="525">
        <f>'27._önkorm_önként'!K62+'28._Int össz_önk'!K37</f>
        <v>0</v>
      </c>
      <c r="L63" s="525">
        <f>'27._önkorm_önként'!L62+'28._Int össz_önk'!L37</f>
        <v>0</v>
      </c>
    </row>
    <row r="64" spans="1:12" s="54" customFormat="1" ht="12.2" customHeight="1" thickBot="1" x14ac:dyDescent="0.25">
      <c r="A64" s="14" t="s">
        <v>18</v>
      </c>
      <c r="B64" s="347" t="s">
        <v>380</v>
      </c>
      <c r="C64" s="113">
        <f>SUM(C65:C66)</f>
        <v>131957503</v>
      </c>
      <c r="D64" s="186">
        <f t="shared" ref="D64:K64" si="21">SUM(D65:D66)</f>
        <v>131957503</v>
      </c>
      <c r="E64" s="566">
        <f t="shared" si="21"/>
        <v>136399490</v>
      </c>
      <c r="F64" s="566">
        <f t="shared" si="21"/>
        <v>0</v>
      </c>
      <c r="G64" s="566">
        <f t="shared" si="21"/>
        <v>0</v>
      </c>
      <c r="H64" s="28">
        <f t="shared" si="2"/>
        <v>4441987</v>
      </c>
      <c r="I64" s="628">
        <f t="shared" si="21"/>
        <v>0</v>
      </c>
      <c r="J64" s="28">
        <f t="shared" si="21"/>
        <v>0</v>
      </c>
      <c r="K64" s="28">
        <f t="shared" si="21"/>
        <v>0</v>
      </c>
      <c r="L64" s="28">
        <f t="shared" ref="L64" si="22">SUM(L65:L66)</f>
        <v>0</v>
      </c>
    </row>
    <row r="65" spans="1:12" s="54" customFormat="1" ht="12.2" customHeight="1" x14ac:dyDescent="0.2">
      <c r="A65" s="12" t="s">
        <v>107</v>
      </c>
      <c r="B65" s="717" t="s">
        <v>212</v>
      </c>
      <c r="C65" s="402">
        <f>'27._önkorm_önként'!C64+'28._Int össz_önk'!C39</f>
        <v>0</v>
      </c>
      <c r="D65" s="326">
        <f>'27._önkorm_önként'!D64+'28._Int össz_önk'!D39</f>
        <v>0</v>
      </c>
      <c r="E65" s="573">
        <f>'27._önkorm_önként'!E64+'28._Int össz_önk'!E39</f>
        <v>0</v>
      </c>
      <c r="F65" s="573">
        <f>'27._önkorm_önként'!F64+'28._Int össz_önk'!F39</f>
        <v>0</v>
      </c>
      <c r="G65" s="573">
        <f>'27._önkorm_önként'!G64+'28._Int össz_önk'!G39</f>
        <v>0</v>
      </c>
      <c r="H65" s="328">
        <f t="shared" si="2"/>
        <v>0</v>
      </c>
      <c r="I65" s="666">
        <f>'27._önkorm_önként'!I64+'28._Int össz_önk'!I39</f>
        <v>0</v>
      </c>
      <c r="J65" s="328">
        <f>'27._önkorm_önként'!J64+'28._Int össz_önk'!J39</f>
        <v>0</v>
      </c>
      <c r="K65" s="328">
        <f>'27._önkorm_önként'!K64+'28._Int össz_önk'!K39</f>
        <v>0</v>
      </c>
      <c r="L65" s="328">
        <f>'27._önkorm_önként'!L64+'28._Int össz_önk'!L39</f>
        <v>0</v>
      </c>
    </row>
    <row r="66" spans="1:12" s="54" customFormat="1" ht="12.2" customHeight="1" x14ac:dyDescent="0.2">
      <c r="A66" s="1003" t="s">
        <v>108</v>
      </c>
      <c r="B66" s="717" t="s">
        <v>213</v>
      </c>
      <c r="C66" s="402">
        <f>'27._önkorm_önként'!C65+'28._Int össz_önk'!C40</f>
        <v>131957503</v>
      </c>
      <c r="D66" s="326">
        <f>'27._önkorm_önként'!D65+'28._Int össz_önk'!D40</f>
        <v>131957503</v>
      </c>
      <c r="E66" s="573">
        <f>'27._önkorm_önként'!E65+'28._Int össz_önk'!E40</f>
        <v>136399490</v>
      </c>
      <c r="F66" s="573">
        <f>'27._önkorm_önként'!F65+'28._Int össz_önk'!F40</f>
        <v>0</v>
      </c>
      <c r="G66" s="573">
        <f>'27._önkorm_önként'!G65+'28._Int össz_önk'!G40</f>
        <v>0</v>
      </c>
      <c r="H66" s="328">
        <f t="shared" si="2"/>
        <v>4441987</v>
      </c>
      <c r="I66" s="666">
        <f>'27._önkorm_önként'!I65+'28._Int össz_önk'!I40</f>
        <v>0</v>
      </c>
      <c r="J66" s="328">
        <f>'27._önkorm_önként'!J65+'28._Int össz_önk'!J40</f>
        <v>0</v>
      </c>
      <c r="K66" s="328">
        <f>'27._önkorm_önként'!K65+'28._Int össz_önk'!K40</f>
        <v>0</v>
      </c>
      <c r="L66" s="328">
        <f>'27._önkorm_önként'!L65+'28._Int össz_önk'!L40</f>
        <v>0</v>
      </c>
    </row>
    <row r="67" spans="1:12" s="54" customFormat="1" ht="12.2" customHeight="1" thickBot="1" x14ac:dyDescent="0.25">
      <c r="A67" s="172" t="s">
        <v>323</v>
      </c>
      <c r="B67" s="718" t="s">
        <v>368</v>
      </c>
      <c r="C67" s="402">
        <f>'27._önkorm_önként'!C66+'28._Int össz_önk'!C41</f>
        <v>131957503</v>
      </c>
      <c r="D67" s="326">
        <f>'27._önkorm_önként'!D66+'28._Int össz_önk'!D41</f>
        <v>131957503</v>
      </c>
      <c r="E67" s="573">
        <f>'27._önkorm_önként'!E66+'28._Int össz_önk'!E41</f>
        <v>136399490</v>
      </c>
      <c r="F67" s="573">
        <f>'27._önkorm_önként'!F66+'28._Int össz_önk'!F41</f>
        <v>0</v>
      </c>
      <c r="G67" s="573">
        <f>'27._önkorm_önként'!G66+'28._Int össz_önk'!G41</f>
        <v>0</v>
      </c>
      <c r="H67" s="328">
        <f t="shared" si="2"/>
        <v>4441987</v>
      </c>
      <c r="I67" s="666">
        <f>'27._önkorm_önként'!I66+'28._Int össz_önk'!I41</f>
        <v>0</v>
      </c>
      <c r="J67" s="328">
        <f>'27._önkorm_önként'!J66+'28._Int össz_önk'!J41</f>
        <v>0</v>
      </c>
      <c r="K67" s="328">
        <f>'27._önkorm_önként'!K66+'28._Int össz_önk'!K41</f>
        <v>0</v>
      </c>
      <c r="L67" s="328">
        <f>'27._önkorm_önként'!L66+'28._Int össz_önk'!L41</f>
        <v>0</v>
      </c>
    </row>
    <row r="68" spans="1:12" s="54" customFormat="1" ht="12.2" customHeight="1" thickBot="1" x14ac:dyDescent="0.25">
      <c r="A68" s="348" t="s">
        <v>19</v>
      </c>
      <c r="B68" s="719" t="s">
        <v>628</v>
      </c>
      <c r="C68" s="1023">
        <f>+C12+C26+C32+C42+C54+C60+C64</f>
        <v>3613238671</v>
      </c>
      <c r="D68" s="187">
        <f t="shared" ref="D68:K68" si="23">+D12+D26+D32+D42+D54+D60+D64</f>
        <v>3405541163</v>
      </c>
      <c r="E68" s="532">
        <f t="shared" si="23"/>
        <v>3798453019</v>
      </c>
      <c r="F68" s="532">
        <f t="shared" si="23"/>
        <v>5018250</v>
      </c>
      <c r="G68" s="532">
        <f t="shared" si="23"/>
        <v>5018250</v>
      </c>
      <c r="H68" s="74">
        <f t="shared" si="2"/>
        <v>392911856</v>
      </c>
      <c r="I68" s="638">
        <f t="shared" si="23"/>
        <v>0</v>
      </c>
      <c r="J68" s="74">
        <f t="shared" si="23"/>
        <v>0</v>
      </c>
      <c r="K68" s="74">
        <f t="shared" si="23"/>
        <v>0</v>
      </c>
      <c r="L68" s="74">
        <f t="shared" ref="L68" si="24">+L12+L20+L26+L32+L42+L54+L60+L64</f>
        <v>0</v>
      </c>
    </row>
    <row r="69" spans="1:12" s="54" customFormat="1" ht="12.2" customHeight="1" thickBot="1" x14ac:dyDescent="0.25">
      <c r="A69" s="63" t="s">
        <v>20</v>
      </c>
      <c r="B69" s="347" t="s">
        <v>629</v>
      </c>
      <c r="C69" s="113">
        <f>SUM(C70:C72)</f>
        <v>0</v>
      </c>
      <c r="D69" s="186">
        <f t="shared" ref="D69:K69" si="25">SUM(D70:D72)</f>
        <v>0</v>
      </c>
      <c r="E69" s="566">
        <f t="shared" si="25"/>
        <v>0</v>
      </c>
      <c r="F69" s="566">
        <f t="shared" si="25"/>
        <v>0</v>
      </c>
      <c r="G69" s="566">
        <f t="shared" si="25"/>
        <v>0</v>
      </c>
      <c r="H69" s="28">
        <f t="shared" si="2"/>
        <v>0</v>
      </c>
      <c r="I69" s="628">
        <f t="shared" si="25"/>
        <v>0</v>
      </c>
      <c r="J69" s="28">
        <f t="shared" si="25"/>
        <v>0</v>
      </c>
      <c r="K69" s="28">
        <f t="shared" si="25"/>
        <v>0</v>
      </c>
      <c r="L69" s="28">
        <f t="shared" ref="L69" si="26">SUM(L70:L72)</f>
        <v>0</v>
      </c>
    </row>
    <row r="70" spans="1:12" s="54" customFormat="1" ht="12.2" customHeight="1" x14ac:dyDescent="0.2">
      <c r="A70" s="12" t="s">
        <v>171</v>
      </c>
      <c r="B70" s="716" t="s">
        <v>215</v>
      </c>
      <c r="C70" s="402">
        <f>'27._önkorm_önként'!C69</f>
        <v>0</v>
      </c>
      <c r="D70" s="326">
        <f>'27._önkorm_önként'!D69</f>
        <v>0</v>
      </c>
      <c r="E70" s="573">
        <f>'27._önkorm_önként'!E69</f>
        <v>0</v>
      </c>
      <c r="F70" s="573">
        <f>'27._önkorm_önként'!F69</f>
        <v>0</v>
      </c>
      <c r="G70" s="573">
        <f>'27._önkorm_önként'!G69</f>
        <v>0</v>
      </c>
      <c r="H70" s="328">
        <f t="shared" si="2"/>
        <v>0</v>
      </c>
      <c r="I70" s="666">
        <f>'27._önkorm_önként'!I69</f>
        <v>0</v>
      </c>
      <c r="J70" s="328">
        <f>'27._önkorm_önként'!J69</f>
        <v>0</v>
      </c>
      <c r="K70" s="328">
        <f>'27._önkorm_önként'!K69</f>
        <v>0</v>
      </c>
      <c r="L70" s="328">
        <f>'27._önkorm_önként'!L69</f>
        <v>0</v>
      </c>
    </row>
    <row r="71" spans="1:12" s="54" customFormat="1" ht="12.2" customHeight="1" x14ac:dyDescent="0.2">
      <c r="A71" s="1003" t="s">
        <v>172</v>
      </c>
      <c r="B71" s="717" t="s">
        <v>324</v>
      </c>
      <c r="C71" s="402">
        <f>'27._önkorm_önként'!C70</f>
        <v>0</v>
      </c>
      <c r="D71" s="326">
        <f>'27._önkorm_önként'!D70</f>
        <v>0</v>
      </c>
      <c r="E71" s="573">
        <f>'27._önkorm_önként'!E70</f>
        <v>0</v>
      </c>
      <c r="F71" s="573">
        <f>'27._önkorm_önként'!F70</f>
        <v>0</v>
      </c>
      <c r="G71" s="573">
        <f>'27._önkorm_önként'!G70</f>
        <v>0</v>
      </c>
      <c r="H71" s="328">
        <f t="shared" si="2"/>
        <v>0</v>
      </c>
      <c r="I71" s="666">
        <f>'27._önkorm_önként'!I70</f>
        <v>0</v>
      </c>
      <c r="J71" s="328">
        <f>'27._önkorm_önként'!J70</f>
        <v>0</v>
      </c>
      <c r="K71" s="328">
        <f>'27._önkorm_önként'!K70</f>
        <v>0</v>
      </c>
      <c r="L71" s="328">
        <f>'27._önkorm_önként'!L70</f>
        <v>0</v>
      </c>
    </row>
    <row r="72" spans="1:12" s="54" customFormat="1" ht="12.2" customHeight="1" thickBot="1" x14ac:dyDescent="0.25">
      <c r="A72" s="1005" t="s">
        <v>173</v>
      </c>
      <c r="B72" s="717" t="s">
        <v>513</v>
      </c>
      <c r="C72" s="402">
        <f>'27._önkorm_önként'!C71</f>
        <v>0</v>
      </c>
      <c r="D72" s="326">
        <f>'27._önkorm_önként'!D71</f>
        <v>0</v>
      </c>
      <c r="E72" s="573">
        <f>'27._önkorm_önként'!E71</f>
        <v>0</v>
      </c>
      <c r="F72" s="573">
        <f>'27._önkorm_önként'!F71</f>
        <v>0</v>
      </c>
      <c r="G72" s="573">
        <f>'27._önkorm_önként'!G71</f>
        <v>0</v>
      </c>
      <c r="H72" s="328">
        <f t="shared" si="2"/>
        <v>0</v>
      </c>
      <c r="I72" s="666">
        <f>'27._önkorm_önként'!I71</f>
        <v>0</v>
      </c>
      <c r="J72" s="328">
        <f>'27._önkorm_önként'!J71</f>
        <v>0</v>
      </c>
      <c r="K72" s="328">
        <f>'27._önkorm_önként'!K71</f>
        <v>0</v>
      </c>
      <c r="L72" s="328">
        <f>'27._önkorm_önként'!L71</f>
        <v>0</v>
      </c>
    </row>
    <row r="73" spans="1:12" s="54" customFormat="1" ht="12.2" customHeight="1" thickBot="1" x14ac:dyDescent="0.25">
      <c r="A73" s="63" t="s">
        <v>21</v>
      </c>
      <c r="B73" s="347" t="s">
        <v>611</v>
      </c>
      <c r="C73" s="113">
        <f>SUM(C74:C76)</f>
        <v>0</v>
      </c>
      <c r="D73" s="186">
        <f t="shared" ref="D73:K73" si="27">SUM(D74:D76)</f>
        <v>0</v>
      </c>
      <c r="E73" s="566">
        <f t="shared" si="27"/>
        <v>0</v>
      </c>
      <c r="F73" s="566">
        <f t="shared" si="27"/>
        <v>0</v>
      </c>
      <c r="G73" s="566">
        <f t="shared" si="27"/>
        <v>0</v>
      </c>
      <c r="H73" s="28">
        <f t="shared" si="2"/>
        <v>0</v>
      </c>
      <c r="I73" s="628">
        <f t="shared" si="27"/>
        <v>0</v>
      </c>
      <c r="J73" s="28">
        <f t="shared" si="27"/>
        <v>0</v>
      </c>
      <c r="K73" s="28">
        <f t="shared" si="27"/>
        <v>0</v>
      </c>
      <c r="L73" s="28">
        <f t="shared" ref="L73" si="28">SUM(L74:L76)</f>
        <v>0</v>
      </c>
    </row>
    <row r="74" spans="1:12" s="54" customFormat="1" ht="12.2" customHeight="1" x14ac:dyDescent="0.2">
      <c r="A74" s="12" t="s">
        <v>214</v>
      </c>
      <c r="B74" s="716" t="s">
        <v>218</v>
      </c>
      <c r="C74" s="402">
        <f>'27._önkorm_önként'!C73</f>
        <v>0</v>
      </c>
      <c r="D74" s="326">
        <f>'27._önkorm_önként'!D73</f>
        <v>0</v>
      </c>
      <c r="E74" s="573">
        <f>'27._önkorm_önként'!E73</f>
        <v>0</v>
      </c>
      <c r="F74" s="573">
        <f>'27._önkorm_önként'!F73</f>
        <v>0</v>
      </c>
      <c r="G74" s="573">
        <f>'27._önkorm_önként'!G73</f>
        <v>0</v>
      </c>
      <c r="H74" s="328">
        <f t="shared" si="2"/>
        <v>0</v>
      </c>
      <c r="I74" s="666">
        <f>'27._önkorm_önként'!I73</f>
        <v>0</v>
      </c>
      <c r="J74" s="328">
        <f>'27._önkorm_önként'!J73</f>
        <v>0</v>
      </c>
      <c r="K74" s="328">
        <f>'27._önkorm_önként'!K73</f>
        <v>0</v>
      </c>
      <c r="L74" s="328">
        <f>'27._önkorm_önként'!L73</f>
        <v>0</v>
      </c>
    </row>
    <row r="75" spans="1:12" s="54" customFormat="1" ht="12.2" customHeight="1" x14ac:dyDescent="0.2">
      <c r="A75" s="12" t="s">
        <v>640</v>
      </c>
      <c r="B75" s="716" t="s">
        <v>390</v>
      </c>
      <c r="C75" s="402">
        <f>'27._önkorm_önként'!C74</f>
        <v>0</v>
      </c>
      <c r="D75" s="326">
        <f>'27._önkorm_önként'!D74</f>
        <v>0</v>
      </c>
      <c r="E75" s="573">
        <f>'27._önkorm_önként'!E74</f>
        <v>0</v>
      </c>
      <c r="F75" s="573">
        <f>'27._önkorm_önként'!F74</f>
        <v>0</v>
      </c>
      <c r="G75" s="573">
        <f>'27._önkorm_önként'!G74</f>
        <v>0</v>
      </c>
      <c r="H75" s="328">
        <f t="shared" si="2"/>
        <v>0</v>
      </c>
      <c r="I75" s="666">
        <f>'27._önkorm_önként'!I74</f>
        <v>0</v>
      </c>
      <c r="J75" s="328">
        <f>'27._önkorm_önként'!J74</f>
        <v>0</v>
      </c>
      <c r="K75" s="328">
        <f>'27._önkorm_önként'!K74</f>
        <v>0</v>
      </c>
      <c r="L75" s="328">
        <f>'27._önkorm_önként'!L74</f>
        <v>0</v>
      </c>
    </row>
    <row r="76" spans="1:12" s="54" customFormat="1" ht="12.2" customHeight="1" thickBot="1" x14ac:dyDescent="0.25">
      <c r="A76" s="1003" t="s">
        <v>216</v>
      </c>
      <c r="B76" s="717" t="s">
        <v>535</v>
      </c>
      <c r="C76" s="402">
        <f>'27._önkorm_önként'!C75</f>
        <v>0</v>
      </c>
      <c r="D76" s="326">
        <f>'27._önkorm_önként'!D75</f>
        <v>0</v>
      </c>
      <c r="E76" s="573">
        <f>'27._önkorm_önként'!E75</f>
        <v>0</v>
      </c>
      <c r="F76" s="573">
        <f>'27._önkorm_önként'!F75</f>
        <v>0</v>
      </c>
      <c r="G76" s="573">
        <f>'27._önkorm_önként'!G75</f>
        <v>0</v>
      </c>
      <c r="H76" s="328">
        <f t="shared" si="2"/>
        <v>0</v>
      </c>
      <c r="I76" s="666">
        <f>'27._önkorm_önként'!I75</f>
        <v>0</v>
      </c>
      <c r="J76" s="328">
        <f>'27._önkorm_önként'!J75</f>
        <v>0</v>
      </c>
      <c r="K76" s="328">
        <f>'27._önkorm_önként'!K75</f>
        <v>0</v>
      </c>
      <c r="L76" s="328">
        <f>'27._önkorm_önként'!L75</f>
        <v>0</v>
      </c>
    </row>
    <row r="77" spans="1:12" s="54" customFormat="1" ht="12.2" customHeight="1" thickBot="1" x14ac:dyDescent="0.25">
      <c r="A77" s="63" t="s">
        <v>22</v>
      </c>
      <c r="B77" s="347" t="s">
        <v>612</v>
      </c>
      <c r="C77" s="113">
        <f>SUM(C78:C79)</f>
        <v>3550090</v>
      </c>
      <c r="D77" s="186">
        <f t="shared" ref="D77:K77" si="29">SUM(D78:D79)</f>
        <v>233526890</v>
      </c>
      <c r="E77" s="566">
        <f t="shared" si="29"/>
        <v>233526890</v>
      </c>
      <c r="F77" s="566">
        <f t="shared" si="29"/>
        <v>0</v>
      </c>
      <c r="G77" s="566">
        <f t="shared" si="29"/>
        <v>0</v>
      </c>
      <c r="H77" s="28">
        <f t="shared" ref="H77:H84" si="30">+E77-D77</f>
        <v>0</v>
      </c>
      <c r="I77" s="628">
        <f t="shared" si="29"/>
        <v>0</v>
      </c>
      <c r="J77" s="28">
        <f t="shared" si="29"/>
        <v>0</v>
      </c>
      <c r="K77" s="28">
        <f t="shared" si="29"/>
        <v>0</v>
      </c>
      <c r="L77" s="28">
        <f t="shared" ref="L77" si="31">SUM(L78:L79)</f>
        <v>0</v>
      </c>
    </row>
    <row r="78" spans="1:12" s="54" customFormat="1" ht="12.2" customHeight="1" x14ac:dyDescent="0.2">
      <c r="A78" s="12" t="s">
        <v>217</v>
      </c>
      <c r="B78" s="59" t="s">
        <v>369</v>
      </c>
      <c r="C78" s="402">
        <f>'27._önkorm_önként'!C77+'28._Int össz_önk'!C44</f>
        <v>3550090</v>
      </c>
      <c r="D78" s="326">
        <f>'27._önkorm_önként'!D77+'28._Int össz_önk'!D44</f>
        <v>233229456</v>
      </c>
      <c r="E78" s="573">
        <f>'27._önkorm_önként'!E77+'28._Int össz_önk'!E44</f>
        <v>233229456</v>
      </c>
      <c r="F78" s="573">
        <f>'27._önkorm_önként'!F77+'28._Int össz_önk'!F44</f>
        <v>0</v>
      </c>
      <c r="G78" s="573">
        <f>'27._önkorm_önként'!G77+'28._Int össz_önk'!G44</f>
        <v>0</v>
      </c>
      <c r="H78" s="328">
        <f t="shared" si="30"/>
        <v>0</v>
      </c>
      <c r="I78" s="666">
        <f>'27._önkorm_önként'!I77+'28._Int össz_önk'!I44</f>
        <v>0</v>
      </c>
      <c r="J78" s="328">
        <f>'27._önkorm_önként'!J77+'28._Int össz_önk'!J44</f>
        <v>0</v>
      </c>
      <c r="K78" s="328">
        <f>'27._önkorm_önként'!K77+'28._Int össz_önk'!K44</f>
        <v>0</v>
      </c>
      <c r="L78" s="328">
        <f>'27._önkorm_önként'!L77+'28._Int össz_önk'!L44</f>
        <v>0</v>
      </c>
    </row>
    <row r="79" spans="1:12" s="54" customFormat="1" ht="12.2" customHeight="1" thickBot="1" x14ac:dyDescent="0.25">
      <c r="A79" s="1005" t="s">
        <v>219</v>
      </c>
      <c r="B79" s="59" t="s">
        <v>370</v>
      </c>
      <c r="C79" s="402">
        <f>'27._önkorm_önként'!C78+'28._Int össz_önk'!C45</f>
        <v>0</v>
      </c>
      <c r="D79" s="326">
        <f>'27._önkorm_önként'!D78+'28._Int össz_önk'!D45</f>
        <v>297434</v>
      </c>
      <c r="E79" s="573">
        <f>'27._önkorm_önként'!E78+'28._Int össz_önk'!E45</f>
        <v>297434</v>
      </c>
      <c r="F79" s="573">
        <f>'27._önkorm_önként'!F78+'28._Int össz_önk'!F45</f>
        <v>0</v>
      </c>
      <c r="G79" s="573">
        <f>'27._önkorm_önként'!G78+'28._Int össz_önk'!G45</f>
        <v>0</v>
      </c>
      <c r="H79" s="328">
        <f t="shared" si="30"/>
        <v>0</v>
      </c>
      <c r="I79" s="666">
        <f>'27._önkorm_önként'!I78+'28._Int össz_önk'!I45</f>
        <v>0</v>
      </c>
      <c r="J79" s="328">
        <f>'27._önkorm_önként'!J78+'28._Int össz_önk'!J45</f>
        <v>0</v>
      </c>
      <c r="K79" s="328">
        <f>'27._önkorm_önként'!K78+'28._Int össz_önk'!K45</f>
        <v>0</v>
      </c>
      <c r="L79" s="328">
        <f>'27._önkorm_önként'!L78+'28._Int össz_önk'!L45</f>
        <v>0</v>
      </c>
    </row>
    <row r="80" spans="1:12" s="26" customFormat="1" ht="12.2" customHeight="1" thickBot="1" x14ac:dyDescent="0.25">
      <c r="A80" s="63" t="s">
        <v>23</v>
      </c>
      <c r="B80" s="347" t="s">
        <v>613</v>
      </c>
      <c r="C80" s="113">
        <f>SUM(C81:C83)</f>
        <v>0</v>
      </c>
      <c r="D80" s="186">
        <f t="shared" ref="D80:K80" si="32">SUM(D81:D83)</f>
        <v>0</v>
      </c>
      <c r="E80" s="566">
        <f t="shared" si="32"/>
        <v>0</v>
      </c>
      <c r="F80" s="566">
        <f t="shared" si="32"/>
        <v>0</v>
      </c>
      <c r="G80" s="566">
        <f t="shared" si="32"/>
        <v>0</v>
      </c>
      <c r="H80" s="28">
        <f t="shared" si="30"/>
        <v>0</v>
      </c>
      <c r="I80" s="628">
        <f t="shared" si="32"/>
        <v>0</v>
      </c>
      <c r="J80" s="28">
        <f t="shared" si="32"/>
        <v>0</v>
      </c>
      <c r="K80" s="28">
        <f t="shared" si="32"/>
        <v>0</v>
      </c>
      <c r="L80" s="28">
        <f t="shared" ref="L80" si="33">SUM(L81:L83)</f>
        <v>0</v>
      </c>
    </row>
    <row r="81" spans="1:12" s="54" customFormat="1" ht="12.2" customHeight="1" x14ac:dyDescent="0.2">
      <c r="A81" s="12" t="s">
        <v>220</v>
      </c>
      <c r="B81" s="716" t="s">
        <v>303</v>
      </c>
      <c r="C81" s="402">
        <f>'27._önkorm_önként'!C80</f>
        <v>0</v>
      </c>
      <c r="D81" s="326">
        <f>'27._önkorm_önként'!D80</f>
        <v>0</v>
      </c>
      <c r="E81" s="573">
        <f>'27._önkorm_önként'!E80</f>
        <v>0</v>
      </c>
      <c r="F81" s="573">
        <f>'27._önkorm_önként'!F80</f>
        <v>0</v>
      </c>
      <c r="G81" s="573">
        <f>'27._önkorm_önként'!G80</f>
        <v>0</v>
      </c>
      <c r="H81" s="328">
        <f t="shared" si="30"/>
        <v>0</v>
      </c>
      <c r="I81" s="666">
        <f>'27._önkorm_önként'!I80</f>
        <v>0</v>
      </c>
      <c r="J81" s="328">
        <f>'27._önkorm_önként'!J80</f>
        <v>0</v>
      </c>
      <c r="K81" s="328">
        <f>'27._önkorm_önként'!K80</f>
        <v>0</v>
      </c>
      <c r="L81" s="328">
        <f>'27._önkorm_önként'!L80</f>
        <v>0</v>
      </c>
    </row>
    <row r="82" spans="1:12" s="54" customFormat="1" ht="12.2" customHeight="1" x14ac:dyDescent="0.2">
      <c r="A82" s="1003" t="s">
        <v>221</v>
      </c>
      <c r="B82" s="717" t="s">
        <v>304</v>
      </c>
      <c r="C82" s="402">
        <f>'27._önkorm_önként'!C81</f>
        <v>0</v>
      </c>
      <c r="D82" s="326">
        <f>'27._önkorm_önként'!D81</f>
        <v>0</v>
      </c>
      <c r="E82" s="573">
        <f>'27._önkorm_önként'!E81</f>
        <v>0</v>
      </c>
      <c r="F82" s="573">
        <f>'27._önkorm_önként'!F81</f>
        <v>0</v>
      </c>
      <c r="G82" s="573">
        <f>'27._önkorm_önként'!G81</f>
        <v>0</v>
      </c>
      <c r="H82" s="328">
        <f t="shared" si="30"/>
        <v>0</v>
      </c>
      <c r="I82" s="666">
        <f>'27._önkorm_önként'!I81</f>
        <v>0</v>
      </c>
      <c r="J82" s="328">
        <f>'27._önkorm_önként'!J81</f>
        <v>0</v>
      </c>
      <c r="K82" s="328">
        <f>'27._önkorm_önként'!K81</f>
        <v>0</v>
      </c>
      <c r="L82" s="328">
        <f>'27._önkorm_önként'!L81</f>
        <v>0</v>
      </c>
    </row>
    <row r="83" spans="1:12" s="54" customFormat="1" ht="12.2" customHeight="1" thickBot="1" x14ac:dyDescent="0.25">
      <c r="A83" s="1005" t="s">
        <v>325</v>
      </c>
      <c r="B83" s="496" t="s">
        <v>378</v>
      </c>
      <c r="C83" s="402">
        <f>'27._önkorm_önként'!C82</f>
        <v>0</v>
      </c>
      <c r="D83" s="326">
        <f>'27._önkorm_önként'!D82</f>
        <v>0</v>
      </c>
      <c r="E83" s="573">
        <f>'27._önkorm_önként'!E82</f>
        <v>0</v>
      </c>
      <c r="F83" s="573">
        <f>'27._önkorm_önként'!F82</f>
        <v>0</v>
      </c>
      <c r="G83" s="573">
        <f>'27._önkorm_önként'!G82</f>
        <v>0</v>
      </c>
      <c r="H83" s="328">
        <f t="shared" si="30"/>
        <v>0</v>
      </c>
      <c r="I83" s="666">
        <f>'27._önkorm_önként'!I82</f>
        <v>0</v>
      </c>
      <c r="J83" s="328">
        <f>'27._önkorm_önként'!J82</f>
        <v>0</v>
      </c>
      <c r="K83" s="328">
        <f>'27._önkorm_önként'!K82</f>
        <v>0</v>
      </c>
      <c r="L83" s="328">
        <f>'27._önkorm_önként'!L82</f>
        <v>0</v>
      </c>
    </row>
    <row r="84" spans="1:12" s="26" customFormat="1" ht="12.2" customHeight="1" thickBot="1" x14ac:dyDescent="0.25">
      <c r="A84" s="63" t="s">
        <v>24</v>
      </c>
      <c r="B84" s="347" t="s">
        <v>614</v>
      </c>
      <c r="C84" s="1023">
        <f>+C69+C73+C77+C80</f>
        <v>3550090</v>
      </c>
      <c r="D84" s="187">
        <f t="shared" ref="D84:K84" si="34">+D69+D73+D77+D80</f>
        <v>233526890</v>
      </c>
      <c r="E84" s="532">
        <f t="shared" si="34"/>
        <v>233526890</v>
      </c>
      <c r="F84" s="532">
        <f t="shared" si="34"/>
        <v>0</v>
      </c>
      <c r="G84" s="532">
        <f t="shared" si="34"/>
        <v>0</v>
      </c>
      <c r="H84" s="74">
        <f t="shared" si="30"/>
        <v>0</v>
      </c>
      <c r="I84" s="638">
        <f t="shared" si="34"/>
        <v>0</v>
      </c>
      <c r="J84" s="74">
        <f t="shared" si="34"/>
        <v>0</v>
      </c>
      <c r="K84" s="74">
        <f t="shared" si="34"/>
        <v>0</v>
      </c>
      <c r="L84" s="74">
        <f t="shared" ref="L84" si="35">+L69+L73+L77+L80</f>
        <v>0</v>
      </c>
    </row>
    <row r="85" spans="1:12" s="563" customFormat="1" ht="12.2" customHeight="1" thickBot="1" x14ac:dyDescent="0.25">
      <c r="A85" s="80" t="s">
        <v>25</v>
      </c>
      <c r="B85" s="561" t="s">
        <v>635</v>
      </c>
      <c r="C85" s="1023">
        <f>+C68+C84</f>
        <v>3616788761</v>
      </c>
      <c r="D85" s="187">
        <f t="shared" ref="D85:K85" si="36">+D68+D84</f>
        <v>3639068053</v>
      </c>
      <c r="E85" s="532">
        <f t="shared" si="36"/>
        <v>4031979909</v>
      </c>
      <c r="F85" s="532">
        <f t="shared" si="36"/>
        <v>5018250</v>
      </c>
      <c r="G85" s="532">
        <f t="shared" si="36"/>
        <v>5018250</v>
      </c>
      <c r="H85" s="74">
        <f>+E85-D85</f>
        <v>392911856</v>
      </c>
      <c r="I85" s="638">
        <f t="shared" si="36"/>
        <v>0</v>
      </c>
      <c r="J85" s="74">
        <f t="shared" si="36"/>
        <v>0</v>
      </c>
      <c r="K85" s="74">
        <f t="shared" si="36"/>
        <v>0</v>
      </c>
      <c r="L85" s="74">
        <f t="shared" ref="L85" si="37">+L68+L84</f>
        <v>0</v>
      </c>
    </row>
    <row r="86" spans="1:12" s="54" customFormat="1" ht="15" customHeight="1" x14ac:dyDescent="0.2">
      <c r="A86" s="64"/>
      <c r="B86" s="65"/>
      <c r="C86" s="66">
        <f>+C85-'26._önként_össz_kiad'!C55</f>
        <v>0</v>
      </c>
      <c r="D86" s="66"/>
      <c r="E86" s="66"/>
      <c r="F86" s="66"/>
      <c r="G86" s="66"/>
      <c r="H86" s="66"/>
      <c r="I86" s="66"/>
      <c r="J86" s="66"/>
      <c r="K86" s="66"/>
      <c r="L86" s="66"/>
    </row>
  </sheetData>
  <sheetProtection formatCells="0"/>
  <mergeCells count="6">
    <mergeCell ref="A7:H7"/>
    <mergeCell ref="A9:H9"/>
    <mergeCell ref="A1:H1"/>
    <mergeCell ref="A2:H2"/>
    <mergeCell ref="A5:H5"/>
    <mergeCell ref="A6:H6"/>
  </mergeCells>
  <printOptions horizontalCentered="1"/>
  <pageMargins left="0.39370078740157483" right="0.39370078740157483" top="0.59055118110236227" bottom="0.19685039370078741" header="0.78740157480314965" footer="0.78740157480314965"/>
  <pageSetup paperSize="9" scale="84" orientation="portrait" r:id="rId1"/>
  <headerFooter alignWithMargins="0"/>
  <rowBreaks count="1" manualBreakCount="1">
    <brk id="6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9"/>
  <sheetViews>
    <sheetView view="pageBreakPreview" topLeftCell="A13" zoomScale="106" zoomScaleNormal="115" zoomScaleSheetLayoutView="106" workbookViewId="0">
      <selection activeCell="J21" sqref="J21"/>
    </sheetView>
  </sheetViews>
  <sheetFormatPr defaultColWidth="9.33203125" defaultRowHeight="12.75" x14ac:dyDescent="0.2"/>
  <cols>
    <col min="1" max="1" width="6.83203125" style="403" customWidth="1"/>
    <col min="2" max="2" width="51.33203125" style="19" customWidth="1"/>
    <col min="3" max="3" width="15.83203125" style="18" customWidth="1"/>
    <col min="4" max="4" width="15.83203125" style="18" hidden="1" customWidth="1"/>
    <col min="5" max="5" width="15.83203125" style="18" customWidth="1"/>
    <col min="6" max="6" width="16" style="18" customWidth="1"/>
    <col min="7" max="7" width="18.33203125" style="18" hidden="1" customWidth="1"/>
    <col min="8" max="8" width="16" style="18" hidden="1" customWidth="1"/>
    <col min="9" max="9" width="0.33203125" style="18" hidden="1" customWidth="1"/>
    <col min="10" max="10" width="16.6640625" style="18" customWidth="1"/>
    <col min="11" max="11" width="0.33203125" style="18" hidden="1" customWidth="1"/>
    <col min="12" max="12" width="11" style="150" customWidth="1"/>
    <col min="13" max="13" width="54.33203125" style="18" customWidth="1"/>
    <col min="14" max="14" width="15.83203125" style="18" customWidth="1"/>
    <col min="15" max="15" width="16.5" style="18" hidden="1" customWidth="1"/>
    <col min="16" max="16" width="17" style="18" customWidth="1"/>
    <col min="17" max="17" width="15.83203125" style="18" customWidth="1"/>
    <col min="18" max="18" width="18.33203125" style="18" hidden="1" customWidth="1"/>
    <col min="19" max="19" width="16" style="18" hidden="1" customWidth="1"/>
    <col min="20" max="20" width="18.33203125" style="18" hidden="1" customWidth="1"/>
    <col min="21" max="21" width="16.1640625" style="18" customWidth="1"/>
    <col min="22" max="22" width="0.5" style="18" hidden="1" customWidth="1"/>
    <col min="23" max="23" width="10.5" style="150" customWidth="1"/>
    <col min="24" max="24" width="1" style="150" customWidth="1"/>
    <col min="25" max="25" width="3.83203125" style="18" customWidth="1"/>
    <col min="26" max="16384" width="9.33203125" style="18"/>
  </cols>
  <sheetData>
    <row r="1" spans="1:27" ht="35.1" customHeight="1" x14ac:dyDescent="0.2">
      <c r="A1" s="1787" t="s">
        <v>245</v>
      </c>
      <c r="B1" s="1787"/>
      <c r="C1" s="1787"/>
      <c r="D1" s="1787"/>
      <c r="E1" s="1787"/>
      <c r="F1" s="1787"/>
      <c r="G1" s="1787"/>
      <c r="H1" s="1787"/>
      <c r="I1" s="1787"/>
      <c r="J1" s="1787"/>
      <c r="K1" s="1787"/>
      <c r="L1" s="1787"/>
      <c r="M1" s="1787"/>
      <c r="N1" s="1787"/>
      <c r="O1" s="1787"/>
      <c r="P1" s="1787"/>
      <c r="Q1" s="1787"/>
      <c r="R1" s="1787"/>
      <c r="S1" s="1787"/>
      <c r="T1" s="1787"/>
      <c r="U1" s="1787"/>
      <c r="V1" s="1787"/>
      <c r="W1" s="1787"/>
      <c r="X1" s="148"/>
      <c r="Y1" s="1784" t="s">
        <v>814</v>
      </c>
    </row>
    <row r="2" spans="1:27" ht="15" customHeight="1" x14ac:dyDescent="0.2">
      <c r="B2" s="86"/>
      <c r="C2" s="87"/>
      <c r="D2" s="87"/>
      <c r="E2" s="87"/>
      <c r="F2" s="87"/>
      <c r="G2" s="87"/>
      <c r="H2" s="87"/>
      <c r="I2" s="87"/>
      <c r="J2" s="87"/>
      <c r="K2" s="87"/>
      <c r="L2" s="148"/>
      <c r="M2" s="87"/>
      <c r="N2" s="87"/>
      <c r="O2" s="87"/>
      <c r="P2" s="87"/>
      <c r="Q2" s="87"/>
      <c r="R2" s="87"/>
      <c r="S2" s="87"/>
      <c r="T2" s="87"/>
      <c r="U2" s="87"/>
      <c r="V2" s="87"/>
      <c r="W2" s="148"/>
      <c r="X2" s="148"/>
      <c r="Y2" s="1784"/>
    </row>
    <row r="3" spans="1:27" ht="15" customHeight="1" thickBot="1" x14ac:dyDescent="0.25">
      <c r="A3" s="1780" t="s">
        <v>362</v>
      </c>
      <c r="B3" s="1780"/>
      <c r="C3" s="1780"/>
      <c r="D3" s="1780"/>
      <c r="E3" s="1780"/>
      <c r="F3" s="1780"/>
      <c r="G3" s="1780"/>
      <c r="H3" s="1780"/>
      <c r="I3" s="1780"/>
      <c r="J3" s="1780"/>
      <c r="K3" s="1780"/>
      <c r="L3" s="1780"/>
      <c r="M3" s="1780"/>
      <c r="N3" s="1780"/>
      <c r="O3" s="1780"/>
      <c r="P3" s="1780"/>
      <c r="Q3" s="1780"/>
      <c r="R3" s="1780"/>
      <c r="S3" s="1780"/>
      <c r="T3" s="1780"/>
      <c r="U3" s="1780"/>
      <c r="V3" s="1780"/>
      <c r="W3" s="1780"/>
      <c r="X3" s="995"/>
      <c r="Y3" s="1784"/>
    </row>
    <row r="4" spans="1:27" s="1131" customFormat="1" ht="21.2" customHeight="1" thickBot="1" x14ac:dyDescent="0.25">
      <c r="A4" s="1785" t="s">
        <v>120</v>
      </c>
      <c r="B4" s="1781" t="s">
        <v>37</v>
      </c>
      <c r="C4" s="1782"/>
      <c r="D4" s="1782"/>
      <c r="E4" s="1782"/>
      <c r="F4" s="1782"/>
      <c r="G4" s="1782"/>
      <c r="H4" s="1782"/>
      <c r="I4" s="1782"/>
      <c r="J4" s="1782"/>
      <c r="K4" s="1782"/>
      <c r="L4" s="1783"/>
      <c r="M4" s="1781" t="s">
        <v>38</v>
      </c>
      <c r="N4" s="1782"/>
      <c r="O4" s="1782"/>
      <c r="P4" s="1782"/>
      <c r="Q4" s="1782"/>
      <c r="R4" s="1782"/>
      <c r="S4" s="1782"/>
      <c r="T4" s="1782"/>
      <c r="U4" s="1782"/>
      <c r="V4" s="1782"/>
      <c r="W4" s="1783"/>
      <c r="X4" s="996"/>
      <c r="Y4" s="1784"/>
    </row>
    <row r="5" spans="1:27" s="93" customFormat="1" ht="53.45" customHeight="1" thickBot="1" x14ac:dyDescent="0.25">
      <c r="A5" s="1786"/>
      <c r="B5" s="20" t="s">
        <v>84</v>
      </c>
      <c r="C5" s="21" t="str">
        <f>'1. mell.bevétel_össz'!C8</f>
        <v>2023. évi eredeti előirányzat
2/2023. (II.14.)</v>
      </c>
      <c r="D5" s="21" t="str">
        <f>'1. mell.bevétel_össz'!D8</f>
        <v>Módosított előirányzat a 14/2023.  (VI.29.)  rendelet szerint</v>
      </c>
      <c r="E5" s="21" t="str">
        <f>'1. mell.bevétel_össz'!E8</f>
        <v>Módosított előirányzat a 18/2023. (IX.26.)  rendelet szerint</v>
      </c>
      <c r="F5" s="21" t="str">
        <f>'1. mell.bevétel_össz'!F8</f>
        <v>Módosított előirányzat 2023.09.30-án</v>
      </c>
      <c r="G5" s="21" t="str">
        <f>'1. mell.bevétel_össz'!G8</f>
        <v>Módosított előirányzat a …../2023. (II…..)  rendelet szerint</v>
      </c>
      <c r="H5" s="32" t="str">
        <f>'1. mell.bevétel_össz'!H8</f>
        <v>Változás a 14/2023. (VI.29.) rendelethez képest</v>
      </c>
      <c r="I5" s="166" t="str">
        <f>'1. mell.bevétel_össz'!I8</f>
        <v>2023. évi teljesítés              2023.06.30-ig</v>
      </c>
      <c r="J5" s="21" t="str">
        <f>'1. mell.bevétel_össz'!J8</f>
        <v>2023. évi teljesítés              2023.09.30-ig</v>
      </c>
      <c r="K5" s="21" t="str">
        <f>'1. mell.bevétel_össz'!K8</f>
        <v>2023. évi teljesítés              2023.12.31-ig</v>
      </c>
      <c r="L5" s="149" t="str">
        <f>'1. mell.bevétel_össz'!L8</f>
        <v>Teljesítés %-a</v>
      </c>
      <c r="M5" s="166" t="s">
        <v>84</v>
      </c>
      <c r="N5" s="21" t="str">
        <f>'1. mell.bevétel_össz'!C8</f>
        <v>2023. évi eredeti előirányzat
2/2023. (II.14.)</v>
      </c>
      <c r="O5" s="166" t="str">
        <f>'1. mell.bevétel_össz'!D8</f>
        <v>Módosított előirányzat a 14/2023.  (VI.29.)  rendelet szerint</v>
      </c>
      <c r="P5" s="21" t="str">
        <f>'1. mell.bevétel_össz'!E8</f>
        <v>Módosított előirányzat a 18/2023. (IX.26.)  rendelet szerint</v>
      </c>
      <c r="Q5" s="21" t="str">
        <f>'1. mell.bevétel_össz'!F8</f>
        <v>Módosított előirányzat 2023.09.30-án</v>
      </c>
      <c r="R5" s="32" t="str">
        <f>'1. mell.bevétel_össz'!G8</f>
        <v>Módosított előirányzat a …../2023. (II…..)  rendelet szerint</v>
      </c>
      <c r="S5" s="1183" t="str">
        <f>'1. mell.bevétel_össz'!H8</f>
        <v>Változás a 14/2023. (VI.29.) rendelethez képest</v>
      </c>
      <c r="T5" s="166" t="str">
        <f>'1. mell.bevétel_össz'!I8</f>
        <v>2023. évi teljesítés              2023.06.30-ig</v>
      </c>
      <c r="U5" s="21" t="str">
        <f>'1. mell.bevétel_össz'!J8</f>
        <v>2023. évi teljesítés              2023.09.30-ig</v>
      </c>
      <c r="V5" s="21" t="str">
        <f>'1. mell.bevétel_össz'!K8</f>
        <v>2023. évi teljesítés              2023.12.31-ig</v>
      </c>
      <c r="W5" s="149" t="str">
        <f>'1. mell.bevétel_össz'!L8</f>
        <v>Teljesítés %-a</v>
      </c>
      <c r="X5" s="997"/>
      <c r="Y5" s="1784"/>
    </row>
    <row r="6" spans="1:27" s="1133" customFormat="1" ht="17.100000000000001" customHeight="1" thickBot="1" x14ac:dyDescent="0.25">
      <c r="A6" s="1413" t="s">
        <v>297</v>
      </c>
      <c r="B6" s="641" t="s">
        <v>298</v>
      </c>
      <c r="C6" s="642" t="s">
        <v>299</v>
      </c>
      <c r="D6" s="642" t="s">
        <v>300</v>
      </c>
      <c r="E6" s="642" t="s">
        <v>300</v>
      </c>
      <c r="F6" s="642" t="s">
        <v>301</v>
      </c>
      <c r="G6" s="642" t="s">
        <v>301</v>
      </c>
      <c r="H6" s="1189" t="s">
        <v>388</v>
      </c>
      <c r="I6" s="1190" t="s">
        <v>299</v>
      </c>
      <c r="J6" s="1191" t="s">
        <v>388</v>
      </c>
      <c r="K6" s="1191" t="s">
        <v>299</v>
      </c>
      <c r="L6" s="1192" t="s">
        <v>424</v>
      </c>
      <c r="M6" s="1194" t="s">
        <v>735</v>
      </c>
      <c r="N6" s="1193" t="s">
        <v>383</v>
      </c>
      <c r="O6" s="1194" t="s">
        <v>383</v>
      </c>
      <c r="P6" s="1191" t="s">
        <v>389</v>
      </c>
      <c r="Q6" s="1191" t="s">
        <v>775</v>
      </c>
      <c r="R6" s="1191" t="s">
        <v>389</v>
      </c>
      <c r="S6" s="1195" t="s">
        <v>775</v>
      </c>
      <c r="T6" s="1194" t="s">
        <v>301</v>
      </c>
      <c r="U6" s="1191" t="s">
        <v>833</v>
      </c>
      <c r="V6" s="1191" t="s">
        <v>301</v>
      </c>
      <c r="W6" s="1192" t="s">
        <v>834</v>
      </c>
      <c r="X6" s="1196"/>
      <c r="Y6" s="1784"/>
    </row>
    <row r="7" spans="1:27" s="1131" customFormat="1" ht="17.100000000000001" customHeight="1" x14ac:dyDescent="0.2">
      <c r="A7" s="404" t="s">
        <v>12</v>
      </c>
      <c r="B7" s="1197" t="s">
        <v>246</v>
      </c>
      <c r="C7" s="1198">
        <f>'1. mell.bevétel_össz'!C10</f>
        <v>2496155970</v>
      </c>
      <c r="D7" s="1198">
        <f>'1. mell.bevétel_össz'!D10</f>
        <v>2718887746</v>
      </c>
      <c r="E7" s="1198">
        <f>'1. mell.bevétel_össz'!E10</f>
        <v>2779489080</v>
      </c>
      <c r="F7" s="1198">
        <f>'1. mell.bevétel_össz'!F10</f>
        <v>2788165792</v>
      </c>
      <c r="G7" s="1198">
        <f>'1. mell.bevétel_össz'!G10</f>
        <v>0</v>
      </c>
      <c r="H7" s="1199">
        <f>+E7-D7</f>
        <v>60601334</v>
      </c>
      <c r="I7" s="1200">
        <f>'1. mell.bevétel_össz'!I10</f>
        <v>0</v>
      </c>
      <c r="J7" s="1198">
        <f>'1. mell.bevétel_össz'!J10</f>
        <v>2186945509</v>
      </c>
      <c r="K7" s="1198">
        <f>'1. mell.bevétel_össz'!K10</f>
        <v>0</v>
      </c>
      <c r="L7" s="1201">
        <f>IF(F7=0,"",J7/F7*100)</f>
        <v>78.436709727769312</v>
      </c>
      <c r="M7" s="1754" t="s">
        <v>7</v>
      </c>
      <c r="N7" s="1203">
        <f>'1.mell.kiadás_össz'!C11</f>
        <v>3204199451</v>
      </c>
      <c r="O7" s="1200">
        <f>'1.mell.kiadás_össz'!D11</f>
        <v>3242475650</v>
      </c>
      <c r="P7" s="1198">
        <f>'1.mell.kiadás_össz'!E11</f>
        <v>3765359520</v>
      </c>
      <c r="Q7" s="1198">
        <f>'1.mell.kiadás_össz'!F11</f>
        <v>3765359520</v>
      </c>
      <c r="R7" s="1199">
        <f>'1.mell.kiadás_össz'!G11</f>
        <v>0</v>
      </c>
      <c r="S7" s="1204">
        <f>+P7-O7</f>
        <v>522883870</v>
      </c>
      <c r="T7" s="1200">
        <f>'1.mell.kiadás_össz'!I11</f>
        <v>0</v>
      </c>
      <c r="U7" s="1198">
        <f>'1.mell.kiadás_össz'!J11</f>
        <v>2594134992</v>
      </c>
      <c r="V7" s="1198">
        <f>'1.mell.kiadás_össz'!K11</f>
        <v>0</v>
      </c>
      <c r="W7" s="1201">
        <f>IF(Q7=0,"",U7/Q7*100)</f>
        <v>68.894749046433688</v>
      </c>
      <c r="X7" s="1205"/>
      <c r="Y7" s="1784"/>
    </row>
    <row r="8" spans="1:27" s="1131" customFormat="1" ht="15.95" customHeight="1" x14ac:dyDescent="0.2">
      <c r="A8" s="405" t="s">
        <v>13</v>
      </c>
      <c r="B8" s="1206" t="s">
        <v>631</v>
      </c>
      <c r="C8" s="1207">
        <f>'1. mell.bevétel_össz'!C18</f>
        <v>1301228875</v>
      </c>
      <c r="D8" s="1207">
        <f>'1. mell.bevétel_össz'!D18</f>
        <v>1506861414</v>
      </c>
      <c r="E8" s="1207">
        <f>'1. mell.bevétel_össz'!E18</f>
        <v>1563907396</v>
      </c>
      <c r="F8" s="1207">
        <f>'1. mell.bevétel_össz'!F18</f>
        <v>1572584108</v>
      </c>
      <c r="G8" s="1207">
        <f>'1. mell.bevétel_össz'!G18</f>
        <v>0</v>
      </c>
      <c r="H8" s="1208">
        <f t="shared" ref="H8:H30" si="0">+E8-D8</f>
        <v>57045982</v>
      </c>
      <c r="I8" s="1209">
        <f>'1. mell.bevétel_össz'!I18</f>
        <v>0</v>
      </c>
      <c r="J8" s="1207">
        <f>'1. mell.bevétel_össz'!J18</f>
        <v>1210727895</v>
      </c>
      <c r="K8" s="1207">
        <f>'1. mell.bevétel_össz'!K18</f>
        <v>0</v>
      </c>
      <c r="L8" s="1210">
        <f t="shared" ref="L8:L30" si="1">IF(F8=0,"",J8/F8*100)</f>
        <v>76.989706867875839</v>
      </c>
      <c r="M8" s="1755" t="s">
        <v>87</v>
      </c>
      <c r="N8" s="1198">
        <f>'1.mell.kiadás_össz'!C13</f>
        <v>481020970</v>
      </c>
      <c r="O8" s="1200">
        <f>'1.mell.kiadás_össz'!D13</f>
        <v>490904741</v>
      </c>
      <c r="P8" s="1198">
        <f>'1.mell.kiadás_össz'!E13</f>
        <v>574762939</v>
      </c>
      <c r="Q8" s="1198">
        <f>'1.mell.kiadás_össz'!F13</f>
        <v>574762939</v>
      </c>
      <c r="R8" s="1199">
        <f>'1.mell.kiadás_össz'!G13</f>
        <v>0</v>
      </c>
      <c r="S8" s="1204">
        <f t="shared" ref="S8:S32" si="2">+P8-O8</f>
        <v>83858198</v>
      </c>
      <c r="T8" s="1200">
        <f>'1.mell.kiadás_össz'!I13</f>
        <v>0</v>
      </c>
      <c r="U8" s="1198">
        <f>'1.mell.kiadás_össz'!J13</f>
        <v>390683655</v>
      </c>
      <c r="V8" s="1198">
        <f>'1.mell.kiadás_össz'!K13</f>
        <v>0</v>
      </c>
      <c r="W8" s="1201">
        <f t="shared" ref="W8:W30" si="3">IF(Q8=0,"",U8/Q8*100)</f>
        <v>67.973007389747522</v>
      </c>
      <c r="X8" s="1205"/>
      <c r="Y8" s="1784"/>
    </row>
    <row r="9" spans="1:27" s="1131" customFormat="1" ht="17.100000000000001" customHeight="1" x14ac:dyDescent="0.2">
      <c r="A9" s="406" t="s">
        <v>94</v>
      </c>
      <c r="B9" s="1206" t="s">
        <v>338</v>
      </c>
      <c r="C9" s="1207">
        <f>'1. mell.bevétel_össz'!C23</f>
        <v>0</v>
      </c>
      <c r="D9" s="1207">
        <f>'1. mell.bevétel_össz'!D23</f>
        <v>16489854</v>
      </c>
      <c r="E9" s="1207">
        <f>'1. mell.bevétel_össz'!E23</f>
        <v>16489854</v>
      </c>
      <c r="F9" s="1207">
        <f>'1. mell.bevétel_össz'!F23</f>
        <v>16489854</v>
      </c>
      <c r="G9" s="1207">
        <f>'1. mell.bevétel_össz'!G23</f>
        <v>0</v>
      </c>
      <c r="H9" s="1208">
        <f t="shared" si="0"/>
        <v>0</v>
      </c>
      <c r="I9" s="1209">
        <f>'1. mell.bevétel_össz'!I23</f>
        <v>0</v>
      </c>
      <c r="J9" s="1207">
        <f>'1. mell.bevétel_össz'!J23</f>
        <v>16489854</v>
      </c>
      <c r="K9" s="1207">
        <f>'1. mell.bevétel_össz'!K23</f>
        <v>0</v>
      </c>
      <c r="L9" s="1210">
        <f t="shared" si="1"/>
        <v>100</v>
      </c>
      <c r="M9" s="1755" t="s">
        <v>121</v>
      </c>
      <c r="N9" s="1198">
        <f>'1.mell.kiadás_össz'!C14</f>
        <v>2153299538</v>
      </c>
      <c r="O9" s="1200">
        <f>'1.mell.kiadás_össz'!D14</f>
        <v>2295578790</v>
      </c>
      <c r="P9" s="1198">
        <f>'1.mell.kiadás_össz'!E14</f>
        <v>2410480447</v>
      </c>
      <c r="Q9" s="1198">
        <f>'1.mell.kiadás_össz'!F14</f>
        <v>2410480447</v>
      </c>
      <c r="R9" s="1199">
        <f>'1.mell.kiadás_össz'!G14</f>
        <v>0</v>
      </c>
      <c r="S9" s="1204">
        <f t="shared" si="2"/>
        <v>114901657</v>
      </c>
      <c r="T9" s="1200">
        <f>'1.mell.kiadás_össz'!I14</f>
        <v>0</v>
      </c>
      <c r="U9" s="1198">
        <f>'1.mell.kiadás_össz'!J14</f>
        <v>1572060867</v>
      </c>
      <c r="V9" s="1198">
        <f>'1.mell.kiadás_össz'!K14</f>
        <v>0</v>
      </c>
      <c r="W9" s="1201">
        <f t="shared" si="3"/>
        <v>65.217739847528406</v>
      </c>
      <c r="X9" s="1205"/>
      <c r="Y9" s="1784"/>
    </row>
    <row r="10" spans="1:27" s="1131" customFormat="1" ht="17.100000000000001" customHeight="1" x14ac:dyDescent="0.2">
      <c r="A10" s="406" t="s">
        <v>14</v>
      </c>
      <c r="B10" s="1197" t="s">
        <v>83</v>
      </c>
      <c r="C10" s="1207">
        <f>'1. mell.bevétel_össz'!C30</f>
        <v>3877000000</v>
      </c>
      <c r="D10" s="1207">
        <f>'1. mell.bevétel_össz'!D30</f>
        <v>3877000000</v>
      </c>
      <c r="E10" s="1207">
        <f>'1. mell.bevétel_össz'!E30</f>
        <v>5377000000</v>
      </c>
      <c r="F10" s="1207">
        <f>'1. mell.bevétel_össz'!F30</f>
        <v>5377000000</v>
      </c>
      <c r="G10" s="1207">
        <f>'1. mell.bevétel_össz'!G30</f>
        <v>0</v>
      </c>
      <c r="H10" s="1208">
        <f t="shared" si="0"/>
        <v>1500000000</v>
      </c>
      <c r="I10" s="1209">
        <f>'1. mell.bevétel_össz'!I30</f>
        <v>0</v>
      </c>
      <c r="J10" s="1207">
        <f>'1. mell.bevétel_össz'!J30</f>
        <v>5896649464</v>
      </c>
      <c r="K10" s="1207">
        <f>'1. mell.bevétel_össz'!K30</f>
        <v>0</v>
      </c>
      <c r="L10" s="1210">
        <f t="shared" si="1"/>
        <v>109.66430098567974</v>
      </c>
      <c r="M10" s="1755" t="s">
        <v>80</v>
      </c>
      <c r="N10" s="1198">
        <f>'1.mell.kiadás_össz'!C15</f>
        <v>270328000</v>
      </c>
      <c r="O10" s="1200">
        <f>'1.mell.kiadás_össz'!D15</f>
        <v>270328000</v>
      </c>
      <c r="P10" s="1198">
        <f>'1.mell.kiadás_össz'!E15</f>
        <v>270328000</v>
      </c>
      <c r="Q10" s="1198">
        <f>'1.mell.kiadás_össz'!F15</f>
        <v>270328000</v>
      </c>
      <c r="R10" s="1199">
        <f>'1.mell.kiadás_össz'!G15</f>
        <v>0</v>
      </c>
      <c r="S10" s="1204">
        <f t="shared" si="2"/>
        <v>0</v>
      </c>
      <c r="T10" s="1200">
        <f>'1.mell.kiadás_össz'!I15</f>
        <v>0</v>
      </c>
      <c r="U10" s="1198">
        <f>'1.mell.kiadás_össz'!J15</f>
        <v>122133216</v>
      </c>
      <c r="V10" s="1198">
        <f>'1.mell.kiadás_össz'!K15</f>
        <v>0</v>
      </c>
      <c r="W10" s="1201">
        <f t="shared" si="3"/>
        <v>45.179639548992334</v>
      </c>
      <c r="X10" s="1205"/>
      <c r="Y10" s="1784"/>
    </row>
    <row r="11" spans="1:27" s="1131" customFormat="1" ht="17.100000000000001" customHeight="1" x14ac:dyDescent="0.2">
      <c r="A11" s="406" t="s">
        <v>15</v>
      </c>
      <c r="B11" s="1197" t="s">
        <v>170</v>
      </c>
      <c r="C11" s="1207">
        <f>'1. mell.bevétel_össz'!C58</f>
        <v>5518250</v>
      </c>
      <c r="D11" s="1207">
        <f>'1. mell.bevétel_össz'!D58</f>
        <v>5568250</v>
      </c>
      <c r="E11" s="1207">
        <f>'1. mell.bevétel_össz'!E58</f>
        <v>4126263</v>
      </c>
      <c r="F11" s="1207">
        <f>'1. mell.bevétel_össz'!F58</f>
        <v>4126263</v>
      </c>
      <c r="G11" s="1207">
        <f>'1. mell.bevétel_össz'!G58</f>
        <v>576263</v>
      </c>
      <c r="H11" s="1208">
        <f t="shared" si="0"/>
        <v>-1441987</v>
      </c>
      <c r="I11" s="1209">
        <f>'1. mell.bevétel_össz'!I58</f>
        <v>576263</v>
      </c>
      <c r="J11" s="1207">
        <f>'1. mell.bevétel_össz'!J58</f>
        <v>17262576</v>
      </c>
      <c r="K11" s="1207">
        <f>'1. mell.bevétel_össz'!K58</f>
        <v>0</v>
      </c>
      <c r="L11" s="1210">
        <f t="shared" si="1"/>
        <v>418.35859711317482</v>
      </c>
      <c r="M11" s="1755" t="s">
        <v>88</v>
      </c>
      <c r="N11" s="1198">
        <f>'1.mell.kiadás_össz'!C16</f>
        <v>5244021243</v>
      </c>
      <c r="O11" s="1200">
        <f>'1.mell.kiadás_össz'!D16</f>
        <v>5263916592</v>
      </c>
      <c r="P11" s="1198">
        <f>'1.mell.kiadás_össz'!E16</f>
        <v>6257616495</v>
      </c>
      <c r="Q11" s="1198">
        <f>'1.mell.kiadás_össz'!F16</f>
        <v>6266293207</v>
      </c>
      <c r="R11" s="1199">
        <f>'1.mell.kiadás_össz'!G16</f>
        <v>3545399</v>
      </c>
      <c r="S11" s="1204">
        <f t="shared" si="2"/>
        <v>993699903</v>
      </c>
      <c r="T11" s="1200" t="e">
        <f>'1.mell.kiadás_össz'!I16</f>
        <v>#REF!</v>
      </c>
      <c r="U11" s="1198">
        <f>'1.mell.kiadás_össz'!J16</f>
        <v>3672775052</v>
      </c>
      <c r="V11" s="1198" t="e">
        <f>'1.mell.kiadás_össz'!K16</f>
        <v>#REF!</v>
      </c>
      <c r="W11" s="1201">
        <f t="shared" si="3"/>
        <v>58.611605468719333</v>
      </c>
      <c r="X11" s="1205"/>
      <c r="Y11" s="1784"/>
    </row>
    <row r="12" spans="1:27" s="1131" customFormat="1" ht="17.100000000000001" customHeight="1" x14ac:dyDescent="0.2">
      <c r="A12" s="406" t="s">
        <v>100</v>
      </c>
      <c r="B12" s="1206" t="s">
        <v>338</v>
      </c>
      <c r="C12" s="1207">
        <f>'1. mell.bevétel_össz'!C61</f>
        <v>5018250</v>
      </c>
      <c r="D12" s="1207">
        <f>'1. mell.bevétel_össz'!D61</f>
        <v>5018250</v>
      </c>
      <c r="E12" s="1207">
        <f>'1. mell.bevétel_össz'!E61</f>
        <v>576263</v>
      </c>
      <c r="F12" s="1207">
        <f>'1. mell.bevétel_össz'!F61</f>
        <v>576263</v>
      </c>
      <c r="G12" s="1207">
        <f>'1. mell.bevétel_össz'!G61</f>
        <v>0</v>
      </c>
      <c r="H12" s="1207">
        <f>'1. mell.bevétel_össz'!H61</f>
        <v>-4441987</v>
      </c>
      <c r="I12" s="1207">
        <f>'1. mell.bevétel_össz'!I61</f>
        <v>0</v>
      </c>
      <c r="J12" s="1207">
        <f>'1. mell.bevétel_össz'!J61</f>
        <v>576263</v>
      </c>
      <c r="K12" s="1207">
        <f>'1. mell.bevétel_össz'!K61</f>
        <v>0</v>
      </c>
      <c r="L12" s="1210">
        <f t="shared" si="1"/>
        <v>100</v>
      </c>
      <c r="M12" s="1755"/>
      <c r="N12" s="1198"/>
      <c r="O12" s="1200"/>
      <c r="P12" s="1198"/>
      <c r="Q12" s="1198"/>
      <c r="R12" s="1199"/>
      <c r="S12" s="1204">
        <f t="shared" si="2"/>
        <v>0</v>
      </c>
      <c r="T12" s="1209"/>
      <c r="U12" s="1211"/>
      <c r="V12" s="1211"/>
      <c r="W12" s="1212" t="str">
        <f t="shared" si="3"/>
        <v/>
      </c>
      <c r="X12" s="1205"/>
      <c r="Y12" s="1784"/>
    </row>
    <row r="13" spans="1:27" s="1131" customFormat="1" ht="17.100000000000001" customHeight="1" x14ac:dyDescent="0.2">
      <c r="A13" s="406" t="s">
        <v>16</v>
      </c>
      <c r="B13" s="1197" t="s">
        <v>157</v>
      </c>
      <c r="C13" s="1207">
        <f>'1. mell.bevétel_össz'!C40</f>
        <v>717532540</v>
      </c>
      <c r="D13" s="1207">
        <f>'1. mell.bevétel_össz'!D40</f>
        <v>731466540</v>
      </c>
      <c r="E13" s="1207">
        <f>'1. mell.bevétel_össz'!E40</f>
        <v>983931540</v>
      </c>
      <c r="F13" s="1207">
        <f>'1. mell.bevétel_össz'!F40</f>
        <v>983931540</v>
      </c>
      <c r="G13" s="1207">
        <f>'1. mell.bevétel_össz'!G40</f>
        <v>0</v>
      </c>
      <c r="H13" s="1208">
        <f t="shared" si="0"/>
        <v>252465000</v>
      </c>
      <c r="I13" s="1209">
        <f>'1. mell.bevétel_össz'!I40</f>
        <v>0</v>
      </c>
      <c r="J13" s="1207">
        <f>'1. mell.bevétel_össz'!J40</f>
        <v>978506689</v>
      </c>
      <c r="K13" s="1207">
        <f>'1. mell.bevétel_össz'!K40</f>
        <v>0</v>
      </c>
      <c r="L13" s="1210">
        <f t="shared" si="1"/>
        <v>99.448655645290117</v>
      </c>
      <c r="M13" s="1755"/>
      <c r="N13" s="1198"/>
      <c r="O13" s="1200"/>
      <c r="P13" s="1198"/>
      <c r="Q13" s="1198"/>
      <c r="R13" s="1199"/>
      <c r="S13" s="1204">
        <f t="shared" si="2"/>
        <v>0</v>
      </c>
      <c r="T13" s="1209"/>
      <c r="U13" s="1211"/>
      <c r="V13" s="1211"/>
      <c r="W13" s="1212" t="str">
        <f t="shared" si="3"/>
        <v/>
      </c>
      <c r="X13" s="1205"/>
      <c r="Y13" s="1784"/>
    </row>
    <row r="14" spans="1:27" s="1131" customFormat="1" ht="17.100000000000001" customHeight="1" x14ac:dyDescent="0.2">
      <c r="A14" s="406" t="s">
        <v>17</v>
      </c>
      <c r="B14" s="1197"/>
      <c r="C14" s="1207"/>
      <c r="D14" s="1207"/>
      <c r="E14" s="1207"/>
      <c r="F14" s="1207"/>
      <c r="G14" s="1207"/>
      <c r="H14" s="1208">
        <f t="shared" si="0"/>
        <v>0</v>
      </c>
      <c r="I14" s="1209"/>
      <c r="J14" s="1207"/>
      <c r="K14" s="1207"/>
      <c r="L14" s="1210" t="str">
        <f t="shared" si="1"/>
        <v/>
      </c>
      <c r="M14" s="1755"/>
      <c r="N14" s="1198"/>
      <c r="O14" s="1200"/>
      <c r="P14" s="1198"/>
      <c r="Q14" s="1198"/>
      <c r="R14" s="1199"/>
      <c r="S14" s="1204">
        <f t="shared" si="2"/>
        <v>0</v>
      </c>
      <c r="T14" s="1209"/>
      <c r="U14" s="1211"/>
      <c r="V14" s="1211"/>
      <c r="W14" s="1212" t="str">
        <f t="shared" si="3"/>
        <v/>
      </c>
      <c r="X14" s="1205"/>
      <c r="Y14" s="1784"/>
    </row>
    <row r="15" spans="1:27" s="1131" customFormat="1" ht="17.100000000000001" customHeight="1" x14ac:dyDescent="0.2">
      <c r="A15" s="406" t="s">
        <v>18</v>
      </c>
      <c r="B15" s="1206"/>
      <c r="C15" s="1207"/>
      <c r="D15" s="1207"/>
      <c r="E15" s="1207"/>
      <c r="F15" s="1207"/>
      <c r="G15" s="1207"/>
      <c r="H15" s="1208">
        <f t="shared" si="0"/>
        <v>0</v>
      </c>
      <c r="I15" s="1209"/>
      <c r="J15" s="1207"/>
      <c r="K15" s="1207"/>
      <c r="L15" s="1210" t="str">
        <f t="shared" si="1"/>
        <v/>
      </c>
      <c r="M15" s="1755"/>
      <c r="N15" s="1198"/>
      <c r="O15" s="1200"/>
      <c r="P15" s="1198"/>
      <c r="Q15" s="1198"/>
      <c r="R15" s="1199"/>
      <c r="S15" s="1204">
        <f t="shared" si="2"/>
        <v>0</v>
      </c>
      <c r="T15" s="1209"/>
      <c r="U15" s="1211"/>
      <c r="V15" s="1211"/>
      <c r="W15" s="1212" t="str">
        <f t="shared" si="3"/>
        <v/>
      </c>
      <c r="X15" s="1205"/>
      <c r="Y15" s="1784"/>
      <c r="AA15" s="1213"/>
    </row>
    <row r="16" spans="1:27" s="1131" customFormat="1" ht="17.100000000000001" customHeight="1" x14ac:dyDescent="0.2">
      <c r="A16" s="406" t="s">
        <v>19</v>
      </c>
      <c r="B16" s="1206"/>
      <c r="C16" s="1207"/>
      <c r="D16" s="1207"/>
      <c r="E16" s="1207"/>
      <c r="F16" s="1207"/>
      <c r="G16" s="1207"/>
      <c r="H16" s="1208">
        <f t="shared" si="0"/>
        <v>0</v>
      </c>
      <c r="I16" s="1209"/>
      <c r="J16" s="1207"/>
      <c r="K16" s="1207"/>
      <c r="L16" s="1210" t="str">
        <f t="shared" si="1"/>
        <v/>
      </c>
      <c r="M16" s="1755"/>
      <c r="N16" s="1198"/>
      <c r="O16" s="1200"/>
      <c r="P16" s="1198"/>
      <c r="Q16" s="1198"/>
      <c r="R16" s="1199"/>
      <c r="S16" s="1204">
        <f t="shared" si="2"/>
        <v>0</v>
      </c>
      <c r="T16" s="1209"/>
      <c r="U16" s="1211"/>
      <c r="V16" s="1211"/>
      <c r="W16" s="1212" t="str">
        <f t="shared" si="3"/>
        <v/>
      </c>
      <c r="X16" s="1205"/>
      <c r="Y16" s="1784"/>
    </row>
    <row r="17" spans="1:27" s="1131" customFormat="1" ht="17.100000000000001" customHeight="1" x14ac:dyDescent="0.2">
      <c r="A17" s="406" t="s">
        <v>20</v>
      </c>
      <c r="B17" s="1206"/>
      <c r="C17" s="1207"/>
      <c r="D17" s="1207"/>
      <c r="E17" s="1207"/>
      <c r="F17" s="1207"/>
      <c r="G17" s="1207"/>
      <c r="H17" s="1208">
        <f t="shared" si="0"/>
        <v>0</v>
      </c>
      <c r="I17" s="1209"/>
      <c r="J17" s="1207"/>
      <c r="K17" s="1207"/>
      <c r="L17" s="1210" t="str">
        <f t="shared" si="1"/>
        <v/>
      </c>
      <c r="M17" s="1755"/>
      <c r="N17" s="1198"/>
      <c r="O17" s="1200"/>
      <c r="P17" s="1198"/>
      <c r="Q17" s="1198"/>
      <c r="R17" s="1199"/>
      <c r="S17" s="1204">
        <f t="shared" si="2"/>
        <v>0</v>
      </c>
      <c r="T17" s="1209"/>
      <c r="U17" s="1211"/>
      <c r="V17" s="1211"/>
      <c r="W17" s="1212" t="str">
        <f t="shared" si="3"/>
        <v/>
      </c>
      <c r="X17" s="1205"/>
      <c r="Y17" s="1784"/>
    </row>
    <row r="18" spans="1:27" s="1131" customFormat="1" ht="17.100000000000001" customHeight="1" thickBot="1" x14ac:dyDescent="0.25">
      <c r="A18" s="405" t="s">
        <v>21</v>
      </c>
      <c r="B18" s="1214"/>
      <c r="C18" s="1764"/>
      <c r="D18" s="1764"/>
      <c r="E18" s="1764"/>
      <c r="F18" s="1764"/>
      <c r="G18" s="1764"/>
      <c r="H18" s="1216">
        <f t="shared" si="0"/>
        <v>0</v>
      </c>
      <c r="I18" s="1217"/>
      <c r="J18" s="1764"/>
      <c r="K18" s="1764"/>
      <c r="L18" s="1218" t="str">
        <f t="shared" si="1"/>
        <v/>
      </c>
      <c r="M18" s="1756"/>
      <c r="N18" s="1215"/>
      <c r="O18" s="1217"/>
      <c r="P18" s="1215"/>
      <c r="Q18" s="1215"/>
      <c r="R18" s="1216"/>
      <c r="S18" s="1220">
        <f t="shared" si="2"/>
        <v>0</v>
      </c>
      <c r="T18" s="1217"/>
      <c r="U18" s="1221"/>
      <c r="V18" s="1221"/>
      <c r="W18" s="1222" t="str">
        <f t="shared" si="3"/>
        <v/>
      </c>
      <c r="X18" s="1205"/>
      <c r="Y18" s="1784"/>
    </row>
    <row r="19" spans="1:27" s="1131" customFormat="1" ht="17.100000000000001" customHeight="1" thickBot="1" x14ac:dyDescent="0.25">
      <c r="A19" s="407" t="s">
        <v>22</v>
      </c>
      <c r="B19" s="1124" t="s">
        <v>327</v>
      </c>
      <c r="C19" s="1125">
        <f>+C7+C10+C11+C13+C14+C15+C16+C17+C18</f>
        <v>7096206760</v>
      </c>
      <c r="D19" s="1125">
        <f t="shared" ref="D19:K19" si="4">+D7+D10+D11+D13+D14+D15+D16+D17+D18</f>
        <v>7332922536</v>
      </c>
      <c r="E19" s="1125">
        <f t="shared" si="4"/>
        <v>9144546883</v>
      </c>
      <c r="F19" s="1125">
        <f t="shared" si="4"/>
        <v>9153223595</v>
      </c>
      <c r="G19" s="1125">
        <f t="shared" si="4"/>
        <v>576263</v>
      </c>
      <c r="H19" s="1127">
        <f t="shared" si="0"/>
        <v>1811624347</v>
      </c>
      <c r="I19" s="1126">
        <f t="shared" si="4"/>
        <v>576263</v>
      </c>
      <c r="J19" s="1125">
        <f t="shared" si="4"/>
        <v>9079364238</v>
      </c>
      <c r="K19" s="1125">
        <f t="shared" si="4"/>
        <v>0</v>
      </c>
      <c r="L19" s="1129">
        <f t="shared" si="1"/>
        <v>99.193078195529424</v>
      </c>
      <c r="M19" s="1757" t="s">
        <v>328</v>
      </c>
      <c r="N19" s="1125">
        <f>SUM(N7:N18)</f>
        <v>11352869202</v>
      </c>
      <c r="O19" s="1126">
        <f t="shared" ref="O19:V19" si="5">SUM(O7:O18)</f>
        <v>11563203773</v>
      </c>
      <c r="P19" s="1125">
        <f t="shared" si="5"/>
        <v>13278547401</v>
      </c>
      <c r="Q19" s="1125">
        <f t="shared" si="5"/>
        <v>13287224113</v>
      </c>
      <c r="R19" s="1127">
        <f t="shared" si="5"/>
        <v>3545399</v>
      </c>
      <c r="S19" s="1128">
        <f t="shared" si="2"/>
        <v>1715343628</v>
      </c>
      <c r="T19" s="1126" t="e">
        <f t="shared" si="5"/>
        <v>#REF!</v>
      </c>
      <c r="U19" s="1125">
        <f t="shared" si="5"/>
        <v>8351787782</v>
      </c>
      <c r="V19" s="1125" t="e">
        <f t="shared" si="5"/>
        <v>#REF!</v>
      </c>
      <c r="W19" s="1129">
        <f t="shared" si="3"/>
        <v>62.855775675739146</v>
      </c>
      <c r="X19" s="1135"/>
      <c r="Y19" s="1784"/>
    </row>
    <row r="20" spans="1:27" s="1131" customFormat="1" ht="17.100000000000001" customHeight="1" x14ac:dyDescent="0.2">
      <c r="A20" s="408" t="s">
        <v>23</v>
      </c>
      <c r="B20" s="1223" t="s">
        <v>326</v>
      </c>
      <c r="C20" s="1224">
        <f>SUM(C21:C25)</f>
        <v>5220710570</v>
      </c>
      <c r="D20" s="1224">
        <f t="shared" ref="D20:K20" si="6">SUM(D21:D25)</f>
        <v>5998357269</v>
      </c>
      <c r="E20" s="1224">
        <f t="shared" si="6"/>
        <v>5998357269</v>
      </c>
      <c r="F20" s="1224">
        <f t="shared" si="6"/>
        <v>5998357269</v>
      </c>
      <c r="G20" s="1224">
        <f t="shared" si="6"/>
        <v>0</v>
      </c>
      <c r="H20" s="1225">
        <f t="shared" si="0"/>
        <v>0</v>
      </c>
      <c r="I20" s="1681">
        <f t="shared" si="6"/>
        <v>0</v>
      </c>
      <c r="J20" s="1224">
        <f>SUM(J21:J25)</f>
        <v>73219092104</v>
      </c>
      <c r="K20" s="1224">
        <f t="shared" si="6"/>
        <v>0</v>
      </c>
      <c r="L20" s="1682">
        <f t="shared" si="1"/>
        <v>1220.6524023235868</v>
      </c>
      <c r="M20" s="1758" t="s">
        <v>354</v>
      </c>
      <c r="N20" s="1226">
        <f>SUM(N21:N23)</f>
        <v>0</v>
      </c>
      <c r="O20" s="1227">
        <f t="shared" ref="O20:V20" si="7">SUM(O21:O23)</f>
        <v>468945500</v>
      </c>
      <c r="P20" s="1226">
        <f t="shared" si="7"/>
        <v>468945500</v>
      </c>
      <c r="Q20" s="1226">
        <f t="shared" si="7"/>
        <v>468945500</v>
      </c>
      <c r="R20" s="1228">
        <f t="shared" si="7"/>
        <v>0</v>
      </c>
      <c r="S20" s="1229">
        <f t="shared" si="2"/>
        <v>0</v>
      </c>
      <c r="T20" s="1227">
        <f t="shared" si="7"/>
        <v>0</v>
      </c>
      <c r="U20" s="1226">
        <f t="shared" si="7"/>
        <v>468945500</v>
      </c>
      <c r="V20" s="1226">
        <f t="shared" si="7"/>
        <v>0</v>
      </c>
      <c r="W20" s="1247">
        <f t="shared" si="3"/>
        <v>100</v>
      </c>
      <c r="X20" s="1230"/>
      <c r="Y20" s="1784"/>
    </row>
    <row r="21" spans="1:27" s="1131" customFormat="1" ht="17.100000000000001" customHeight="1" x14ac:dyDescent="0.2">
      <c r="A21" s="409" t="s">
        <v>220</v>
      </c>
      <c r="B21" s="1231" t="s">
        <v>356</v>
      </c>
      <c r="C21" s="1232">
        <f>'1. mell.bevétel_össz'!C76</f>
        <v>7081570</v>
      </c>
      <c r="D21" s="1233">
        <f>'1. mell.bevétel_össz'!D76</f>
        <v>315782769</v>
      </c>
      <c r="E21" s="1233">
        <f>'1. mell.bevétel_össz'!E76</f>
        <v>315782769</v>
      </c>
      <c r="F21" s="1233">
        <f>'1. mell.bevétel_össz'!F76</f>
        <v>315782769</v>
      </c>
      <c r="G21" s="1233">
        <f>'1. mell.bevétel_össz'!G76</f>
        <v>0</v>
      </c>
      <c r="H21" s="1234">
        <f t="shared" si="0"/>
        <v>0</v>
      </c>
      <c r="I21" s="1235">
        <f>'1. mell.bevétel_össz'!I76</f>
        <v>0</v>
      </c>
      <c r="J21" s="1233">
        <f>'1. mell.bevétel_össz'!J76</f>
        <v>315782769</v>
      </c>
      <c r="K21" s="1233">
        <f>'1. mell.bevétel_össz'!K76</f>
        <v>0</v>
      </c>
      <c r="L21" s="1236">
        <f t="shared" si="1"/>
        <v>100</v>
      </c>
      <c r="M21" s="1759" t="s">
        <v>359</v>
      </c>
      <c r="N21" s="1233">
        <f>'1.mell.kiadás_össz'!C44</f>
        <v>0</v>
      </c>
      <c r="O21" s="1235">
        <f>'1.mell.kiadás_össz'!D44</f>
        <v>468945500</v>
      </c>
      <c r="P21" s="1233">
        <f>'1.mell.kiadás_össz'!E44</f>
        <v>468945500</v>
      </c>
      <c r="Q21" s="1233">
        <f>'1.mell.kiadás_össz'!F44</f>
        <v>468945500</v>
      </c>
      <c r="R21" s="1234">
        <f>'1.mell.kiadás_össz'!G44</f>
        <v>0</v>
      </c>
      <c r="S21" s="1237">
        <f t="shared" si="2"/>
        <v>0</v>
      </c>
      <c r="T21" s="1235">
        <f>'1.mell.kiadás_össz'!I44</f>
        <v>0</v>
      </c>
      <c r="U21" s="1238">
        <f>'1.mell.kiadás_össz'!J44</f>
        <v>468945500</v>
      </c>
      <c r="V21" s="1238">
        <f>'1.mell.kiadás_össz'!K44</f>
        <v>0</v>
      </c>
      <c r="W21" s="1239">
        <f t="shared" si="3"/>
        <v>100</v>
      </c>
      <c r="X21" s="1240"/>
      <c r="Y21" s="1784"/>
    </row>
    <row r="22" spans="1:27" s="1131" customFormat="1" ht="17.100000000000001" customHeight="1" x14ac:dyDescent="0.2">
      <c r="A22" s="406" t="s">
        <v>221</v>
      </c>
      <c r="B22" s="1231" t="s">
        <v>357</v>
      </c>
      <c r="C22" s="1232">
        <f>'1. mell.bevétel_össz'!C81</f>
        <v>4200000000</v>
      </c>
      <c r="D22" s="1233">
        <f>'1. mell.bevétel_össz'!D81</f>
        <v>4200000000</v>
      </c>
      <c r="E22" s="1233">
        <f>'1. mell.bevétel_össz'!E81</f>
        <v>4200000000</v>
      </c>
      <c r="F22" s="1233">
        <f>'1. mell.bevétel_össz'!F81</f>
        <v>4200000000</v>
      </c>
      <c r="G22" s="1233">
        <f>'1. mell.bevétel_össz'!G81</f>
        <v>0</v>
      </c>
      <c r="H22" s="1234">
        <f t="shared" si="0"/>
        <v>0</v>
      </c>
      <c r="I22" s="1235">
        <f>'1. mell.bevétel_össz'!I81</f>
        <v>0</v>
      </c>
      <c r="J22" s="1233">
        <f>'1. mell.bevétel_össz'!J81</f>
        <v>71624123835</v>
      </c>
      <c r="K22" s="1233">
        <f>'1. mell.bevétel_össz'!K81</f>
        <v>0</v>
      </c>
      <c r="L22" s="1236">
        <f t="shared" si="1"/>
        <v>1705.3362817857142</v>
      </c>
      <c r="M22" s="1759" t="s">
        <v>579</v>
      </c>
      <c r="N22" s="1233">
        <f>'1.mell.kiadás_össz'!C45</f>
        <v>0</v>
      </c>
      <c r="O22" s="1235">
        <f>'1.mell.kiadás_össz'!D45</f>
        <v>0</v>
      </c>
      <c r="P22" s="1233">
        <f>'1.mell.kiadás_össz'!E45</f>
        <v>0</v>
      </c>
      <c r="Q22" s="1233">
        <f>'1.mell.kiadás_össz'!F45</f>
        <v>0</v>
      </c>
      <c r="R22" s="1234">
        <f>'1.mell.kiadás_össz'!G45</f>
        <v>0</v>
      </c>
      <c r="S22" s="1237">
        <f t="shared" si="2"/>
        <v>0</v>
      </c>
      <c r="T22" s="1235">
        <f>'1.mell.kiadás_össz'!I45</f>
        <v>0</v>
      </c>
      <c r="U22" s="1238">
        <f>'1.mell.kiadás_össz'!J45</f>
        <v>0</v>
      </c>
      <c r="V22" s="1238">
        <f>'1.mell.kiadás_össz'!K45</f>
        <v>0</v>
      </c>
      <c r="W22" s="1239" t="str">
        <f t="shared" si="3"/>
        <v/>
      </c>
      <c r="X22" s="1240"/>
      <c r="Y22" s="1784"/>
    </row>
    <row r="23" spans="1:27" s="1131" customFormat="1" ht="24" x14ac:dyDescent="0.2">
      <c r="A23" s="406" t="s">
        <v>325</v>
      </c>
      <c r="B23" s="1231" t="s">
        <v>530</v>
      </c>
      <c r="C23" s="1232">
        <f>'1. mell.bevétel_össz'!C72</f>
        <v>1013629000</v>
      </c>
      <c r="D23" s="1233">
        <f>'1. mell.bevétel_össz'!D72</f>
        <v>1482574500</v>
      </c>
      <c r="E23" s="1233">
        <f>'1. mell.bevétel_össz'!E72</f>
        <v>1482574500</v>
      </c>
      <c r="F23" s="1233">
        <f>'1. mell.bevétel_össz'!F72</f>
        <v>1482574500</v>
      </c>
      <c r="G23" s="1233">
        <f>'1. mell.bevétel_össz'!G72</f>
        <v>0</v>
      </c>
      <c r="H23" s="1234">
        <f t="shared" si="0"/>
        <v>0</v>
      </c>
      <c r="I23" s="1235">
        <f>'1. mell.bevétel_össz'!I72</f>
        <v>0</v>
      </c>
      <c r="J23" s="1233">
        <f>'1. mell.bevétel_össz'!J72</f>
        <v>1279185500</v>
      </c>
      <c r="K23" s="1233">
        <f>'1. mell.bevétel_össz'!K72</f>
        <v>0</v>
      </c>
      <c r="L23" s="1236">
        <f t="shared" si="1"/>
        <v>86.281363938203441</v>
      </c>
      <c r="M23" s="1760" t="s">
        <v>580</v>
      </c>
      <c r="N23" s="1233">
        <f>'1.mell.kiadás_össz'!C46</f>
        <v>0</v>
      </c>
      <c r="O23" s="1235">
        <f>'1.mell.kiadás_össz'!D46</f>
        <v>0</v>
      </c>
      <c r="P23" s="1233">
        <f>'1.mell.kiadás_össz'!E46</f>
        <v>0</v>
      </c>
      <c r="Q23" s="1233">
        <f>'1.mell.kiadás_össz'!F46</f>
        <v>0</v>
      </c>
      <c r="R23" s="1234">
        <f>'1.mell.kiadás_össz'!G46</f>
        <v>0</v>
      </c>
      <c r="S23" s="1237">
        <f t="shared" si="2"/>
        <v>0</v>
      </c>
      <c r="T23" s="1235">
        <f>'1.mell.kiadás_össz'!I46</f>
        <v>0</v>
      </c>
      <c r="U23" s="1238">
        <f>'1.mell.kiadás_össz'!J46</f>
        <v>0</v>
      </c>
      <c r="V23" s="1238">
        <f>'1.mell.kiadás_össz'!K46</f>
        <v>0</v>
      </c>
      <c r="W23" s="1239" t="str">
        <f t="shared" si="3"/>
        <v/>
      </c>
      <c r="X23" s="1230"/>
      <c r="Y23" s="1784"/>
      <c r="AA23" s="1131" t="s">
        <v>385</v>
      </c>
    </row>
    <row r="24" spans="1:27" s="1131" customFormat="1" ht="15.75" customHeight="1" x14ac:dyDescent="0.2">
      <c r="A24" s="410" t="s">
        <v>556</v>
      </c>
      <c r="B24" s="1241" t="s">
        <v>390</v>
      </c>
      <c r="C24" s="1242">
        <f>'1. mell.bevétel_össz'!C73</f>
        <v>0</v>
      </c>
      <c r="D24" s="1233">
        <f>'1. mell.bevétel_össz'!D73</f>
        <v>0</v>
      </c>
      <c r="E24" s="1233">
        <f>'1. mell.bevétel_össz'!E73</f>
        <v>0</v>
      </c>
      <c r="F24" s="1233">
        <f>'1. mell.bevétel_össz'!F73</f>
        <v>0</v>
      </c>
      <c r="G24" s="1233">
        <f>'1. mell.bevétel_össz'!G73</f>
        <v>0</v>
      </c>
      <c r="H24" s="1234">
        <f t="shared" si="0"/>
        <v>0</v>
      </c>
      <c r="I24" s="1235">
        <f>'1. mell.bevétel_össz'!I73</f>
        <v>0</v>
      </c>
      <c r="J24" s="1233">
        <f>'1. mell.bevétel_össz'!J73</f>
        <v>0</v>
      </c>
      <c r="K24" s="1233">
        <f>'1. mell.bevétel_össz'!K73</f>
        <v>0</v>
      </c>
      <c r="L24" s="1236" t="str">
        <f t="shared" si="1"/>
        <v/>
      </c>
      <c r="M24" s="1761" t="s">
        <v>355</v>
      </c>
      <c r="N24" s="1233">
        <f>+N25+N26+N27</f>
        <v>52821826</v>
      </c>
      <c r="O24" s="1235">
        <f t="shared" ref="O24:V24" si="8">+O25+O26+O27</f>
        <v>1515389518</v>
      </c>
      <c r="P24" s="1233">
        <f t="shared" si="8"/>
        <v>2314346206</v>
      </c>
      <c r="Q24" s="1233">
        <f t="shared" si="8"/>
        <v>2584302148</v>
      </c>
      <c r="R24" s="1234">
        <f t="shared" si="8"/>
        <v>0</v>
      </c>
      <c r="S24" s="1237">
        <f t="shared" si="2"/>
        <v>798956688</v>
      </c>
      <c r="T24" s="1235">
        <f t="shared" si="8"/>
        <v>0</v>
      </c>
      <c r="U24" s="1233">
        <f t="shared" si="8"/>
        <v>75063425983</v>
      </c>
      <c r="V24" s="1233">
        <f t="shared" si="8"/>
        <v>0</v>
      </c>
      <c r="W24" s="1236">
        <f t="shared" si="3"/>
        <v>2904.5917111933613</v>
      </c>
      <c r="X24" s="1230"/>
      <c r="Y24" s="1784"/>
    </row>
    <row r="25" spans="1:27" s="1131" customFormat="1" ht="24" x14ac:dyDescent="0.2">
      <c r="A25" s="410" t="s">
        <v>557</v>
      </c>
      <c r="B25" s="1231" t="s">
        <v>535</v>
      </c>
      <c r="C25" s="1232">
        <f>'1. mell.bevétel_össz'!C74</f>
        <v>0</v>
      </c>
      <c r="D25" s="1233">
        <f>'1. mell.bevétel_össz'!D74</f>
        <v>0</v>
      </c>
      <c r="E25" s="1232">
        <f>'1. mell.bevétel_össz'!E74</f>
        <v>0</v>
      </c>
      <c r="F25" s="1232">
        <f>'1. mell.bevétel_össz'!F74</f>
        <v>0</v>
      </c>
      <c r="G25" s="1232">
        <f>'1. mell.bevétel_össz'!G74</f>
        <v>0</v>
      </c>
      <c r="H25" s="1234">
        <f t="shared" si="0"/>
        <v>0</v>
      </c>
      <c r="I25" s="1244">
        <f>'1. mell.bevétel_össz'!I74</f>
        <v>0</v>
      </c>
      <c r="J25" s="1232">
        <f>'1. mell.bevétel_össz'!J74</f>
        <v>0</v>
      </c>
      <c r="K25" s="1232">
        <f>'1. mell.bevétel_össz'!K74</f>
        <v>0</v>
      </c>
      <c r="L25" s="1236" t="str">
        <f t="shared" si="1"/>
        <v/>
      </c>
      <c r="M25" s="1759" t="s">
        <v>360</v>
      </c>
      <c r="N25" s="1233">
        <f>'1.mell.kiadás_össz'!C50</f>
        <v>0</v>
      </c>
      <c r="O25" s="1235">
        <f>'1.mell.kiadás_össz'!D50</f>
        <v>0</v>
      </c>
      <c r="P25" s="1233">
        <f>'1.mell.kiadás_össz'!E50</f>
        <v>0</v>
      </c>
      <c r="Q25" s="1233">
        <f>'1.mell.kiadás_össz'!F50</f>
        <v>0</v>
      </c>
      <c r="R25" s="1234">
        <f>'1.mell.kiadás_össz'!G50</f>
        <v>0</v>
      </c>
      <c r="S25" s="1237">
        <f t="shared" si="2"/>
        <v>0</v>
      </c>
      <c r="T25" s="1235">
        <f>'1.mell.kiadás_össz'!I50</f>
        <v>0</v>
      </c>
      <c r="U25" s="1238">
        <f>'1.mell.kiadás_össz'!J50</f>
        <v>72479123835</v>
      </c>
      <c r="V25" s="1238">
        <f>'1.mell.kiadás_össz'!K50</f>
        <v>0</v>
      </c>
      <c r="W25" s="1239" t="str">
        <f t="shared" si="3"/>
        <v/>
      </c>
      <c r="X25" s="1240"/>
      <c r="Y25" s="1784"/>
    </row>
    <row r="26" spans="1:27" s="1131" customFormat="1" ht="12" x14ac:dyDescent="0.2">
      <c r="A26" s="409" t="s">
        <v>24</v>
      </c>
      <c r="B26" s="1243" t="s">
        <v>331</v>
      </c>
      <c r="C26" s="1232">
        <f>SUM(C27:C28)</f>
        <v>0</v>
      </c>
      <c r="D26" s="1232">
        <f t="shared" ref="D26:K26" si="9">SUM(D27:D28)</f>
        <v>1462567692</v>
      </c>
      <c r="E26" s="1232">
        <f t="shared" si="9"/>
        <v>2261524380</v>
      </c>
      <c r="F26" s="1232">
        <f t="shared" si="9"/>
        <v>2531480322</v>
      </c>
      <c r="G26" s="1232">
        <f t="shared" si="9"/>
        <v>0</v>
      </c>
      <c r="H26" s="1234">
        <f t="shared" si="0"/>
        <v>798956688</v>
      </c>
      <c r="I26" s="1244">
        <f t="shared" si="9"/>
        <v>0</v>
      </c>
      <c r="J26" s="1232">
        <f t="shared" si="9"/>
        <v>2531480322</v>
      </c>
      <c r="K26" s="1232">
        <f t="shared" si="9"/>
        <v>0</v>
      </c>
      <c r="L26" s="1683">
        <f t="shared" si="1"/>
        <v>100</v>
      </c>
      <c r="M26" s="1762" t="s">
        <v>252</v>
      </c>
      <c r="N26" s="1233">
        <f>'1.mell.kiadás_össz'!C51</f>
        <v>0</v>
      </c>
      <c r="O26" s="1235">
        <f>'1.mell.kiadás_össz'!D51</f>
        <v>0</v>
      </c>
      <c r="P26" s="1233">
        <f>'1.mell.kiadás_össz'!E51</f>
        <v>0</v>
      </c>
      <c r="Q26" s="1233">
        <f>'1.mell.kiadás_össz'!F51</f>
        <v>0</v>
      </c>
      <c r="R26" s="1234">
        <f>'1.mell.kiadás_össz'!G51</f>
        <v>0</v>
      </c>
      <c r="S26" s="1237">
        <f t="shared" si="2"/>
        <v>0</v>
      </c>
      <c r="T26" s="1235">
        <f>'1.mell.kiadás_össz'!I51</f>
        <v>0</v>
      </c>
      <c r="U26" s="1238">
        <f>'1.mell.kiadás_össz'!J51</f>
        <v>0</v>
      </c>
      <c r="V26" s="1238">
        <f>'1.mell.kiadás_össz'!K51</f>
        <v>0</v>
      </c>
      <c r="W26" s="1239" t="str">
        <f t="shared" si="3"/>
        <v/>
      </c>
      <c r="X26" s="1240"/>
      <c r="Y26" s="1784"/>
    </row>
    <row r="27" spans="1:27" s="1131" customFormat="1" ht="16.5" customHeight="1" x14ac:dyDescent="0.2">
      <c r="A27" s="406" t="s">
        <v>222</v>
      </c>
      <c r="B27" s="1245" t="s">
        <v>358</v>
      </c>
      <c r="C27" s="1246">
        <f>'1. mell.bevétel_össz'!C69</f>
        <v>0</v>
      </c>
      <c r="D27" s="1226">
        <f>'1. mell.bevétel_össz'!D69</f>
        <v>0</v>
      </c>
      <c r="E27" s="1226">
        <f>'1. mell.bevétel_össz'!E69</f>
        <v>0</v>
      </c>
      <c r="F27" s="1226">
        <f>'1. mell.bevétel_össz'!F69</f>
        <v>0</v>
      </c>
      <c r="G27" s="1226">
        <f>'1. mell.bevétel_össz'!G69</f>
        <v>0</v>
      </c>
      <c r="H27" s="1228">
        <f t="shared" si="0"/>
        <v>0</v>
      </c>
      <c r="I27" s="1227">
        <f>'1. mell.bevétel_össz'!I69</f>
        <v>0</v>
      </c>
      <c r="J27" s="1226">
        <f>'1. mell.bevétel_össz'!J69</f>
        <v>0</v>
      </c>
      <c r="K27" s="1226">
        <f>'1. mell.bevétel_össz'!K69</f>
        <v>0</v>
      </c>
      <c r="L27" s="1247" t="str">
        <f t="shared" si="1"/>
        <v/>
      </c>
      <c r="M27" s="1759" t="s">
        <v>352</v>
      </c>
      <c r="N27" s="1233">
        <f>'1.mell.kiadás_össz'!C52</f>
        <v>52821826</v>
      </c>
      <c r="O27" s="1235">
        <f>'1.mell.kiadás_össz'!D52</f>
        <v>1515389518</v>
      </c>
      <c r="P27" s="1233">
        <f>'1.mell.kiadás_össz'!E52</f>
        <v>2314346206</v>
      </c>
      <c r="Q27" s="1233">
        <f>'1.mell.kiadás_össz'!F52</f>
        <v>2584302148</v>
      </c>
      <c r="R27" s="1234">
        <f>'1.mell.kiadás_össz'!G52</f>
        <v>0</v>
      </c>
      <c r="S27" s="1237">
        <f t="shared" si="2"/>
        <v>798956688</v>
      </c>
      <c r="T27" s="1235">
        <f>'1.mell.kiadás_össz'!I52</f>
        <v>0</v>
      </c>
      <c r="U27" s="1238">
        <f>'1.mell.kiadás_össz'!J52</f>
        <v>2584302148</v>
      </c>
      <c r="V27" s="1238">
        <f>'1.mell.kiadás_össz'!K52</f>
        <v>0</v>
      </c>
      <c r="W27" s="1239">
        <f t="shared" si="3"/>
        <v>100</v>
      </c>
      <c r="X27" s="1240"/>
      <c r="Y27" s="1784"/>
    </row>
    <row r="28" spans="1:27" s="1131" customFormat="1" ht="16.5" customHeight="1" thickBot="1" x14ac:dyDescent="0.25">
      <c r="A28" s="411" t="s">
        <v>223</v>
      </c>
      <c r="B28" s="1231" t="s">
        <v>510</v>
      </c>
      <c r="C28" s="1248">
        <f>'1. mell.bevétel_össz'!C79+'1. mell.bevétel_össz'!C80</f>
        <v>0</v>
      </c>
      <c r="D28" s="1233">
        <f>'1. mell.bevétel_össz'!D79+'1. mell.bevétel_össz'!D80</f>
        <v>1462567692</v>
      </c>
      <c r="E28" s="1233">
        <f>'1. mell.bevétel_össz'!E79+'1. mell.bevétel_össz'!E80</f>
        <v>2261524380</v>
      </c>
      <c r="F28" s="1233">
        <f>'1. mell.bevétel_össz'!F79+'1. mell.bevétel_össz'!F80</f>
        <v>2531480322</v>
      </c>
      <c r="G28" s="1233">
        <f>'1. mell.bevétel_össz'!G79+'1. mell.bevétel_össz'!G80</f>
        <v>0</v>
      </c>
      <c r="H28" s="1234">
        <f t="shared" si="0"/>
        <v>798956688</v>
      </c>
      <c r="I28" s="1235">
        <f>'1. mell.bevétel_össz'!I79+'1. mell.bevétel_össz'!I80</f>
        <v>0</v>
      </c>
      <c r="J28" s="1233">
        <f>'1. mell.bevétel_össz'!J79+'1. mell.bevétel_össz'!J80</f>
        <v>2531480322</v>
      </c>
      <c r="K28" s="1233">
        <f>'1. mell.bevétel_össz'!K79+'1. mell.bevétel_össz'!K80</f>
        <v>0</v>
      </c>
      <c r="L28" s="1236">
        <f t="shared" si="1"/>
        <v>100</v>
      </c>
      <c r="M28" s="1763"/>
      <c r="N28" s="1233"/>
      <c r="O28" s="1235"/>
      <c r="P28" s="1233"/>
      <c r="Q28" s="1233"/>
      <c r="R28" s="1234"/>
      <c r="S28" s="1237">
        <f t="shared" si="2"/>
        <v>0</v>
      </c>
      <c r="T28" s="1235"/>
      <c r="U28" s="1238"/>
      <c r="V28" s="1238"/>
      <c r="W28" s="1239" t="str">
        <f t="shared" si="3"/>
        <v/>
      </c>
      <c r="X28" s="1240"/>
      <c r="Y28" s="1784"/>
    </row>
    <row r="29" spans="1:27" s="1131" customFormat="1" ht="16.5" customHeight="1" thickBot="1" x14ac:dyDescent="0.25">
      <c r="A29" s="407" t="s">
        <v>25</v>
      </c>
      <c r="B29" s="1124" t="s">
        <v>330</v>
      </c>
      <c r="C29" s="1125">
        <f>+C20+C26</f>
        <v>5220710570</v>
      </c>
      <c r="D29" s="1125">
        <f t="shared" ref="D29:G29" si="10">+D20+D26</f>
        <v>7460924961</v>
      </c>
      <c r="E29" s="1125">
        <f t="shared" si="10"/>
        <v>8259881649</v>
      </c>
      <c r="F29" s="1125">
        <f t="shared" si="10"/>
        <v>8529837591</v>
      </c>
      <c r="G29" s="1125">
        <f t="shared" si="10"/>
        <v>0</v>
      </c>
      <c r="H29" s="1127">
        <f t="shared" si="0"/>
        <v>798956688</v>
      </c>
      <c r="I29" s="1126">
        <f t="shared" ref="I29:K29" si="11">+I20+I26</f>
        <v>0</v>
      </c>
      <c r="J29" s="1125">
        <f t="shared" si="11"/>
        <v>75750572426</v>
      </c>
      <c r="K29" s="1125">
        <f t="shared" si="11"/>
        <v>0</v>
      </c>
      <c r="L29" s="1129">
        <f t="shared" si="1"/>
        <v>888.06582326873297</v>
      </c>
      <c r="M29" s="1757" t="s">
        <v>329</v>
      </c>
      <c r="N29" s="1125">
        <f>N20+N24</f>
        <v>52821826</v>
      </c>
      <c r="O29" s="1126">
        <f t="shared" ref="O29:R29" si="12">O20+O24</f>
        <v>1984335018</v>
      </c>
      <c r="P29" s="1125">
        <f t="shared" si="12"/>
        <v>2783291706</v>
      </c>
      <c r="Q29" s="1125">
        <f t="shared" si="12"/>
        <v>3053247648</v>
      </c>
      <c r="R29" s="1127">
        <f t="shared" si="12"/>
        <v>0</v>
      </c>
      <c r="S29" s="1128">
        <f t="shared" si="2"/>
        <v>798956688</v>
      </c>
      <c r="T29" s="1126">
        <f t="shared" ref="T29:V29" si="13">T20+T24</f>
        <v>0</v>
      </c>
      <c r="U29" s="1125">
        <f>U20+U24</f>
        <v>75532371483</v>
      </c>
      <c r="V29" s="1125">
        <f t="shared" si="13"/>
        <v>0</v>
      </c>
      <c r="W29" s="1129">
        <f t="shared" si="3"/>
        <v>2473.8370479864857</v>
      </c>
      <c r="X29" s="1135"/>
      <c r="Y29" s="1784"/>
    </row>
    <row r="30" spans="1:27" s="1131" customFormat="1" ht="16.5" customHeight="1" thickBot="1" x14ac:dyDescent="0.25">
      <c r="A30" s="407" t="s">
        <v>26</v>
      </c>
      <c r="B30" s="1124" t="s">
        <v>681</v>
      </c>
      <c r="C30" s="1134">
        <f>+C19+C29</f>
        <v>12316917330</v>
      </c>
      <c r="D30" s="1125">
        <f t="shared" ref="D30:G30" si="14">+D19+D29</f>
        <v>14793847497</v>
      </c>
      <c r="E30" s="1125">
        <f t="shared" si="14"/>
        <v>17404428532</v>
      </c>
      <c r="F30" s="1125">
        <f t="shared" si="14"/>
        <v>17683061186</v>
      </c>
      <c r="G30" s="1125">
        <f t="shared" si="14"/>
        <v>576263</v>
      </c>
      <c r="H30" s="1127">
        <f t="shared" si="0"/>
        <v>2610581035</v>
      </c>
      <c r="I30" s="1126">
        <f t="shared" ref="I30:K30" si="15">+I19+I29</f>
        <v>576263</v>
      </c>
      <c r="J30" s="1125">
        <f t="shared" si="15"/>
        <v>84829936664</v>
      </c>
      <c r="K30" s="1125">
        <f t="shared" si="15"/>
        <v>0</v>
      </c>
      <c r="L30" s="1129">
        <f t="shared" si="1"/>
        <v>479.72427269075666</v>
      </c>
      <c r="M30" s="1757" t="s">
        <v>682</v>
      </c>
      <c r="N30" s="1125">
        <f>+N19+N29</f>
        <v>11405691028</v>
      </c>
      <c r="O30" s="1126">
        <f t="shared" ref="O30:R30" si="16">+O19+O29</f>
        <v>13547538791</v>
      </c>
      <c r="P30" s="1125">
        <f t="shared" si="16"/>
        <v>16061839107</v>
      </c>
      <c r="Q30" s="1125">
        <f t="shared" si="16"/>
        <v>16340471761</v>
      </c>
      <c r="R30" s="1127">
        <f t="shared" si="16"/>
        <v>3545399</v>
      </c>
      <c r="S30" s="1128">
        <f t="shared" si="2"/>
        <v>2514300316</v>
      </c>
      <c r="T30" s="1126" t="e">
        <f t="shared" ref="T30:V30" si="17">+T19+T29</f>
        <v>#REF!</v>
      </c>
      <c r="U30" s="1125">
        <f t="shared" si="17"/>
        <v>83884159265</v>
      </c>
      <c r="V30" s="1125" t="e">
        <f t="shared" si="17"/>
        <v>#REF!</v>
      </c>
      <c r="W30" s="1129">
        <f t="shared" si="3"/>
        <v>513.35212649862001</v>
      </c>
      <c r="X30" s="1135"/>
      <c r="Y30" s="1784"/>
    </row>
    <row r="31" spans="1:27" s="1131" customFormat="1" ht="16.5" customHeight="1" thickBot="1" x14ac:dyDescent="0.25">
      <c r="A31" s="407" t="s">
        <v>27</v>
      </c>
      <c r="B31" s="1132" t="s">
        <v>76</v>
      </c>
      <c r="C31" s="1136">
        <f>IF(C19-N19&lt;0,N19-C19,"-")</f>
        <v>4256662442</v>
      </c>
      <c r="D31" s="1137">
        <f t="shared" ref="D31:G31" si="18">IF(D19-O19&lt;0,O19-D19,"-")</f>
        <v>4230281237</v>
      </c>
      <c r="E31" s="1137">
        <f t="shared" si="18"/>
        <v>4134000518</v>
      </c>
      <c r="F31" s="1137">
        <f t="shared" si="18"/>
        <v>4134000518</v>
      </c>
      <c r="G31" s="1137">
        <f t="shared" si="18"/>
        <v>2969136</v>
      </c>
      <c r="H31" s="1138">
        <f>+E31-D31</f>
        <v>-96280719</v>
      </c>
      <c r="I31" s="1139" t="e">
        <f t="shared" ref="I31:K31" si="19">IF(I19-T19&lt;0,T19-I19,"-")</f>
        <v>#REF!</v>
      </c>
      <c r="J31" s="1137" t="str">
        <f t="shared" si="19"/>
        <v>-</v>
      </c>
      <c r="K31" s="1137" t="e">
        <f t="shared" si="19"/>
        <v>#REF!</v>
      </c>
      <c r="L31" s="1765"/>
      <c r="M31" s="1680" t="s">
        <v>77</v>
      </c>
      <c r="N31" s="1137" t="str">
        <f>IF(C19-N19&gt;0,C19-N19,"-")</f>
        <v>-</v>
      </c>
      <c r="O31" s="1139" t="str">
        <f t="shared" ref="O31:R31" si="20">IF(D19-O19&gt;0,D19-O19,"-")</f>
        <v>-</v>
      </c>
      <c r="P31" s="1137" t="str">
        <f t="shared" si="20"/>
        <v>-</v>
      </c>
      <c r="Q31" s="1137" t="str">
        <f t="shared" si="20"/>
        <v>-</v>
      </c>
      <c r="R31" s="1138" t="str">
        <f t="shared" si="20"/>
        <v>-</v>
      </c>
      <c r="S31" s="1141"/>
      <c r="T31" s="1139" t="e">
        <f t="shared" ref="T31:V31" si="21">IF(I19-T19&gt;0,I19-T19,"-")</f>
        <v>#REF!</v>
      </c>
      <c r="U31" s="1137">
        <f t="shared" si="21"/>
        <v>727576456</v>
      </c>
      <c r="V31" s="1137" t="e">
        <f t="shared" si="21"/>
        <v>#REF!</v>
      </c>
      <c r="W31" s="1140"/>
      <c r="X31" s="1142"/>
      <c r="Y31" s="1784"/>
    </row>
    <row r="32" spans="1:27" s="1131" customFormat="1" ht="16.5" customHeight="1" thickBot="1" x14ac:dyDescent="0.25">
      <c r="A32" s="407" t="s">
        <v>28</v>
      </c>
      <c r="B32" s="1132" t="s">
        <v>507</v>
      </c>
      <c r="C32" s="1136" t="str">
        <f>IF(C19+C20+C26-N30&lt;0,N30-(C19+C20+C26),"-")</f>
        <v>-</v>
      </c>
      <c r="D32" s="1137" t="str">
        <f t="shared" ref="D32:G32" si="22">IF(D19+D20+D26-O30&lt;0,O30-(D19+D20+D26),"-")</f>
        <v>-</v>
      </c>
      <c r="E32" s="1137" t="str">
        <f t="shared" si="22"/>
        <v>-</v>
      </c>
      <c r="F32" s="1137" t="str">
        <f t="shared" si="22"/>
        <v>-</v>
      </c>
      <c r="G32" s="1137">
        <f t="shared" si="22"/>
        <v>2969136</v>
      </c>
      <c r="H32" s="1138"/>
      <c r="I32" s="1139" t="e">
        <f t="shared" ref="I32:K32" si="23">IF(I19+I20+I26-T30&lt;0,T30-(I19+I20+I26),"-")</f>
        <v>#REF!</v>
      </c>
      <c r="J32" s="1753" t="str">
        <f t="shared" si="23"/>
        <v>-</v>
      </c>
      <c r="K32" s="1137" t="e">
        <f t="shared" si="23"/>
        <v>#REF!</v>
      </c>
      <c r="L32" s="1140"/>
      <c r="M32" s="1680" t="s">
        <v>508</v>
      </c>
      <c r="N32" s="1137">
        <f>IF(C19+C20+C26-N30&gt;0,C19+C20+C26-N30,"-")</f>
        <v>911226302</v>
      </c>
      <c r="O32" s="1139">
        <f t="shared" ref="O32:R32" si="24">IF(D19+D20+D26-O30&gt;0,D19+D20+D26-O30,"-")</f>
        <v>1246308706</v>
      </c>
      <c r="P32" s="1137">
        <f t="shared" si="24"/>
        <v>1342589425</v>
      </c>
      <c r="Q32" s="1137">
        <f t="shared" si="24"/>
        <v>1342589425</v>
      </c>
      <c r="R32" s="1138" t="str">
        <f t="shared" si="24"/>
        <v>-</v>
      </c>
      <c r="S32" s="1141">
        <f t="shared" si="2"/>
        <v>96280719</v>
      </c>
      <c r="T32" s="1139" t="e">
        <f t="shared" ref="T32:V32" si="25">IF(I19+I20+I26-T30&gt;0,I19+I20+I26-T30,"-")</f>
        <v>#REF!</v>
      </c>
      <c r="U32" s="1137">
        <f>IF(J19+J20+J26-U30&gt;0,J19+J20+J26-U30,"-")</f>
        <v>945777399</v>
      </c>
      <c r="V32" s="1137" t="e">
        <f t="shared" si="25"/>
        <v>#REF!</v>
      </c>
      <c r="W32" s="1140">
        <f>IF(Q32=0,"",U32/Q32*100)</f>
        <v>70.444275918529598</v>
      </c>
      <c r="X32" s="1142"/>
      <c r="Y32" s="1784"/>
    </row>
    <row r="33" spans="1:25" s="1131" customFormat="1" ht="12" x14ac:dyDescent="0.2">
      <c r="A33" s="403"/>
      <c r="B33" s="1779"/>
      <c r="C33" s="1779"/>
      <c r="D33" s="1779"/>
      <c r="E33" s="1779"/>
      <c r="F33" s="1779"/>
      <c r="G33" s="1779"/>
      <c r="H33" s="1779"/>
      <c r="I33" s="1779"/>
      <c r="J33" s="1779"/>
      <c r="K33" s="1779"/>
      <c r="L33" s="1779"/>
      <c r="M33" s="1779"/>
      <c r="S33" s="1143"/>
      <c r="W33" s="1144"/>
      <c r="X33" s="1144"/>
      <c r="Y33" s="1145"/>
    </row>
    <row r="34" spans="1:25" x14ac:dyDescent="0.2">
      <c r="Y34" s="162"/>
    </row>
    <row r="35" spans="1:25" x14ac:dyDescent="0.2">
      <c r="Y35" s="162"/>
    </row>
    <row r="36" spans="1:25" x14ac:dyDescent="0.2">
      <c r="Y36" s="162"/>
    </row>
    <row r="37" spans="1:25" x14ac:dyDescent="0.2">
      <c r="Y37" s="162"/>
    </row>
    <row r="38" spans="1:25" x14ac:dyDescent="0.2">
      <c r="Y38" s="162"/>
    </row>
    <row r="39" spans="1:25" x14ac:dyDescent="0.2">
      <c r="Y39" s="162"/>
    </row>
  </sheetData>
  <mergeCells count="7">
    <mergeCell ref="B33:M33"/>
    <mergeCell ref="A3:W3"/>
    <mergeCell ref="B4:L4"/>
    <mergeCell ref="Y1:Y32"/>
    <mergeCell ref="A4:A5"/>
    <mergeCell ref="M4:W4"/>
    <mergeCell ref="A1:W1"/>
  </mergeCells>
  <phoneticPr fontId="45" type="noConversion"/>
  <printOptions horizontalCentered="1"/>
  <pageMargins left="0.19685039370078741" right="0.19685039370078741" top="0.59055118110236227" bottom="0.59055118110236227" header="0.47244094488188981" footer="0.27559055118110237"/>
  <pageSetup paperSize="9" scale="59" orientation="landscape" r:id="rId1"/>
  <headerFooter alignWithMargins="0">
    <oddHeader xml:space="preserve">&amp;R&amp;"Times New Roman CE,Félkövér dőlt"&amp;11 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59"/>
  <sheetViews>
    <sheetView view="pageBreakPreview" topLeftCell="A43" zoomScale="130" zoomScaleNormal="100" zoomScaleSheetLayoutView="130" workbookViewId="0">
      <selection activeCell="A2" sqref="A2:H2"/>
    </sheetView>
  </sheetViews>
  <sheetFormatPr defaultRowHeight="12.75" x14ac:dyDescent="0.2"/>
  <cols>
    <col min="1" max="1" width="9.6640625" style="985" customWidth="1"/>
    <col min="2" max="2" width="59.83203125" style="82" customWidth="1"/>
    <col min="3" max="4" width="15.6640625" style="83" customWidth="1"/>
    <col min="5" max="5" width="15.5" style="83" customWidth="1"/>
    <col min="6" max="7" width="16.6640625" style="83" hidden="1" customWidth="1"/>
    <col min="8" max="8" width="14.83203125" style="83" customWidth="1"/>
    <col min="9" max="12" width="14.83203125" style="83" hidden="1" customWidth="1"/>
    <col min="13" max="14" width="9.33203125" style="25"/>
    <col min="15" max="15" width="10.1640625" style="25" bestFit="1" customWidth="1"/>
    <col min="16" max="261" width="9.33203125" style="25"/>
    <col min="262" max="262" width="19.5" style="25" customWidth="1"/>
    <col min="263" max="263" width="69.33203125" style="25" customWidth="1"/>
    <col min="264" max="264" width="21.5" style="25" customWidth="1"/>
    <col min="265" max="517" width="9.33203125" style="25"/>
    <col min="518" max="518" width="19.5" style="25" customWidth="1"/>
    <col min="519" max="519" width="69.33203125" style="25" customWidth="1"/>
    <col min="520" max="520" width="21.5" style="25" customWidth="1"/>
    <col min="521" max="773" width="9.33203125" style="25"/>
    <col min="774" max="774" width="19.5" style="25" customWidth="1"/>
    <col min="775" max="775" width="69.33203125" style="25" customWidth="1"/>
    <col min="776" max="776" width="21.5" style="25" customWidth="1"/>
    <col min="777" max="1029" width="9.33203125" style="25"/>
    <col min="1030" max="1030" width="19.5" style="25" customWidth="1"/>
    <col min="1031" max="1031" width="69.33203125" style="25" customWidth="1"/>
    <col min="1032" max="1032" width="21.5" style="25" customWidth="1"/>
    <col min="1033" max="1285" width="9.33203125" style="25"/>
    <col min="1286" max="1286" width="19.5" style="25" customWidth="1"/>
    <col min="1287" max="1287" width="69.33203125" style="25" customWidth="1"/>
    <col min="1288" max="1288" width="21.5" style="25" customWidth="1"/>
    <col min="1289" max="1541" width="9.33203125" style="25"/>
    <col min="1542" max="1542" width="19.5" style="25" customWidth="1"/>
    <col min="1543" max="1543" width="69.33203125" style="25" customWidth="1"/>
    <col min="1544" max="1544" width="21.5" style="25" customWidth="1"/>
    <col min="1545" max="1797" width="9.33203125" style="25"/>
    <col min="1798" max="1798" width="19.5" style="25" customWidth="1"/>
    <col min="1799" max="1799" width="69.33203125" style="25" customWidth="1"/>
    <col min="1800" max="1800" width="21.5" style="25" customWidth="1"/>
    <col min="1801" max="2053" width="9.33203125" style="25"/>
    <col min="2054" max="2054" width="19.5" style="25" customWidth="1"/>
    <col min="2055" max="2055" width="69.33203125" style="25" customWidth="1"/>
    <col min="2056" max="2056" width="21.5" style="25" customWidth="1"/>
    <col min="2057" max="2309" width="9.33203125" style="25"/>
    <col min="2310" max="2310" width="19.5" style="25" customWidth="1"/>
    <col min="2311" max="2311" width="69.33203125" style="25" customWidth="1"/>
    <col min="2312" max="2312" width="21.5" style="25" customWidth="1"/>
    <col min="2313" max="2565" width="9.33203125" style="25"/>
    <col min="2566" max="2566" width="19.5" style="25" customWidth="1"/>
    <col min="2567" max="2567" width="69.33203125" style="25" customWidth="1"/>
    <col min="2568" max="2568" width="21.5" style="25" customWidth="1"/>
    <col min="2569" max="2821" width="9.33203125" style="25"/>
    <col min="2822" max="2822" width="19.5" style="25" customWidth="1"/>
    <col min="2823" max="2823" width="69.33203125" style="25" customWidth="1"/>
    <col min="2824" max="2824" width="21.5" style="25" customWidth="1"/>
    <col min="2825" max="3077" width="9.33203125" style="25"/>
    <col min="3078" max="3078" width="19.5" style="25" customWidth="1"/>
    <col min="3079" max="3079" width="69.33203125" style="25" customWidth="1"/>
    <col min="3080" max="3080" width="21.5" style="25" customWidth="1"/>
    <col min="3081" max="3333" width="9.33203125" style="25"/>
    <col min="3334" max="3334" width="19.5" style="25" customWidth="1"/>
    <col min="3335" max="3335" width="69.33203125" style="25" customWidth="1"/>
    <col min="3336" max="3336" width="21.5" style="25" customWidth="1"/>
    <col min="3337" max="3589" width="9.33203125" style="25"/>
    <col min="3590" max="3590" width="19.5" style="25" customWidth="1"/>
    <col min="3591" max="3591" width="69.33203125" style="25" customWidth="1"/>
    <col min="3592" max="3592" width="21.5" style="25" customWidth="1"/>
    <col min="3593" max="3845" width="9.33203125" style="25"/>
    <col min="3846" max="3846" width="19.5" style="25" customWidth="1"/>
    <col min="3847" max="3847" width="69.33203125" style="25" customWidth="1"/>
    <col min="3848" max="3848" width="21.5" style="25" customWidth="1"/>
    <col min="3849" max="4101" width="9.33203125" style="25"/>
    <col min="4102" max="4102" width="19.5" style="25" customWidth="1"/>
    <col min="4103" max="4103" width="69.33203125" style="25" customWidth="1"/>
    <col min="4104" max="4104" width="21.5" style="25" customWidth="1"/>
    <col min="4105" max="4357" width="9.33203125" style="25"/>
    <col min="4358" max="4358" width="19.5" style="25" customWidth="1"/>
    <col min="4359" max="4359" width="69.33203125" style="25" customWidth="1"/>
    <col min="4360" max="4360" width="21.5" style="25" customWidth="1"/>
    <col min="4361" max="4613" width="9.33203125" style="25"/>
    <col min="4614" max="4614" width="19.5" style="25" customWidth="1"/>
    <col min="4615" max="4615" width="69.33203125" style="25" customWidth="1"/>
    <col min="4616" max="4616" width="21.5" style="25" customWidth="1"/>
    <col min="4617" max="4869" width="9.33203125" style="25"/>
    <col min="4870" max="4870" width="19.5" style="25" customWidth="1"/>
    <col min="4871" max="4871" width="69.33203125" style="25" customWidth="1"/>
    <col min="4872" max="4872" width="21.5" style="25" customWidth="1"/>
    <col min="4873" max="5125" width="9.33203125" style="25"/>
    <col min="5126" max="5126" width="19.5" style="25" customWidth="1"/>
    <col min="5127" max="5127" width="69.33203125" style="25" customWidth="1"/>
    <col min="5128" max="5128" width="21.5" style="25" customWidth="1"/>
    <col min="5129" max="5381" width="9.33203125" style="25"/>
    <col min="5382" max="5382" width="19.5" style="25" customWidth="1"/>
    <col min="5383" max="5383" width="69.33203125" style="25" customWidth="1"/>
    <col min="5384" max="5384" width="21.5" style="25" customWidth="1"/>
    <col min="5385" max="5637" width="9.33203125" style="25"/>
    <col min="5638" max="5638" width="19.5" style="25" customWidth="1"/>
    <col min="5639" max="5639" width="69.33203125" style="25" customWidth="1"/>
    <col min="5640" max="5640" width="21.5" style="25" customWidth="1"/>
    <col min="5641" max="5893" width="9.33203125" style="25"/>
    <col min="5894" max="5894" width="19.5" style="25" customWidth="1"/>
    <col min="5895" max="5895" width="69.33203125" style="25" customWidth="1"/>
    <col min="5896" max="5896" width="21.5" style="25" customWidth="1"/>
    <col min="5897" max="6149" width="9.33203125" style="25"/>
    <col min="6150" max="6150" width="19.5" style="25" customWidth="1"/>
    <col min="6151" max="6151" width="69.33203125" style="25" customWidth="1"/>
    <col min="6152" max="6152" width="21.5" style="25" customWidth="1"/>
    <col min="6153" max="6405" width="9.33203125" style="25"/>
    <col min="6406" max="6406" width="19.5" style="25" customWidth="1"/>
    <col min="6407" max="6407" width="69.33203125" style="25" customWidth="1"/>
    <col min="6408" max="6408" width="21.5" style="25" customWidth="1"/>
    <col min="6409" max="6661" width="9.33203125" style="25"/>
    <col min="6662" max="6662" width="19.5" style="25" customWidth="1"/>
    <col min="6663" max="6663" width="69.33203125" style="25" customWidth="1"/>
    <col min="6664" max="6664" width="21.5" style="25" customWidth="1"/>
    <col min="6665" max="6917" width="9.33203125" style="25"/>
    <col min="6918" max="6918" width="19.5" style="25" customWidth="1"/>
    <col min="6919" max="6919" width="69.33203125" style="25" customWidth="1"/>
    <col min="6920" max="6920" width="21.5" style="25" customWidth="1"/>
    <col min="6921" max="7173" width="9.33203125" style="25"/>
    <col min="7174" max="7174" width="19.5" style="25" customWidth="1"/>
    <col min="7175" max="7175" width="69.33203125" style="25" customWidth="1"/>
    <col min="7176" max="7176" width="21.5" style="25" customWidth="1"/>
    <col min="7177" max="7429" width="9.33203125" style="25"/>
    <col min="7430" max="7430" width="19.5" style="25" customWidth="1"/>
    <col min="7431" max="7431" width="69.33203125" style="25" customWidth="1"/>
    <col min="7432" max="7432" width="21.5" style="25" customWidth="1"/>
    <col min="7433" max="7685" width="9.33203125" style="25"/>
    <col min="7686" max="7686" width="19.5" style="25" customWidth="1"/>
    <col min="7687" max="7687" width="69.33203125" style="25" customWidth="1"/>
    <col min="7688" max="7688" width="21.5" style="25" customWidth="1"/>
    <col min="7689" max="7941" width="9.33203125" style="25"/>
    <col min="7942" max="7942" width="19.5" style="25" customWidth="1"/>
    <col min="7943" max="7943" width="69.33203125" style="25" customWidth="1"/>
    <col min="7944" max="7944" width="21.5" style="25" customWidth="1"/>
    <col min="7945" max="8197" width="9.33203125" style="25"/>
    <col min="8198" max="8198" width="19.5" style="25" customWidth="1"/>
    <col min="8199" max="8199" width="69.33203125" style="25" customWidth="1"/>
    <col min="8200" max="8200" width="21.5" style="25" customWidth="1"/>
    <col min="8201" max="8453" width="9.33203125" style="25"/>
    <col min="8454" max="8454" width="19.5" style="25" customWidth="1"/>
    <col min="8455" max="8455" width="69.33203125" style="25" customWidth="1"/>
    <col min="8456" max="8456" width="21.5" style="25" customWidth="1"/>
    <col min="8457" max="8709" width="9.33203125" style="25"/>
    <col min="8710" max="8710" width="19.5" style="25" customWidth="1"/>
    <col min="8711" max="8711" width="69.33203125" style="25" customWidth="1"/>
    <col min="8712" max="8712" width="21.5" style="25" customWidth="1"/>
    <col min="8713" max="8965" width="9.33203125" style="25"/>
    <col min="8966" max="8966" width="19.5" style="25" customWidth="1"/>
    <col min="8967" max="8967" width="69.33203125" style="25" customWidth="1"/>
    <col min="8968" max="8968" width="21.5" style="25" customWidth="1"/>
    <col min="8969" max="9221" width="9.33203125" style="25"/>
    <col min="9222" max="9222" width="19.5" style="25" customWidth="1"/>
    <col min="9223" max="9223" width="69.33203125" style="25" customWidth="1"/>
    <col min="9224" max="9224" width="21.5" style="25" customWidth="1"/>
    <col min="9225" max="9477" width="9.33203125" style="25"/>
    <col min="9478" max="9478" width="19.5" style="25" customWidth="1"/>
    <col min="9479" max="9479" width="69.33203125" style="25" customWidth="1"/>
    <col min="9480" max="9480" width="21.5" style="25" customWidth="1"/>
    <col min="9481" max="9733" width="9.33203125" style="25"/>
    <col min="9734" max="9734" width="19.5" style="25" customWidth="1"/>
    <col min="9735" max="9735" width="69.33203125" style="25" customWidth="1"/>
    <col min="9736" max="9736" width="21.5" style="25" customWidth="1"/>
    <col min="9737" max="9989" width="9.33203125" style="25"/>
    <col min="9990" max="9990" width="19.5" style="25" customWidth="1"/>
    <col min="9991" max="9991" width="69.33203125" style="25" customWidth="1"/>
    <col min="9992" max="9992" width="21.5" style="25" customWidth="1"/>
    <col min="9993" max="10245" width="9.33203125" style="25"/>
    <col min="10246" max="10246" width="19.5" style="25" customWidth="1"/>
    <col min="10247" max="10247" width="69.33203125" style="25" customWidth="1"/>
    <col min="10248" max="10248" width="21.5" style="25" customWidth="1"/>
    <col min="10249" max="10501" width="9.33203125" style="25"/>
    <col min="10502" max="10502" width="19.5" style="25" customWidth="1"/>
    <col min="10503" max="10503" width="69.33203125" style="25" customWidth="1"/>
    <col min="10504" max="10504" width="21.5" style="25" customWidth="1"/>
    <col min="10505" max="10757" width="9.33203125" style="25"/>
    <col min="10758" max="10758" width="19.5" style="25" customWidth="1"/>
    <col min="10759" max="10759" width="69.33203125" style="25" customWidth="1"/>
    <col min="10760" max="10760" width="21.5" style="25" customWidth="1"/>
    <col min="10761" max="11013" width="9.33203125" style="25"/>
    <col min="11014" max="11014" width="19.5" style="25" customWidth="1"/>
    <col min="11015" max="11015" width="69.33203125" style="25" customWidth="1"/>
    <col min="11016" max="11016" width="21.5" style="25" customWidth="1"/>
    <col min="11017" max="11269" width="9.33203125" style="25"/>
    <col min="11270" max="11270" width="19.5" style="25" customWidth="1"/>
    <col min="11271" max="11271" width="69.33203125" style="25" customWidth="1"/>
    <col min="11272" max="11272" width="21.5" style="25" customWidth="1"/>
    <col min="11273" max="11525" width="9.33203125" style="25"/>
    <col min="11526" max="11526" width="19.5" style="25" customWidth="1"/>
    <col min="11527" max="11527" width="69.33203125" style="25" customWidth="1"/>
    <col min="11528" max="11528" width="21.5" style="25" customWidth="1"/>
    <col min="11529" max="11781" width="9.33203125" style="25"/>
    <col min="11782" max="11782" width="19.5" style="25" customWidth="1"/>
    <col min="11783" max="11783" width="69.33203125" style="25" customWidth="1"/>
    <col min="11784" max="11784" width="21.5" style="25" customWidth="1"/>
    <col min="11785" max="12037" width="9.33203125" style="25"/>
    <col min="12038" max="12038" width="19.5" style="25" customWidth="1"/>
    <col min="12039" max="12039" width="69.33203125" style="25" customWidth="1"/>
    <col min="12040" max="12040" width="21.5" style="25" customWidth="1"/>
    <col min="12041" max="12293" width="9.33203125" style="25"/>
    <col min="12294" max="12294" width="19.5" style="25" customWidth="1"/>
    <col min="12295" max="12295" width="69.33203125" style="25" customWidth="1"/>
    <col min="12296" max="12296" width="21.5" style="25" customWidth="1"/>
    <col min="12297" max="12549" width="9.33203125" style="25"/>
    <col min="12550" max="12550" width="19.5" style="25" customWidth="1"/>
    <col min="12551" max="12551" width="69.33203125" style="25" customWidth="1"/>
    <col min="12552" max="12552" width="21.5" style="25" customWidth="1"/>
    <col min="12553" max="12805" width="9.33203125" style="25"/>
    <col min="12806" max="12806" width="19.5" style="25" customWidth="1"/>
    <col min="12807" max="12807" width="69.33203125" style="25" customWidth="1"/>
    <col min="12808" max="12808" width="21.5" style="25" customWidth="1"/>
    <col min="12809" max="13061" width="9.33203125" style="25"/>
    <col min="13062" max="13062" width="19.5" style="25" customWidth="1"/>
    <col min="13063" max="13063" width="69.33203125" style="25" customWidth="1"/>
    <col min="13064" max="13064" width="21.5" style="25" customWidth="1"/>
    <col min="13065" max="13317" width="9.33203125" style="25"/>
    <col min="13318" max="13318" width="19.5" style="25" customWidth="1"/>
    <col min="13319" max="13319" width="69.33203125" style="25" customWidth="1"/>
    <col min="13320" max="13320" width="21.5" style="25" customWidth="1"/>
    <col min="13321" max="13573" width="9.33203125" style="25"/>
    <col min="13574" max="13574" width="19.5" style="25" customWidth="1"/>
    <col min="13575" max="13575" width="69.33203125" style="25" customWidth="1"/>
    <col min="13576" max="13576" width="21.5" style="25" customWidth="1"/>
    <col min="13577" max="13829" width="9.33203125" style="25"/>
    <col min="13830" max="13830" width="19.5" style="25" customWidth="1"/>
    <col min="13831" max="13831" width="69.33203125" style="25" customWidth="1"/>
    <col min="13832" max="13832" width="21.5" style="25" customWidth="1"/>
    <col min="13833" max="14085" width="9.33203125" style="25"/>
    <col min="14086" max="14086" width="19.5" style="25" customWidth="1"/>
    <col min="14087" max="14087" width="69.33203125" style="25" customWidth="1"/>
    <col min="14088" max="14088" width="21.5" style="25" customWidth="1"/>
    <col min="14089" max="14341" width="9.33203125" style="25"/>
    <col min="14342" max="14342" width="19.5" style="25" customWidth="1"/>
    <col min="14343" max="14343" width="69.33203125" style="25" customWidth="1"/>
    <col min="14344" max="14344" width="21.5" style="25" customWidth="1"/>
    <col min="14345" max="14597" width="9.33203125" style="25"/>
    <col min="14598" max="14598" width="19.5" style="25" customWidth="1"/>
    <col min="14599" max="14599" width="69.33203125" style="25" customWidth="1"/>
    <col min="14600" max="14600" width="21.5" style="25" customWidth="1"/>
    <col min="14601" max="14853" width="9.33203125" style="25"/>
    <col min="14854" max="14854" width="19.5" style="25" customWidth="1"/>
    <col min="14855" max="14855" width="69.33203125" style="25" customWidth="1"/>
    <col min="14856" max="14856" width="21.5" style="25" customWidth="1"/>
    <col min="14857" max="15109" width="9.33203125" style="25"/>
    <col min="15110" max="15110" width="19.5" style="25" customWidth="1"/>
    <col min="15111" max="15111" width="69.33203125" style="25" customWidth="1"/>
    <col min="15112" max="15112" width="21.5" style="25" customWidth="1"/>
    <col min="15113" max="15365" width="9.33203125" style="25"/>
    <col min="15366" max="15366" width="19.5" style="25" customWidth="1"/>
    <col min="15367" max="15367" width="69.33203125" style="25" customWidth="1"/>
    <col min="15368" max="15368" width="21.5" style="25" customWidth="1"/>
    <col min="15369" max="15621" width="9.33203125" style="25"/>
    <col min="15622" max="15622" width="19.5" style="25" customWidth="1"/>
    <col min="15623" max="15623" width="69.33203125" style="25" customWidth="1"/>
    <col min="15624" max="15624" width="21.5" style="25" customWidth="1"/>
    <col min="15625" max="15877" width="9.33203125" style="25"/>
    <col min="15878" max="15878" width="19.5" style="25" customWidth="1"/>
    <col min="15879" max="15879" width="69.33203125" style="25" customWidth="1"/>
    <col min="15880" max="15880" width="21.5" style="25" customWidth="1"/>
    <col min="15881" max="16133" width="9.33203125" style="25"/>
    <col min="16134" max="16134" width="19.5" style="25" customWidth="1"/>
    <col min="16135" max="16135" width="69.33203125" style="25" customWidth="1"/>
    <col min="16136" max="16136" width="21.5" style="25" customWidth="1"/>
    <col min="16137" max="16384" width="9.33203125" style="25"/>
  </cols>
  <sheetData>
    <row r="1" spans="1:16" x14ac:dyDescent="0.2">
      <c r="A1" s="1774" t="s">
        <v>803</v>
      </c>
      <c r="B1" s="1774"/>
      <c r="C1" s="1774"/>
      <c r="D1" s="1774"/>
      <c r="E1" s="1774"/>
      <c r="F1" s="1774"/>
      <c r="G1" s="1774"/>
      <c r="H1" s="1774"/>
      <c r="I1" s="25"/>
      <c r="J1" s="25"/>
      <c r="K1" s="25"/>
      <c r="L1" s="25"/>
    </row>
    <row r="2" spans="1:16" x14ac:dyDescent="0.2">
      <c r="A2" s="1774" t="s">
        <v>724</v>
      </c>
      <c r="B2" s="1774"/>
      <c r="C2" s="1774"/>
      <c r="D2" s="1774"/>
      <c r="E2" s="1774"/>
      <c r="F2" s="1774"/>
      <c r="G2" s="1774"/>
      <c r="H2" s="1774"/>
      <c r="I2" s="25"/>
      <c r="J2" s="25"/>
      <c r="K2" s="25"/>
      <c r="L2" s="25"/>
    </row>
    <row r="3" spans="1:16" s="24" customFormat="1" ht="18" customHeight="1" x14ac:dyDescent="0.2">
      <c r="A3" s="169"/>
      <c r="B3" s="170"/>
      <c r="C3" s="982"/>
      <c r="D3" s="982"/>
      <c r="E3" s="982"/>
      <c r="F3" s="982"/>
      <c r="G3" s="982"/>
      <c r="H3" s="982"/>
      <c r="I3" s="982"/>
      <c r="J3" s="982"/>
      <c r="K3" s="982"/>
      <c r="L3" s="982"/>
    </row>
    <row r="4" spans="1:16" s="38" customFormat="1" ht="21.2" customHeight="1" x14ac:dyDescent="0.2">
      <c r="A4" s="1771" t="s">
        <v>232</v>
      </c>
      <c r="B4" s="1771"/>
      <c r="C4" s="1771"/>
      <c r="D4" s="1771"/>
      <c r="E4" s="1771"/>
      <c r="F4" s="1771"/>
      <c r="G4" s="1771"/>
      <c r="H4" s="1771"/>
    </row>
    <row r="5" spans="1:16" s="38" customFormat="1" ht="21.2" customHeight="1" x14ac:dyDescent="0.2">
      <c r="A5" s="1771" t="str">
        <f>'26._önként_össz_bev'!A6:C6</f>
        <v>2023. ÉVI KÖLTSÉGVETÉS</v>
      </c>
      <c r="B5" s="1771"/>
      <c r="C5" s="1771"/>
      <c r="D5" s="1771"/>
      <c r="E5" s="1771"/>
      <c r="F5" s="1771"/>
      <c r="G5" s="1771"/>
      <c r="H5" s="1771"/>
    </row>
    <row r="6" spans="1:16" s="38" customFormat="1" ht="21.2" customHeight="1" x14ac:dyDescent="0.2">
      <c r="A6" s="1771" t="s">
        <v>400</v>
      </c>
      <c r="B6" s="1771"/>
      <c r="C6" s="1771"/>
      <c r="D6" s="1771"/>
      <c r="E6" s="1771"/>
      <c r="F6" s="1771"/>
      <c r="G6" s="1771"/>
      <c r="H6" s="1771"/>
    </row>
    <row r="7" spans="1:16" s="38" customFormat="1" ht="15.75" x14ac:dyDescent="0.2">
      <c r="A7" s="981"/>
      <c r="B7" s="981"/>
      <c r="C7" s="981"/>
      <c r="D7" s="981"/>
      <c r="E7" s="981"/>
      <c r="F7" s="981"/>
      <c r="G7" s="981"/>
      <c r="H7" s="981"/>
      <c r="I7" s="981"/>
      <c r="J7" s="981"/>
      <c r="K7" s="981"/>
      <c r="L7" s="981"/>
    </row>
    <row r="8" spans="1:16" ht="14.25" thickBot="1" x14ac:dyDescent="0.3">
      <c r="A8" s="1805" t="s">
        <v>362</v>
      </c>
      <c r="B8" s="1805"/>
      <c r="C8" s="1805"/>
      <c r="D8" s="1805"/>
      <c r="E8" s="1805"/>
      <c r="F8" s="1805"/>
      <c r="G8" s="1805"/>
      <c r="H8" s="1805"/>
      <c r="I8" s="25"/>
      <c r="J8" s="25"/>
      <c r="K8" s="25"/>
      <c r="L8" s="25"/>
    </row>
    <row r="9" spans="1:16" s="46" customFormat="1" ht="54" customHeight="1" thickBot="1" x14ac:dyDescent="0.25">
      <c r="A9" s="43" t="s">
        <v>129</v>
      </c>
      <c r="B9" s="642" t="s">
        <v>34</v>
      </c>
      <c r="C9" s="97" t="str">
        <f>'26._önként_össz_bev'!C10</f>
        <v>2023. évi eredeti előirányzat
2/2023. (II.14.)</v>
      </c>
      <c r="D9" s="181" t="str">
        <f>'26._önként_össz_bev'!D10</f>
        <v>Módosított előirányzat a 14/2023.  (VI.29.)  rendelet szerint</v>
      </c>
      <c r="E9" s="97" t="str">
        <f>'26._önként_össz_bev'!E10</f>
        <v>Módosított előirányzat a 18/2023. (IX.26.)  rendelet szerint</v>
      </c>
      <c r="F9" s="97" t="str">
        <f>'26._önként_össz_bev'!F10</f>
        <v>Módosított előirányzat 2023.09.30-án</v>
      </c>
      <c r="G9" s="97" t="str">
        <f>'26._önként_össz_bev'!G10</f>
        <v>Módosított előirányzat a …../2023. (II…..)  rendelet szerint</v>
      </c>
      <c r="H9" s="112" t="str">
        <f>'26._önként_össz_bev'!H10</f>
        <v>Változás a 14/2023. (VI.29.) rendelethez képest</v>
      </c>
      <c r="I9" s="181" t="str">
        <f>'26._önként_össz_bev'!I10</f>
        <v>2023. évi teljesítés              2023.06.30-ig</v>
      </c>
      <c r="J9" s="97" t="str">
        <f>'26._önként_össz_bev'!J10</f>
        <v>2023. évi teljesítés              2023.09.30-ig</v>
      </c>
      <c r="K9" s="97" t="str">
        <f>'26._önként_össz_bev'!K10</f>
        <v>2023. évi teljesítés              2023.12.31-ig</v>
      </c>
      <c r="L9" s="97" t="str">
        <f>'26._önként_össz_bev'!L10</f>
        <v>Teljesítés %-a</v>
      </c>
    </row>
    <row r="10" spans="1:16" s="46" customFormat="1" ht="14.25" customHeight="1" thickBot="1" x14ac:dyDescent="0.25">
      <c r="A10" s="43" t="s">
        <v>297</v>
      </c>
      <c r="B10" s="44" t="s">
        <v>298</v>
      </c>
      <c r="C10" s="44" t="s">
        <v>299</v>
      </c>
      <c r="D10" s="182" t="s">
        <v>300</v>
      </c>
      <c r="E10" s="565" t="s">
        <v>301</v>
      </c>
      <c r="F10" s="565"/>
      <c r="G10" s="565"/>
      <c r="H10" s="45" t="s">
        <v>388</v>
      </c>
      <c r="I10" s="180"/>
      <c r="J10" s="45"/>
      <c r="K10" s="45"/>
      <c r="L10" s="45"/>
    </row>
    <row r="11" spans="1:16" s="31" customFormat="1" ht="12.2" customHeight="1" thickBot="1" x14ac:dyDescent="0.25">
      <c r="A11" s="76" t="s">
        <v>12</v>
      </c>
      <c r="B11" s="815" t="s">
        <v>547</v>
      </c>
      <c r="C11" s="1021">
        <f>C12+C14+C15+C16+C17</f>
        <v>3032821611</v>
      </c>
      <c r="D11" s="183">
        <f>D12+D14+D15+D16+D17</f>
        <v>3022600903</v>
      </c>
      <c r="E11" s="574">
        <f>E12+E14+E15+E16+E17</f>
        <v>3346794877</v>
      </c>
      <c r="F11" s="574">
        <f t="shared" ref="F11:K11" si="0">F12+F14+F15+F16+F17</f>
        <v>0</v>
      </c>
      <c r="G11" s="574">
        <f t="shared" si="0"/>
        <v>0</v>
      </c>
      <c r="H11" s="77">
        <f>+E11-D11</f>
        <v>324193974</v>
      </c>
      <c r="I11" s="670">
        <f t="shared" si="0"/>
        <v>0</v>
      </c>
      <c r="J11" s="77">
        <f t="shared" si="0"/>
        <v>0</v>
      </c>
      <c r="K11" s="77">
        <f t="shared" si="0"/>
        <v>0</v>
      </c>
      <c r="L11" s="77">
        <f t="shared" ref="L11" si="1">L12+L14+L15+L16+L17+L24</f>
        <v>0</v>
      </c>
    </row>
    <row r="12" spans="1:16" ht="12.2" customHeight="1" x14ac:dyDescent="0.2">
      <c r="A12" s="99" t="s">
        <v>91</v>
      </c>
      <c r="B12" s="50" t="s">
        <v>68</v>
      </c>
      <c r="C12" s="117">
        <f>'27._önkorm_önként'!C89+'28._Int össz_önk'!C53</f>
        <v>1407420116</v>
      </c>
      <c r="D12" s="184">
        <f>'27._önkorm_önként'!D89+'28._Int össz_önk'!D53</f>
        <v>1416520116</v>
      </c>
      <c r="E12" s="575">
        <f>'27._önkorm_önként'!E89+'28._Int össz_önk'!E53</f>
        <v>1546075718</v>
      </c>
      <c r="F12" s="575">
        <f>'27._önkorm_önként'!F89+'28._Int össz_önk'!F53</f>
        <v>0</v>
      </c>
      <c r="G12" s="575">
        <f>'27._önkorm_önként'!G89+'28._Int össz_önk'!G53</f>
        <v>0</v>
      </c>
      <c r="H12" s="78">
        <f t="shared" ref="H12:H57" si="2">+E12-D12</f>
        <v>129555602</v>
      </c>
      <c r="I12" s="671">
        <f>'27._önkorm_önként'!I89+'28._Int össz_önk'!I53</f>
        <v>0</v>
      </c>
      <c r="J12" s="78">
        <f>'27._önkorm_önként'!J89+'28._Int össz_önk'!J53</f>
        <v>0</v>
      </c>
      <c r="K12" s="78">
        <f>'27._önkorm_önként'!K89+'28._Int össz_önk'!K53</f>
        <v>0</v>
      </c>
      <c r="L12" s="78">
        <f>'27._önkorm_önként'!L89+'28._Int össz_önk'!L53</f>
        <v>0</v>
      </c>
    </row>
    <row r="13" spans="1:16" ht="12.2" customHeight="1" x14ac:dyDescent="0.2">
      <c r="A13" s="1003" t="s">
        <v>305</v>
      </c>
      <c r="B13" s="335" t="s">
        <v>270</v>
      </c>
      <c r="C13" s="114">
        <f>'27._önkorm_önként'!C90+'28._Int össz_önk'!C54</f>
        <v>0</v>
      </c>
      <c r="D13" s="185">
        <f>'27._önkorm_önként'!D90+'28._Int össz_önk'!D54</f>
        <v>0</v>
      </c>
      <c r="E13" s="567">
        <f>'27._önkorm_önként'!E90+'28._Int össz_önk'!E54</f>
        <v>56111296</v>
      </c>
      <c r="F13" s="567">
        <f>'27._önkorm_önként'!F90+'28._Int össz_önk'!F54</f>
        <v>0</v>
      </c>
      <c r="G13" s="567">
        <f>'27._önkorm_önként'!G90+'28._Int össz_önk'!G54</f>
        <v>0</v>
      </c>
      <c r="H13" s="16">
        <f t="shared" si="2"/>
        <v>56111296</v>
      </c>
      <c r="I13" s="626">
        <f>'27._önkorm_önként'!I90+'28._Int össz_önk'!I54</f>
        <v>0</v>
      </c>
      <c r="J13" s="16">
        <f>'27._önkorm_önként'!J90+'28._Int össz_önk'!J54</f>
        <v>0</v>
      </c>
      <c r="K13" s="16">
        <f>'27._önkorm_önként'!K90+'28._Int össz_önk'!K54</f>
        <v>0</v>
      </c>
      <c r="L13" s="16">
        <f>'27._önkorm_önként'!L90+'28._Int össz_önk'!L54</f>
        <v>0</v>
      </c>
    </row>
    <row r="14" spans="1:16" ht="12.2" customHeight="1" x14ac:dyDescent="0.2">
      <c r="A14" s="1003" t="s">
        <v>92</v>
      </c>
      <c r="B14" s="330" t="s">
        <v>87</v>
      </c>
      <c r="C14" s="401">
        <f>'27._önkorm_önként'!C91+'28._Int össz_önk'!C55</f>
        <v>190963328</v>
      </c>
      <c r="D14" s="325">
        <f>'27._önkorm_önként'!D91+'28._Int össz_önk'!D55</f>
        <v>193511328</v>
      </c>
      <c r="E14" s="568">
        <f>'27._önkorm_önként'!E91+'28._Int össz_önk'!E55</f>
        <v>218444439</v>
      </c>
      <c r="F14" s="568">
        <f>'27._önkorm_önként'!F91+'28._Int össz_önk'!F55</f>
        <v>0</v>
      </c>
      <c r="G14" s="568">
        <f>'27._önkorm_önként'!G91+'28._Int össz_önk'!G55</f>
        <v>0</v>
      </c>
      <c r="H14" s="327">
        <f t="shared" si="2"/>
        <v>24933111</v>
      </c>
      <c r="I14" s="627">
        <f>'27._önkorm_önként'!I91+'28._Int össz_önk'!I55</f>
        <v>0</v>
      </c>
      <c r="J14" s="327">
        <f>'27._önkorm_önként'!J91+'28._Int össz_önk'!J55</f>
        <v>0</v>
      </c>
      <c r="K14" s="327">
        <f>'27._önkorm_önként'!K91+'28._Int össz_önk'!K55</f>
        <v>0</v>
      </c>
      <c r="L14" s="327">
        <f>'27._önkorm_önként'!L91+'28._Int össz_önk'!L55</f>
        <v>0</v>
      </c>
    </row>
    <row r="15" spans="1:16" ht="12.2" customHeight="1" x14ac:dyDescent="0.2">
      <c r="A15" s="1003" t="s">
        <v>93</v>
      </c>
      <c r="B15" s="330" t="s">
        <v>69</v>
      </c>
      <c r="C15" s="504">
        <f>'27._önkorm_önként'!C92+'28._Int össz_önk'!C56</f>
        <v>715606789</v>
      </c>
      <c r="D15" s="625">
        <f>'27._önkorm_önként'!D92+'28._Int össz_önk'!D56</f>
        <v>716706789</v>
      </c>
      <c r="E15" s="569">
        <f>'27._önkorm_önként'!E92+'28._Int össz_önk'!E56</f>
        <v>778157200</v>
      </c>
      <c r="F15" s="569">
        <f>'27._önkorm_önként'!F92+'28._Int össz_önk'!F56</f>
        <v>0</v>
      </c>
      <c r="G15" s="569">
        <f>'27._önkorm_önként'!G92+'28._Int össz_önk'!G56</f>
        <v>0</v>
      </c>
      <c r="H15" s="525">
        <f t="shared" si="2"/>
        <v>61450411</v>
      </c>
      <c r="I15" s="629">
        <f>'27._önkorm_önként'!I92+'28._Int össz_önk'!I56</f>
        <v>0</v>
      </c>
      <c r="J15" s="525">
        <f>'27._önkorm_önként'!J92+'28._Int össz_önk'!J56</f>
        <v>0</v>
      </c>
      <c r="K15" s="525">
        <f>'27._önkorm_önként'!K92+'28._Int össz_önk'!K56</f>
        <v>0</v>
      </c>
      <c r="L15" s="525">
        <f>'27._önkorm_önként'!L92+'28._Int össz_önk'!L56</f>
        <v>0</v>
      </c>
      <c r="P15" s="25" t="s">
        <v>385</v>
      </c>
    </row>
    <row r="16" spans="1:16" ht="12.2" customHeight="1" x14ac:dyDescent="0.2">
      <c r="A16" s="1003" t="s">
        <v>90</v>
      </c>
      <c r="B16" s="330" t="s">
        <v>80</v>
      </c>
      <c r="C16" s="504">
        <f>'27._önkorm_önként'!C93+'28._Int össz_önk'!C57</f>
        <v>170066480</v>
      </c>
      <c r="D16" s="625">
        <f>'27._önkorm_önként'!D93+'28._Int össz_önk'!D57</f>
        <v>170066480</v>
      </c>
      <c r="E16" s="569">
        <f>'27._önkorm_önként'!E93+'28._Int össz_önk'!E57</f>
        <v>170066480</v>
      </c>
      <c r="F16" s="569">
        <f>'27._önkorm_önként'!F93+'28._Int össz_önk'!F57</f>
        <v>0</v>
      </c>
      <c r="G16" s="569">
        <f>'27._önkorm_önként'!G93+'28._Int össz_önk'!G57</f>
        <v>0</v>
      </c>
      <c r="H16" s="525">
        <f t="shared" si="2"/>
        <v>0</v>
      </c>
      <c r="I16" s="629">
        <f>'27._önkorm_önként'!I93+'28._Int össz_önk'!I57</f>
        <v>0</v>
      </c>
      <c r="J16" s="525">
        <f>'27._önkorm_önként'!J93+'28._Int össz_önk'!J57</f>
        <v>0</v>
      </c>
      <c r="K16" s="525">
        <f>'27._önkorm_önként'!K93+'28._Int össz_önk'!K57</f>
        <v>0</v>
      </c>
      <c r="L16" s="525">
        <f>'27._önkorm_önként'!L93+'28._Int össz_önk'!L57</f>
        <v>0</v>
      </c>
    </row>
    <row r="17" spans="1:14" ht="12.2" customHeight="1" x14ac:dyDescent="0.2">
      <c r="A17" s="1003" t="s">
        <v>147</v>
      </c>
      <c r="B17" s="52" t="s">
        <v>88</v>
      </c>
      <c r="C17" s="504">
        <f>SUM(C18:C24)</f>
        <v>548764898</v>
      </c>
      <c r="D17" s="625">
        <f>SUM(D18:D24)</f>
        <v>525796190</v>
      </c>
      <c r="E17" s="569">
        <f>SUM(E18:E24)</f>
        <v>634051040</v>
      </c>
      <c r="F17" s="569">
        <f t="shared" ref="F17:K17" si="3">SUM(F18:F24)</f>
        <v>0</v>
      </c>
      <c r="G17" s="569">
        <f t="shared" si="3"/>
        <v>0</v>
      </c>
      <c r="H17" s="525">
        <f>+E17-D17</f>
        <v>108254850</v>
      </c>
      <c r="I17" s="629">
        <f t="shared" si="3"/>
        <v>0</v>
      </c>
      <c r="J17" s="525">
        <f t="shared" si="3"/>
        <v>0</v>
      </c>
      <c r="K17" s="525">
        <f t="shared" si="3"/>
        <v>0</v>
      </c>
      <c r="L17" s="525">
        <f t="shared" ref="L17" si="4">SUM(L18:L23)</f>
        <v>0</v>
      </c>
    </row>
    <row r="18" spans="1:14" ht="12.2" customHeight="1" x14ac:dyDescent="0.2">
      <c r="A18" s="1003" t="s">
        <v>306</v>
      </c>
      <c r="B18" s="693" t="s">
        <v>554</v>
      </c>
      <c r="C18" s="504">
        <f>'27._önkorm_önként'!C95</f>
        <v>0</v>
      </c>
      <c r="D18" s="625">
        <f>'27._önkorm_önként'!D95</f>
        <v>0</v>
      </c>
      <c r="E18" s="569">
        <f>'27._önkorm_önként'!E95</f>
        <v>0</v>
      </c>
      <c r="F18" s="569">
        <f>'27._önkorm_önként'!F95</f>
        <v>0</v>
      </c>
      <c r="G18" s="569">
        <f>'27._önkorm_önként'!G95</f>
        <v>0</v>
      </c>
      <c r="H18" s="525">
        <f t="shared" si="2"/>
        <v>0</v>
      </c>
      <c r="I18" s="629">
        <f>'27._önkorm_önként'!I95</f>
        <v>0</v>
      </c>
      <c r="J18" s="525">
        <f>'27._önkorm_önként'!J95</f>
        <v>0</v>
      </c>
      <c r="K18" s="525">
        <f>'27._önkorm_önként'!K95</f>
        <v>0</v>
      </c>
      <c r="L18" s="525">
        <f>'27._önkorm_önként'!L95</f>
        <v>0</v>
      </c>
    </row>
    <row r="19" spans="1:14" ht="12.2" customHeight="1" x14ac:dyDescent="0.2">
      <c r="A19" s="1003" t="s">
        <v>307</v>
      </c>
      <c r="B19" s="816" t="s">
        <v>647</v>
      </c>
      <c r="C19" s="504">
        <f>'27._önkorm_önként'!C97</f>
        <v>0</v>
      </c>
      <c r="D19" s="625">
        <f>'27._önkorm_önként'!D97</f>
        <v>0</v>
      </c>
      <c r="E19" s="569">
        <f>'27._önkorm_önként'!E97</f>
        <v>0</v>
      </c>
      <c r="F19" s="569">
        <f>'27._önkorm_önként'!F97</f>
        <v>0</v>
      </c>
      <c r="G19" s="569">
        <f>'27._önkorm_önként'!G97</f>
        <v>0</v>
      </c>
      <c r="H19" s="525">
        <f t="shared" si="2"/>
        <v>0</v>
      </c>
      <c r="I19" s="629">
        <f>'27._önkorm_önként'!I97</f>
        <v>0</v>
      </c>
      <c r="J19" s="525">
        <f>'27._önkorm_önként'!J97</f>
        <v>0</v>
      </c>
      <c r="K19" s="525">
        <f>'27._önkorm_önként'!K97</f>
        <v>0</v>
      </c>
      <c r="L19" s="525">
        <f>'27._önkorm_önként'!L97</f>
        <v>0</v>
      </c>
    </row>
    <row r="20" spans="1:14" ht="12.2" customHeight="1" x14ac:dyDescent="0.2">
      <c r="A20" s="1003" t="s">
        <v>308</v>
      </c>
      <c r="B20" s="816" t="s">
        <v>646</v>
      </c>
      <c r="C20" s="504"/>
      <c r="D20" s="625"/>
      <c r="E20" s="569"/>
      <c r="F20" s="569"/>
      <c r="G20" s="569"/>
      <c r="H20" s="525">
        <f t="shared" si="2"/>
        <v>0</v>
      </c>
      <c r="I20" s="629"/>
      <c r="J20" s="525"/>
      <c r="K20" s="525"/>
      <c r="L20" s="525"/>
    </row>
    <row r="21" spans="1:14" ht="12.2" customHeight="1" x14ac:dyDescent="0.2">
      <c r="A21" s="1003" t="s">
        <v>309</v>
      </c>
      <c r="B21" s="816" t="s">
        <v>645</v>
      </c>
      <c r="C21" s="504">
        <f>'27._önkorm_önként'!C98</f>
        <v>30030000</v>
      </c>
      <c r="D21" s="625">
        <f>'27._önkorm_önként'!D98</f>
        <v>53382</v>
      </c>
      <c r="E21" s="569">
        <f>'27._önkorm_önként'!E98</f>
        <v>67253382</v>
      </c>
      <c r="F21" s="569">
        <f>'27._önkorm_önként'!F98</f>
        <v>0</v>
      </c>
      <c r="G21" s="569">
        <f>'27._önkorm_önként'!G98</f>
        <v>0</v>
      </c>
      <c r="H21" s="525">
        <f>+E21-D21</f>
        <v>67200000</v>
      </c>
      <c r="I21" s="629">
        <f>'27._önkorm_önként'!I98</f>
        <v>0</v>
      </c>
      <c r="J21" s="525">
        <f>'27._önkorm_önként'!J98</f>
        <v>0</v>
      </c>
      <c r="K21" s="525">
        <f>'27._önkorm_önként'!K98</f>
        <v>0</v>
      </c>
      <c r="L21" s="525">
        <f>'27._önkorm_önként'!L98</f>
        <v>0</v>
      </c>
      <c r="N21" s="25" t="s">
        <v>385</v>
      </c>
    </row>
    <row r="22" spans="1:14" ht="12.2" customHeight="1" x14ac:dyDescent="0.2">
      <c r="A22" s="1003" t="s">
        <v>310</v>
      </c>
      <c r="B22" s="816" t="s">
        <v>650</v>
      </c>
      <c r="C22" s="504">
        <f>'27._önkorm_önként'!C99</f>
        <v>0</v>
      </c>
      <c r="D22" s="625">
        <f>'27._önkorm_önként'!D99</f>
        <v>0</v>
      </c>
      <c r="E22" s="569">
        <f>'27._önkorm_önként'!E99</f>
        <v>0</v>
      </c>
      <c r="F22" s="569">
        <f>'27._önkorm_önként'!F99</f>
        <v>0</v>
      </c>
      <c r="G22" s="569">
        <f>'27._önkorm_önként'!G99</f>
        <v>0</v>
      </c>
      <c r="H22" s="525">
        <f t="shared" si="2"/>
        <v>0</v>
      </c>
      <c r="I22" s="629">
        <f>'27._önkorm_önként'!I99</f>
        <v>0</v>
      </c>
      <c r="J22" s="525">
        <f>'27._önkorm_önként'!J99</f>
        <v>0</v>
      </c>
      <c r="K22" s="525">
        <f>'27._önkorm_önként'!K99</f>
        <v>0</v>
      </c>
      <c r="L22" s="525">
        <f>'27._önkorm_önként'!L99</f>
        <v>0</v>
      </c>
    </row>
    <row r="23" spans="1:14" ht="12.2" customHeight="1" x14ac:dyDescent="0.2">
      <c r="A23" s="1003" t="s">
        <v>361</v>
      </c>
      <c r="B23" s="816" t="s">
        <v>644</v>
      </c>
      <c r="C23" s="504">
        <f>'27._önkorm_önként'!C100+'28._Int össz_önk'!C60</f>
        <v>518734898</v>
      </c>
      <c r="D23" s="625">
        <f>'27._önkorm_önként'!D100+'28._Int össz_önk'!D60</f>
        <v>525742808</v>
      </c>
      <c r="E23" s="569">
        <f>'27._önkorm_önként'!E100+'28._Int össz_önk'!E60</f>
        <v>566797658</v>
      </c>
      <c r="F23" s="569">
        <f>'27._önkorm_önként'!F100+'28._Int össz_önk'!F60</f>
        <v>0</v>
      </c>
      <c r="G23" s="569">
        <f>'27._önkorm_önként'!G100+'28._Int össz_önk'!G60</f>
        <v>0</v>
      </c>
      <c r="H23" s="525">
        <f t="shared" si="2"/>
        <v>41054850</v>
      </c>
      <c r="I23" s="629">
        <f>'27._önkorm_önként'!I100+'28._Int össz_önk'!I60</f>
        <v>0</v>
      </c>
      <c r="J23" s="525">
        <f>'27._önkorm_önként'!J100+'28._Int össz_önk'!J60</f>
        <v>0</v>
      </c>
      <c r="K23" s="525">
        <f>'27._önkorm_önként'!K100+'28._Int össz_önk'!K60</f>
        <v>0</v>
      </c>
      <c r="L23" s="525">
        <f>'27._önkorm_önként'!L100+'28._Int össz_önk'!L60</f>
        <v>0</v>
      </c>
    </row>
    <row r="24" spans="1:14" ht="12.2" customHeight="1" x14ac:dyDescent="0.2">
      <c r="A24" s="1003" t="s">
        <v>615</v>
      </c>
      <c r="B24" s="817" t="s">
        <v>649</v>
      </c>
      <c r="C24" s="1022">
        <f>+C25+C26</f>
        <v>0</v>
      </c>
      <c r="D24" s="662">
        <f t="shared" ref="D24:K24" si="5">+D25+D26</f>
        <v>0</v>
      </c>
      <c r="E24" s="576">
        <f t="shared" si="5"/>
        <v>0</v>
      </c>
      <c r="F24" s="576">
        <f t="shared" si="5"/>
        <v>0</v>
      </c>
      <c r="G24" s="576">
        <f t="shared" si="5"/>
        <v>0</v>
      </c>
      <c r="H24" s="527">
        <f t="shared" si="2"/>
        <v>0</v>
      </c>
      <c r="I24" s="826">
        <f t="shared" si="5"/>
        <v>0</v>
      </c>
      <c r="J24" s="527">
        <f t="shared" si="5"/>
        <v>0</v>
      </c>
      <c r="K24" s="527">
        <f t="shared" si="5"/>
        <v>0</v>
      </c>
      <c r="L24" s="527">
        <f t="shared" ref="L24" si="6">+L25+L26</f>
        <v>0</v>
      </c>
    </row>
    <row r="25" spans="1:14" ht="12.75" customHeight="1" x14ac:dyDescent="0.2">
      <c r="A25" s="12" t="s">
        <v>616</v>
      </c>
      <c r="B25" s="818" t="s">
        <v>617</v>
      </c>
      <c r="C25" s="114">
        <f>'27._önkorm_önként'!C102</f>
        <v>0</v>
      </c>
      <c r="D25" s="185">
        <f>'27._önkorm_önként'!D102</f>
        <v>0</v>
      </c>
      <c r="E25" s="567">
        <f>'27._önkorm_önként'!E102</f>
        <v>0</v>
      </c>
      <c r="F25" s="567">
        <f>'27._önkorm_önként'!F102</f>
        <v>0</v>
      </c>
      <c r="G25" s="567">
        <f>'27._önkorm_önként'!G102</f>
        <v>0</v>
      </c>
      <c r="H25" s="16">
        <f t="shared" si="2"/>
        <v>0</v>
      </c>
      <c r="I25" s="626">
        <f>'27._önkorm_önként'!I102</f>
        <v>0</v>
      </c>
      <c r="J25" s="16">
        <f>'27._önkorm_önként'!J102</f>
        <v>0</v>
      </c>
      <c r="K25" s="16">
        <f>'27._önkorm_önként'!K102</f>
        <v>0</v>
      </c>
      <c r="L25" s="16">
        <f>'27._önkorm_önként'!L102</f>
        <v>0</v>
      </c>
    </row>
    <row r="26" spans="1:14" ht="12.75" customHeight="1" x14ac:dyDescent="0.2">
      <c r="A26" s="1005" t="s">
        <v>618</v>
      </c>
      <c r="B26" s="819" t="s">
        <v>619</v>
      </c>
      <c r="C26" s="401">
        <f>SUM(C27:C28)</f>
        <v>0</v>
      </c>
      <c r="D26" s="325">
        <f t="shared" ref="D26:K26" si="7">SUM(D27:D28)</f>
        <v>0</v>
      </c>
      <c r="E26" s="568">
        <f t="shared" si="7"/>
        <v>0</v>
      </c>
      <c r="F26" s="568">
        <f t="shared" si="7"/>
        <v>0</v>
      </c>
      <c r="G26" s="568">
        <f t="shared" si="7"/>
        <v>0</v>
      </c>
      <c r="H26" s="327">
        <f t="shared" si="2"/>
        <v>0</v>
      </c>
      <c r="I26" s="627">
        <f t="shared" si="7"/>
        <v>0</v>
      </c>
      <c r="J26" s="327">
        <f t="shared" si="7"/>
        <v>0</v>
      </c>
      <c r="K26" s="327">
        <f t="shared" si="7"/>
        <v>0</v>
      </c>
      <c r="L26" s="327">
        <f t="shared" ref="L26" si="8">SUM(L27:L28)</f>
        <v>0</v>
      </c>
    </row>
    <row r="27" spans="1:14" ht="12.75" customHeight="1" x14ac:dyDescent="0.2">
      <c r="A27" s="1005" t="s">
        <v>620</v>
      </c>
      <c r="B27" s="820" t="s">
        <v>648</v>
      </c>
      <c r="C27" s="401">
        <f>'27._önkorm_önként'!C104</f>
        <v>0</v>
      </c>
      <c r="D27" s="325">
        <f>'27._önkorm_önként'!D104</f>
        <v>0</v>
      </c>
      <c r="E27" s="568">
        <f>'27._önkorm_önként'!E104</f>
        <v>0</v>
      </c>
      <c r="F27" s="568">
        <f>'27._önkorm_önként'!F104</f>
        <v>0</v>
      </c>
      <c r="G27" s="568">
        <f>'27._önkorm_önként'!G104</f>
        <v>0</v>
      </c>
      <c r="H27" s="327">
        <f t="shared" si="2"/>
        <v>0</v>
      </c>
      <c r="I27" s="627">
        <f>'27._önkorm_önként'!I104</f>
        <v>0</v>
      </c>
      <c r="J27" s="327">
        <f>'27._önkorm_önként'!J104</f>
        <v>0</v>
      </c>
      <c r="K27" s="327">
        <f>'27._önkorm_önként'!K104</f>
        <v>0</v>
      </c>
      <c r="L27" s="327">
        <f>'27._önkorm_önként'!L104</f>
        <v>0</v>
      </c>
    </row>
    <row r="28" spans="1:14" ht="12.75" customHeight="1" thickBot="1" x14ac:dyDescent="0.25">
      <c r="A28" s="1005" t="s">
        <v>621</v>
      </c>
      <c r="B28" s="820" t="s">
        <v>636</v>
      </c>
      <c r="C28" s="401">
        <f>'27._önkorm_önként'!C105</f>
        <v>0</v>
      </c>
      <c r="D28" s="325">
        <f>'27._önkorm_önként'!D105</f>
        <v>0</v>
      </c>
      <c r="E28" s="568">
        <f>'27._önkorm_önként'!E105</f>
        <v>0</v>
      </c>
      <c r="F28" s="568">
        <f>'27._önkorm_önként'!F105</f>
        <v>0</v>
      </c>
      <c r="G28" s="568">
        <f>'27._önkorm_önként'!G105</f>
        <v>0</v>
      </c>
      <c r="H28" s="327">
        <f t="shared" si="2"/>
        <v>0</v>
      </c>
      <c r="I28" s="627">
        <f>'27._önkorm_önként'!I105</f>
        <v>0</v>
      </c>
      <c r="J28" s="327">
        <f>'27._önkorm_önként'!J105</f>
        <v>0</v>
      </c>
      <c r="K28" s="327">
        <f>'27._önkorm_önként'!K105</f>
        <v>0</v>
      </c>
      <c r="L28" s="327">
        <f>'27._önkorm_önként'!L105</f>
        <v>0</v>
      </c>
    </row>
    <row r="29" spans="1:14" ht="12.2" customHeight="1" thickBot="1" x14ac:dyDescent="0.25">
      <c r="A29" s="14" t="s">
        <v>13</v>
      </c>
      <c r="B29" s="100" t="s">
        <v>395</v>
      </c>
      <c r="C29" s="113">
        <f>+C30+C32+C34</f>
        <v>583967150</v>
      </c>
      <c r="D29" s="186">
        <f t="shared" ref="D29:K29" si="9">+D30+D32+D34</f>
        <v>616467150</v>
      </c>
      <c r="E29" s="566">
        <f t="shared" si="9"/>
        <v>685185032</v>
      </c>
      <c r="F29" s="566">
        <f t="shared" si="9"/>
        <v>0</v>
      </c>
      <c r="G29" s="566">
        <f t="shared" si="9"/>
        <v>0</v>
      </c>
      <c r="H29" s="28">
        <f t="shared" si="2"/>
        <v>68717882</v>
      </c>
      <c r="I29" s="628">
        <f t="shared" si="9"/>
        <v>0</v>
      </c>
      <c r="J29" s="28">
        <f t="shared" si="9"/>
        <v>0</v>
      </c>
      <c r="K29" s="28">
        <f t="shared" si="9"/>
        <v>0</v>
      </c>
      <c r="L29" s="28">
        <f t="shared" ref="L29" si="10">+L30+L32+L34</f>
        <v>0</v>
      </c>
    </row>
    <row r="30" spans="1:14" ht="12.2" customHeight="1" x14ac:dyDescent="0.2">
      <c r="A30" s="12"/>
      <c r="B30" s="330" t="s">
        <v>119</v>
      </c>
      <c r="C30" s="114">
        <f>'27._önkorm_önként'!C107+'28._Int össz_önk'!C62</f>
        <v>201967150</v>
      </c>
      <c r="D30" s="185">
        <f>'27._önkorm_önként'!D107+'28._Int össz_önk'!D62</f>
        <v>201967150</v>
      </c>
      <c r="E30" s="567">
        <f>'27._önkorm_önként'!E107+'28._Int össz_önk'!E62</f>
        <v>197685032</v>
      </c>
      <c r="F30" s="567">
        <f>'27._önkorm_önként'!F107+'28._Int össz_önk'!F62</f>
        <v>0</v>
      </c>
      <c r="G30" s="567">
        <f>'27._önkorm_önként'!G107+'28._Int össz_önk'!G62</f>
        <v>0</v>
      </c>
      <c r="H30" s="16">
        <f t="shared" si="2"/>
        <v>-4282118</v>
      </c>
      <c r="I30" s="626">
        <f>'27._önkorm_önként'!I107+'28._Int össz_önk'!I62</f>
        <v>0</v>
      </c>
      <c r="J30" s="16">
        <f>'27._önkorm_önként'!J107+'28._Int össz_önk'!J62</f>
        <v>0</v>
      </c>
      <c r="K30" s="16">
        <f>'27._önkorm_önként'!K107+'28._Int össz_önk'!K62</f>
        <v>0</v>
      </c>
      <c r="L30" s="16">
        <f>'27._önkorm_önként'!L107+'28._Int össz_önk'!L62</f>
        <v>0</v>
      </c>
    </row>
    <row r="31" spans="1:14" ht="12.2" customHeight="1" x14ac:dyDescent="0.2">
      <c r="A31" s="12" t="s">
        <v>316</v>
      </c>
      <c r="B31" s="819" t="s">
        <v>225</v>
      </c>
      <c r="C31" s="114">
        <f>'27._önkorm_önként'!C108+'28._Int össz_önk'!C63</f>
        <v>131957503</v>
      </c>
      <c r="D31" s="185">
        <f>'27._önkorm_önként'!D108+'28._Int össz_önk'!D63</f>
        <v>131957503</v>
      </c>
      <c r="E31" s="567">
        <f>'27._önkorm_önként'!E108+'28._Int össz_önk'!E63</f>
        <v>131957503</v>
      </c>
      <c r="F31" s="567">
        <f>'27._önkorm_önként'!F108+'28._Int össz_önk'!F63</f>
        <v>0</v>
      </c>
      <c r="G31" s="567">
        <f>'27._önkorm_önként'!G108+'28._Int össz_önk'!G63</f>
        <v>0</v>
      </c>
      <c r="H31" s="16">
        <f t="shared" si="2"/>
        <v>0</v>
      </c>
      <c r="I31" s="626">
        <f>'27._önkorm_önként'!I108+'28._Int össz_önk'!I63</f>
        <v>0</v>
      </c>
      <c r="J31" s="16">
        <f>'27._önkorm_önként'!J108+'28._Int össz_önk'!J63</f>
        <v>0</v>
      </c>
      <c r="K31" s="16">
        <f>'27._önkorm_önként'!K108+'28._Int össz_önk'!K63</f>
        <v>0</v>
      </c>
      <c r="L31" s="16">
        <f>'27._önkorm_önként'!L108+'28._Int össz_önk'!L63</f>
        <v>0</v>
      </c>
    </row>
    <row r="32" spans="1:14" ht="12.2" customHeight="1" x14ac:dyDescent="0.2">
      <c r="A32" s="12" t="s">
        <v>95</v>
      </c>
      <c r="B32" s="354" t="s">
        <v>2</v>
      </c>
      <c r="C32" s="401">
        <f>'27._önkorm_önként'!C109+'28._Int össz_önk'!C64</f>
        <v>0</v>
      </c>
      <c r="D32" s="325">
        <f>'27._önkorm_önként'!D109+'28._Int össz_önk'!D64</f>
        <v>0</v>
      </c>
      <c r="E32" s="568">
        <f>'27._önkorm_önként'!E109+'28._Int össz_önk'!E64</f>
        <v>0</v>
      </c>
      <c r="F32" s="568">
        <f>'27._önkorm_önként'!F109+'28._Int össz_önk'!F64</f>
        <v>0</v>
      </c>
      <c r="G32" s="568">
        <f>'27._önkorm_önként'!G109+'28._Int össz_önk'!G64</f>
        <v>0</v>
      </c>
      <c r="H32" s="327">
        <f t="shared" si="2"/>
        <v>0</v>
      </c>
      <c r="I32" s="627">
        <f>'27._önkorm_önként'!I109+'28._Int össz_önk'!I64</f>
        <v>0</v>
      </c>
      <c r="J32" s="327">
        <f>'27._önkorm_önként'!J109+'28._Int össz_önk'!J64</f>
        <v>0</v>
      </c>
      <c r="K32" s="327">
        <f>'27._önkorm_önként'!K109+'28._Int össz_önk'!K64</f>
        <v>0</v>
      </c>
      <c r="L32" s="327">
        <f>'27._önkorm_önként'!L109+'28._Int össz_önk'!L64</f>
        <v>0</v>
      </c>
    </row>
    <row r="33" spans="1:15" ht="12.2" customHeight="1" x14ac:dyDescent="0.2">
      <c r="A33" s="12" t="s">
        <v>315</v>
      </c>
      <c r="B33" s="819" t="s">
        <v>553</v>
      </c>
      <c r="C33" s="401">
        <f>'27._önkorm_önként'!C110+'28._Int össz_önk'!C65</f>
        <v>0</v>
      </c>
      <c r="D33" s="325">
        <f>'27._önkorm_önként'!D110+'28._Int össz_önk'!D65</f>
        <v>0</v>
      </c>
      <c r="E33" s="568">
        <f>'27._önkorm_önként'!E110+'28._Int össz_önk'!E65</f>
        <v>0</v>
      </c>
      <c r="F33" s="568">
        <f>'27._önkorm_önként'!F110+'28._Int össz_önk'!F65</f>
        <v>0</v>
      </c>
      <c r="G33" s="568">
        <f>'27._önkorm_önként'!G110+'28._Int össz_önk'!G65</f>
        <v>0</v>
      </c>
      <c r="H33" s="327">
        <f t="shared" si="2"/>
        <v>0</v>
      </c>
      <c r="I33" s="627">
        <f>'27._önkorm_önként'!I110+'28._Int össz_önk'!I65</f>
        <v>0</v>
      </c>
      <c r="J33" s="327">
        <f>'27._önkorm_önként'!J110+'28._Int össz_önk'!J65</f>
        <v>0</v>
      </c>
      <c r="K33" s="327">
        <f>'27._önkorm_önként'!K110+'28._Int össz_önk'!K65</f>
        <v>0</v>
      </c>
      <c r="L33" s="327">
        <f>'27._önkorm_önként'!L110+'28._Int össz_önk'!L65</f>
        <v>0</v>
      </c>
    </row>
    <row r="34" spans="1:15" ht="12.2" customHeight="1" x14ac:dyDescent="0.2">
      <c r="A34" s="12" t="s">
        <v>96</v>
      </c>
      <c r="B34" s="496" t="s">
        <v>268</v>
      </c>
      <c r="C34" s="401">
        <f>SUM(C35:C38)</f>
        <v>382000000</v>
      </c>
      <c r="D34" s="325">
        <f t="shared" ref="D34:K34" si="11">SUM(D35:D38)</f>
        <v>414500000</v>
      </c>
      <c r="E34" s="568">
        <f t="shared" si="11"/>
        <v>487500000</v>
      </c>
      <c r="F34" s="568">
        <f t="shared" si="11"/>
        <v>0</v>
      </c>
      <c r="G34" s="568">
        <f t="shared" si="11"/>
        <v>0</v>
      </c>
      <c r="H34" s="327">
        <f t="shared" si="2"/>
        <v>73000000</v>
      </c>
      <c r="I34" s="627">
        <f t="shared" si="11"/>
        <v>0</v>
      </c>
      <c r="J34" s="327">
        <f t="shared" si="11"/>
        <v>0</v>
      </c>
      <c r="K34" s="327">
        <f t="shared" si="11"/>
        <v>0</v>
      </c>
      <c r="L34" s="327">
        <f t="shared" ref="L34" si="12">SUM(L35:L38)</f>
        <v>0</v>
      </c>
    </row>
    <row r="35" spans="1:15" ht="12.2" customHeight="1" x14ac:dyDescent="0.2">
      <c r="A35" s="12" t="s">
        <v>317</v>
      </c>
      <c r="B35" s="351" t="s">
        <v>226</v>
      </c>
      <c r="C35" s="401">
        <f>'27._önkorm_önként'!C112</f>
        <v>0</v>
      </c>
      <c r="D35" s="325">
        <f>'27._önkorm_önként'!D112</f>
        <v>0</v>
      </c>
      <c r="E35" s="568">
        <f>'27._önkorm_önként'!E112</f>
        <v>0</v>
      </c>
      <c r="F35" s="568">
        <f>'27._önkorm_önként'!F112</f>
        <v>0</v>
      </c>
      <c r="G35" s="568">
        <f>'27._önkorm_önként'!G112</f>
        <v>0</v>
      </c>
      <c r="H35" s="327">
        <f t="shared" si="2"/>
        <v>0</v>
      </c>
      <c r="I35" s="627">
        <f>'27._önkorm_önként'!I112</f>
        <v>0</v>
      </c>
      <c r="J35" s="327">
        <f>'27._önkorm_önként'!J112</f>
        <v>0</v>
      </c>
      <c r="K35" s="327">
        <f>'27._önkorm_önként'!K112</f>
        <v>0</v>
      </c>
      <c r="L35" s="327">
        <f>'27._önkorm_önként'!L112</f>
        <v>0</v>
      </c>
    </row>
    <row r="36" spans="1:15" ht="12.2" customHeight="1" x14ac:dyDescent="0.2">
      <c r="A36" s="12" t="s">
        <v>318</v>
      </c>
      <c r="B36" s="351" t="s">
        <v>227</v>
      </c>
      <c r="C36" s="401">
        <f>'27._önkorm_önként'!C113+'28._Int össz_önk'!C67</f>
        <v>0</v>
      </c>
      <c r="D36" s="325">
        <f>'27._önkorm_önként'!D113+'28._Int össz_önk'!D67</f>
        <v>30000000</v>
      </c>
      <c r="E36" s="568">
        <f>'27._önkorm_önként'!E113+'28._Int össz_önk'!E67</f>
        <v>30000000</v>
      </c>
      <c r="F36" s="568">
        <f>'27._önkorm_önként'!F113+'28._Int össz_önk'!F67</f>
        <v>0</v>
      </c>
      <c r="G36" s="568">
        <f>'27._önkorm_önként'!G113+'28._Int össz_önk'!G67</f>
        <v>0</v>
      </c>
      <c r="H36" s="327">
        <f t="shared" si="2"/>
        <v>0</v>
      </c>
      <c r="I36" s="627">
        <f>'27._önkorm_önként'!I113+'28._Int össz_önk'!I67</f>
        <v>0</v>
      </c>
      <c r="J36" s="327">
        <f>'27._önkorm_önként'!J113+'28._Int össz_önk'!J67</f>
        <v>0</v>
      </c>
      <c r="K36" s="327">
        <f>'27._önkorm_önként'!K113+'28._Int össz_önk'!K67</f>
        <v>0</v>
      </c>
      <c r="L36" s="327">
        <f>'27._önkorm_önként'!L113+'28._Int össz_önk'!L67</f>
        <v>0</v>
      </c>
    </row>
    <row r="37" spans="1:15" ht="12.2" customHeight="1" x14ac:dyDescent="0.2">
      <c r="A37" s="12" t="s">
        <v>319</v>
      </c>
      <c r="B37" s="351" t="s">
        <v>224</v>
      </c>
      <c r="C37" s="401">
        <f>'27._önkorm_önként'!C114</f>
        <v>224000000</v>
      </c>
      <c r="D37" s="325">
        <f>'27._önkorm_önként'!D114</f>
        <v>224000000</v>
      </c>
      <c r="E37" s="568">
        <f>'27._önkorm_önként'!E114</f>
        <v>264000000</v>
      </c>
      <c r="F37" s="568">
        <f>'27._önkorm_önként'!F114</f>
        <v>0</v>
      </c>
      <c r="G37" s="568">
        <f>'27._önkorm_önként'!G114</f>
        <v>0</v>
      </c>
      <c r="H37" s="327">
        <f t="shared" si="2"/>
        <v>40000000</v>
      </c>
      <c r="I37" s="627">
        <f>'27._önkorm_önként'!I114</f>
        <v>0</v>
      </c>
      <c r="J37" s="327">
        <f>'27._önkorm_önként'!J114</f>
        <v>0</v>
      </c>
      <c r="K37" s="327">
        <f>'27._önkorm_önként'!K114</f>
        <v>0</v>
      </c>
      <c r="L37" s="327">
        <f>'27._önkorm_önként'!L114</f>
        <v>0</v>
      </c>
    </row>
    <row r="38" spans="1:15" ht="12.2" customHeight="1" thickBot="1" x14ac:dyDescent="0.25">
      <c r="A38" s="12" t="s">
        <v>320</v>
      </c>
      <c r="B38" s="351" t="s">
        <v>228</v>
      </c>
      <c r="C38" s="401">
        <f>'27._önkorm_önként'!C115+'28._Int össz_önk'!C68</f>
        <v>158000000</v>
      </c>
      <c r="D38" s="325">
        <f>'27._önkorm_önként'!D115+'28._Int össz_önk'!D68</f>
        <v>160500000</v>
      </c>
      <c r="E38" s="568">
        <f>'27._önkorm_önként'!E115+'28._Int össz_önk'!E68</f>
        <v>193500000</v>
      </c>
      <c r="F38" s="568">
        <f>'27._önkorm_önként'!F115+'28._Int össz_önk'!F68</f>
        <v>0</v>
      </c>
      <c r="G38" s="568">
        <f>'27._önkorm_önként'!G115+'28._Int össz_önk'!G68</f>
        <v>0</v>
      </c>
      <c r="H38" s="327">
        <f t="shared" si="2"/>
        <v>33000000</v>
      </c>
      <c r="I38" s="627">
        <f>'27._önkorm_önként'!I115+'28._Int össz_önk'!I68</f>
        <v>0</v>
      </c>
      <c r="J38" s="327">
        <f>'27._önkorm_önként'!J115+'28._Int össz_önk'!J68</f>
        <v>0</v>
      </c>
      <c r="K38" s="327">
        <f>'27._önkorm_önként'!K115+'28._Int össz_önk'!K68</f>
        <v>0</v>
      </c>
      <c r="L38" s="327">
        <f>'27._önkorm_önként'!L115+'28._Int össz_önk'!L68</f>
        <v>0</v>
      </c>
    </row>
    <row r="39" spans="1:15" ht="12.2" customHeight="1" thickBot="1" x14ac:dyDescent="0.25">
      <c r="A39" s="14" t="s">
        <v>14</v>
      </c>
      <c r="B39" s="56" t="s">
        <v>540</v>
      </c>
      <c r="C39" s="1080">
        <f>+C11+C29</f>
        <v>3616788761</v>
      </c>
      <c r="D39" s="663">
        <f t="shared" ref="D39:K39" si="13">+D11+D29</f>
        <v>3639068053</v>
      </c>
      <c r="E39" s="577">
        <f t="shared" si="13"/>
        <v>4031979909</v>
      </c>
      <c r="F39" s="577">
        <f t="shared" si="13"/>
        <v>0</v>
      </c>
      <c r="G39" s="577">
        <f t="shared" si="13"/>
        <v>0</v>
      </c>
      <c r="H39" s="272">
        <f t="shared" si="2"/>
        <v>392911856</v>
      </c>
      <c r="I39" s="1082">
        <f t="shared" si="13"/>
        <v>0</v>
      </c>
      <c r="J39" s="272">
        <f t="shared" si="13"/>
        <v>0</v>
      </c>
      <c r="K39" s="272">
        <f t="shared" si="13"/>
        <v>0</v>
      </c>
      <c r="L39" s="272">
        <f t="shared" ref="L39" si="14">+L11+L29</f>
        <v>0</v>
      </c>
    </row>
    <row r="40" spans="1:15" ht="12.2" customHeight="1" thickBot="1" x14ac:dyDescent="0.25">
      <c r="A40" s="14" t="s">
        <v>15</v>
      </c>
      <c r="B40" s="56" t="s">
        <v>541</v>
      </c>
      <c r="C40" s="113">
        <f>+C41+C42+C43</f>
        <v>0</v>
      </c>
      <c r="D40" s="186">
        <f t="shared" ref="D40:K40" si="15">+D41+D42+D43</f>
        <v>0</v>
      </c>
      <c r="E40" s="566">
        <f t="shared" si="15"/>
        <v>0</v>
      </c>
      <c r="F40" s="566">
        <f t="shared" si="15"/>
        <v>0</v>
      </c>
      <c r="G40" s="566">
        <f t="shared" si="15"/>
        <v>0</v>
      </c>
      <c r="H40" s="28">
        <f t="shared" si="2"/>
        <v>0</v>
      </c>
      <c r="I40" s="628">
        <f t="shared" si="15"/>
        <v>0</v>
      </c>
      <c r="J40" s="28">
        <f t="shared" si="15"/>
        <v>0</v>
      </c>
      <c r="K40" s="28">
        <f t="shared" si="15"/>
        <v>0</v>
      </c>
      <c r="L40" s="28">
        <f t="shared" ref="L40" si="16">+L41+L42+L43</f>
        <v>0</v>
      </c>
    </row>
    <row r="41" spans="1:15" s="31" customFormat="1" ht="12.2" customHeight="1" x14ac:dyDescent="0.2">
      <c r="A41" s="12" t="s">
        <v>100</v>
      </c>
      <c r="B41" s="17" t="s">
        <v>655</v>
      </c>
      <c r="C41" s="401">
        <f>'27._önkorm_önként'!C118</f>
        <v>0</v>
      </c>
      <c r="D41" s="325">
        <f>'27._önkorm_önként'!D118</f>
        <v>0</v>
      </c>
      <c r="E41" s="568">
        <f>'27._önkorm_önként'!E118</f>
        <v>0</v>
      </c>
      <c r="F41" s="568">
        <f>'27._önkorm_önként'!F118</f>
        <v>0</v>
      </c>
      <c r="G41" s="568">
        <f>'27._önkorm_önként'!G118</f>
        <v>0</v>
      </c>
      <c r="H41" s="327">
        <f t="shared" si="2"/>
        <v>0</v>
      </c>
      <c r="I41" s="627">
        <f>'27._önkorm_önként'!I118</f>
        <v>0</v>
      </c>
      <c r="J41" s="327">
        <f>'27._önkorm_önként'!J118</f>
        <v>0</v>
      </c>
      <c r="K41" s="327">
        <f>'27._önkorm_önként'!K118</f>
        <v>0</v>
      </c>
      <c r="L41" s="327">
        <f>'27._önkorm_önként'!L118</f>
        <v>0</v>
      </c>
    </row>
    <row r="42" spans="1:15" ht="12.2" customHeight="1" x14ac:dyDescent="0.2">
      <c r="A42" s="12" t="s">
        <v>101</v>
      </c>
      <c r="B42" s="17" t="s">
        <v>656</v>
      </c>
      <c r="C42" s="401">
        <f>'27._önkorm_önként'!C119</f>
        <v>0</v>
      </c>
      <c r="D42" s="325">
        <f>'27._önkorm_önként'!D119</f>
        <v>0</v>
      </c>
      <c r="E42" s="568">
        <f>'27._önkorm_önként'!E119</f>
        <v>0</v>
      </c>
      <c r="F42" s="568">
        <f>'27._önkorm_önként'!F119</f>
        <v>0</v>
      </c>
      <c r="G42" s="568">
        <f>'27._önkorm_önként'!G119</f>
        <v>0</v>
      </c>
      <c r="H42" s="327">
        <f t="shared" si="2"/>
        <v>0</v>
      </c>
      <c r="I42" s="627">
        <f>'27._önkorm_önként'!I119</f>
        <v>0</v>
      </c>
      <c r="J42" s="327">
        <f>'27._önkorm_önként'!J119</f>
        <v>0</v>
      </c>
      <c r="K42" s="327">
        <f>'27._önkorm_önként'!K119</f>
        <v>0</v>
      </c>
      <c r="L42" s="327">
        <f>'27._önkorm_önként'!L119</f>
        <v>0</v>
      </c>
    </row>
    <row r="43" spans="1:15" ht="12.2" customHeight="1" thickBot="1" x14ac:dyDescent="0.25">
      <c r="A43" s="13" t="s">
        <v>164</v>
      </c>
      <c r="B43" s="52" t="s">
        <v>657</v>
      </c>
      <c r="C43" s="401">
        <f>'27._önkorm_önként'!C120</f>
        <v>0</v>
      </c>
      <c r="D43" s="325">
        <f>'27._önkorm_önként'!D120</f>
        <v>0</v>
      </c>
      <c r="E43" s="568">
        <f>'27._önkorm_önként'!E120</f>
        <v>0</v>
      </c>
      <c r="F43" s="568">
        <f>'27._önkorm_önként'!F120</f>
        <v>0</v>
      </c>
      <c r="G43" s="568">
        <f>'27._önkorm_önként'!G120</f>
        <v>0</v>
      </c>
      <c r="H43" s="327">
        <f t="shared" si="2"/>
        <v>0</v>
      </c>
      <c r="I43" s="627">
        <f>'27._önkorm_önként'!I120</f>
        <v>0</v>
      </c>
      <c r="J43" s="327">
        <f>'27._önkorm_önként'!J120</f>
        <v>0</v>
      </c>
      <c r="K43" s="327">
        <f>'27._önkorm_önként'!K120</f>
        <v>0</v>
      </c>
      <c r="L43" s="327">
        <f>'27._önkorm_önként'!L120</f>
        <v>0</v>
      </c>
    </row>
    <row r="44" spans="1:15" ht="12.2" customHeight="1" thickBot="1" x14ac:dyDescent="0.25">
      <c r="A44" s="14" t="s">
        <v>16</v>
      </c>
      <c r="B44" s="56" t="s">
        <v>545</v>
      </c>
      <c r="C44" s="113">
        <f>+C45+C47+C46</f>
        <v>0</v>
      </c>
      <c r="D44" s="186">
        <f t="shared" ref="D44:K44" si="17">+D45+D47+D46</f>
        <v>0</v>
      </c>
      <c r="E44" s="566">
        <f t="shared" si="17"/>
        <v>0</v>
      </c>
      <c r="F44" s="566">
        <f t="shared" si="17"/>
        <v>0</v>
      </c>
      <c r="G44" s="566">
        <f t="shared" si="17"/>
        <v>0</v>
      </c>
      <c r="H44" s="28">
        <f t="shared" si="2"/>
        <v>0</v>
      </c>
      <c r="I44" s="628">
        <f t="shared" si="17"/>
        <v>0</v>
      </c>
      <c r="J44" s="28">
        <f t="shared" si="17"/>
        <v>0</v>
      </c>
      <c r="K44" s="28">
        <f t="shared" si="17"/>
        <v>0</v>
      </c>
      <c r="L44" s="28">
        <f t="shared" ref="L44" si="18">+L45+L47</f>
        <v>0</v>
      </c>
    </row>
    <row r="45" spans="1:15" ht="12.2" customHeight="1" x14ac:dyDescent="0.2">
      <c r="A45" s="12" t="s">
        <v>89</v>
      </c>
      <c r="B45" s="17" t="s">
        <v>359</v>
      </c>
      <c r="C45" s="401">
        <f>'27._önkorm_önként'!C122</f>
        <v>0</v>
      </c>
      <c r="D45" s="325">
        <f>'27._önkorm_önként'!D122</f>
        <v>0</v>
      </c>
      <c r="E45" s="568">
        <f>'27._önkorm_önként'!E122</f>
        <v>0</v>
      </c>
      <c r="F45" s="568">
        <f>'27._önkorm_önként'!F122</f>
        <v>0</v>
      </c>
      <c r="G45" s="568">
        <f>'27._önkorm_önként'!G122</f>
        <v>0</v>
      </c>
      <c r="H45" s="327">
        <f t="shared" si="2"/>
        <v>0</v>
      </c>
      <c r="I45" s="627">
        <f>'27._önkorm_önként'!I122</f>
        <v>0</v>
      </c>
      <c r="J45" s="327">
        <f>'27._önkorm_önként'!J122</f>
        <v>0</v>
      </c>
      <c r="K45" s="327">
        <f>'27._önkorm_önként'!K122</f>
        <v>0</v>
      </c>
      <c r="L45" s="327">
        <f>'27._önkorm_önként'!L122</f>
        <v>0</v>
      </c>
    </row>
    <row r="46" spans="1:15" ht="12.2" customHeight="1" x14ac:dyDescent="0.2">
      <c r="A46" s="12" t="s">
        <v>102</v>
      </c>
      <c r="B46" s="17" t="s">
        <v>579</v>
      </c>
      <c r="C46" s="401">
        <f>'27._önkorm_önként'!C123</f>
        <v>0</v>
      </c>
      <c r="D46" s="325">
        <f>'27._önkorm_önként'!D123</f>
        <v>0</v>
      </c>
      <c r="E46" s="568">
        <f>'27._önkorm_önként'!E123</f>
        <v>0</v>
      </c>
      <c r="F46" s="568">
        <f>'27._önkorm_önként'!F123</f>
        <v>0</v>
      </c>
      <c r="G46" s="568">
        <f>'27._önkorm_önként'!G123</f>
        <v>0</v>
      </c>
      <c r="H46" s="327">
        <f t="shared" si="2"/>
        <v>0</v>
      </c>
      <c r="I46" s="627">
        <f>'27._önkorm_önként'!I123</f>
        <v>0</v>
      </c>
      <c r="J46" s="327">
        <f>'27._önkorm_önként'!J123</f>
        <v>0</v>
      </c>
      <c r="K46" s="327">
        <f>'27._önkorm_önként'!K123</f>
        <v>0</v>
      </c>
      <c r="L46" s="327">
        <f>'27._önkorm_önként'!L123</f>
        <v>0</v>
      </c>
    </row>
    <row r="47" spans="1:15" ht="12.2" customHeight="1" thickBot="1" x14ac:dyDescent="0.25">
      <c r="A47" s="12" t="s">
        <v>103</v>
      </c>
      <c r="B47" s="52" t="s">
        <v>580</v>
      </c>
      <c r="C47" s="401">
        <f>'27._önkorm_önként'!C124</f>
        <v>0</v>
      </c>
      <c r="D47" s="325">
        <f>'27._önkorm_önként'!D124</f>
        <v>0</v>
      </c>
      <c r="E47" s="568">
        <f>'27._önkorm_önként'!E124</f>
        <v>0</v>
      </c>
      <c r="F47" s="568">
        <f>'27._önkorm_önként'!F124</f>
        <v>0</v>
      </c>
      <c r="G47" s="568">
        <f>'27._önkorm_önként'!G124</f>
        <v>0</v>
      </c>
      <c r="H47" s="327">
        <f t="shared" si="2"/>
        <v>0</v>
      </c>
      <c r="I47" s="627">
        <f>'27._önkorm_önként'!I124</f>
        <v>0</v>
      </c>
      <c r="J47" s="327">
        <f>'27._önkorm_önként'!J124</f>
        <v>0</v>
      </c>
      <c r="K47" s="327">
        <f>'27._önkorm_önként'!K124</f>
        <v>0</v>
      </c>
      <c r="L47" s="327">
        <f>'27._önkorm_önként'!L124</f>
        <v>0</v>
      </c>
    </row>
    <row r="48" spans="1:15" ht="12.2" customHeight="1" thickBot="1" x14ac:dyDescent="0.25">
      <c r="A48" s="14" t="s">
        <v>17</v>
      </c>
      <c r="B48" s="56" t="s">
        <v>542</v>
      </c>
      <c r="C48" s="1023">
        <f>+C49+C50+C51+C52+C53</f>
        <v>0</v>
      </c>
      <c r="D48" s="187">
        <f t="shared" ref="D48:K48" si="19">+D49+D50+D51+D52+D53</f>
        <v>0</v>
      </c>
      <c r="E48" s="532">
        <f t="shared" si="19"/>
        <v>0</v>
      </c>
      <c r="F48" s="532">
        <f t="shared" si="19"/>
        <v>0</v>
      </c>
      <c r="G48" s="532">
        <f t="shared" si="19"/>
        <v>0</v>
      </c>
      <c r="H48" s="74">
        <f t="shared" si="2"/>
        <v>0</v>
      </c>
      <c r="I48" s="638">
        <f t="shared" si="19"/>
        <v>0</v>
      </c>
      <c r="J48" s="74">
        <f t="shared" si="19"/>
        <v>0</v>
      </c>
      <c r="K48" s="74">
        <f t="shared" si="19"/>
        <v>0</v>
      </c>
      <c r="L48" s="74">
        <f t="shared" ref="L48" si="20">+L49+L50+L51+L52+L53</f>
        <v>0</v>
      </c>
      <c r="O48" s="79"/>
    </row>
    <row r="49" spans="1:15" x14ac:dyDescent="0.2">
      <c r="A49" s="12" t="s">
        <v>104</v>
      </c>
      <c r="B49" s="17" t="s">
        <v>240</v>
      </c>
      <c r="C49" s="401">
        <f>'27._önkorm_önként'!C126-'28._Int össz_önk'!C46</f>
        <v>0</v>
      </c>
      <c r="D49" s="325">
        <f>'27._önkorm_önként'!D126-'28._Int össz_önk'!D46</f>
        <v>0</v>
      </c>
      <c r="E49" s="568">
        <f>'27._önkorm_önként'!E126-'28._Int össz_önk'!E46</f>
        <v>0</v>
      </c>
      <c r="F49" s="568">
        <f>'27._önkorm_önként'!F126-'28._Int össz_önk'!F46</f>
        <v>0</v>
      </c>
      <c r="G49" s="568">
        <f>'27._önkorm_önként'!G126-'28._Int össz_önk'!G46</f>
        <v>0</v>
      </c>
      <c r="H49" s="327">
        <f t="shared" si="2"/>
        <v>0</v>
      </c>
      <c r="I49" s="627">
        <f>'27._önkorm_önként'!I126-'28._Int össz_önk'!I46</f>
        <v>0</v>
      </c>
      <c r="J49" s="327">
        <f>'27._önkorm_önként'!J126-'28._Int össz_önk'!J46</f>
        <v>0</v>
      </c>
      <c r="K49" s="327">
        <f>'27._önkorm_önként'!K126-'28._Int össz_önk'!K46</f>
        <v>0</v>
      </c>
      <c r="L49" s="327">
        <f>'27._önkorm_önként'!L126-'28._Int össz_önk'!L46</f>
        <v>0</v>
      </c>
    </row>
    <row r="50" spans="1:15" ht="12.2" customHeight="1" x14ac:dyDescent="0.2">
      <c r="A50" s="12" t="s">
        <v>105</v>
      </c>
      <c r="B50" s="17" t="s">
        <v>241</v>
      </c>
      <c r="C50" s="401">
        <f>'27._önkorm_önként'!C127-'28._Int össz_önk'!C47</f>
        <v>0</v>
      </c>
      <c r="D50" s="325">
        <f>'27._önkorm_önként'!D127-'28._Int össz_önk'!D47</f>
        <v>0</v>
      </c>
      <c r="E50" s="568">
        <f>'27._önkorm_önként'!E127-'28._Int össz_önk'!E47</f>
        <v>0</v>
      </c>
      <c r="F50" s="568">
        <f>'27._önkorm_önként'!F127-'28._Int össz_önk'!F47</f>
        <v>0</v>
      </c>
      <c r="G50" s="568">
        <f>'27._önkorm_önként'!G127-'28._Int össz_önk'!G47</f>
        <v>0</v>
      </c>
      <c r="H50" s="327">
        <f t="shared" si="2"/>
        <v>0</v>
      </c>
      <c r="I50" s="627">
        <f>'27._önkorm_önként'!I127-'28._Int össz_önk'!I47</f>
        <v>0</v>
      </c>
      <c r="J50" s="327">
        <f>'27._önkorm_önként'!J127-'28._Int össz_önk'!J47</f>
        <v>0</v>
      </c>
      <c r="K50" s="327">
        <f>'27._önkorm_önként'!K127-'28._Int össz_önk'!K47</f>
        <v>0</v>
      </c>
      <c r="L50" s="327">
        <f>'27._önkorm_önként'!L127-'28._Int össz_önk'!L47</f>
        <v>0</v>
      </c>
    </row>
    <row r="51" spans="1:15" s="31" customFormat="1" ht="12.2" customHeight="1" x14ac:dyDescent="0.2">
      <c r="A51" s="12" t="s">
        <v>205</v>
      </c>
      <c r="B51" s="17" t="s">
        <v>398</v>
      </c>
      <c r="C51" s="401">
        <f>'27._önkorm_önként'!C128</f>
        <v>0</v>
      </c>
      <c r="D51" s="325">
        <f>'27._önkorm_önként'!D128</f>
        <v>0</v>
      </c>
      <c r="E51" s="568">
        <f>'27._önkorm_önként'!E128</f>
        <v>0</v>
      </c>
      <c r="F51" s="568">
        <f>'27._önkorm_önként'!F128</f>
        <v>0</v>
      </c>
      <c r="G51" s="568">
        <f>'27._önkorm_önként'!G128</f>
        <v>0</v>
      </c>
      <c r="H51" s="327">
        <f t="shared" si="2"/>
        <v>0</v>
      </c>
      <c r="I51" s="627">
        <f>'27._önkorm_önként'!I128</f>
        <v>0</v>
      </c>
      <c r="J51" s="327">
        <f>'27._önkorm_önként'!J128</f>
        <v>0</v>
      </c>
      <c r="K51" s="327">
        <f>'27._önkorm_önként'!K128</f>
        <v>0</v>
      </c>
      <c r="L51" s="327">
        <f>'27._önkorm_önként'!L128</f>
        <v>0</v>
      </c>
    </row>
    <row r="52" spans="1:15" s="31" customFormat="1" ht="12.2" customHeight="1" x14ac:dyDescent="0.2">
      <c r="A52" s="13" t="s">
        <v>206</v>
      </c>
      <c r="B52" s="52" t="s">
        <v>229</v>
      </c>
      <c r="C52" s="401">
        <f>'27._önkorm_önként'!C129</f>
        <v>0</v>
      </c>
      <c r="D52" s="325">
        <f>'27._önkorm_önként'!D129</f>
        <v>0</v>
      </c>
      <c r="E52" s="568">
        <f>'27._önkorm_önként'!E129</f>
        <v>0</v>
      </c>
      <c r="F52" s="568">
        <f>'27._önkorm_önként'!F129</f>
        <v>0</v>
      </c>
      <c r="G52" s="568">
        <f>'27._önkorm_önként'!G129</f>
        <v>0</v>
      </c>
      <c r="H52" s="327">
        <f t="shared" si="2"/>
        <v>0</v>
      </c>
      <c r="I52" s="627">
        <f>'27._önkorm_önként'!I129</f>
        <v>0</v>
      </c>
      <c r="J52" s="327">
        <f>'27._önkorm_önként'!J129</f>
        <v>0</v>
      </c>
      <c r="K52" s="327">
        <f>'27._önkorm_önként'!K129</f>
        <v>0</v>
      </c>
      <c r="L52" s="327">
        <f>'27._önkorm_önként'!L129</f>
        <v>0</v>
      </c>
    </row>
    <row r="53" spans="1:15" s="31" customFormat="1" ht="12.2" customHeight="1" thickBot="1" x14ac:dyDescent="0.25">
      <c r="A53" s="172" t="s">
        <v>208</v>
      </c>
      <c r="B53" s="173" t="s">
        <v>399</v>
      </c>
      <c r="C53" s="1081">
        <f>'27._önkorm_önként'!C130</f>
        <v>0</v>
      </c>
      <c r="D53" s="664">
        <f>'27._önkorm_önként'!D130</f>
        <v>0</v>
      </c>
      <c r="E53" s="578">
        <f>'27._önkorm_önként'!E130</f>
        <v>0</v>
      </c>
      <c r="F53" s="578">
        <f>'27._önkorm_önként'!F130</f>
        <v>0</v>
      </c>
      <c r="G53" s="578">
        <f>'27._önkorm_önként'!G130</f>
        <v>0</v>
      </c>
      <c r="H53" s="528">
        <f t="shared" si="2"/>
        <v>0</v>
      </c>
      <c r="I53" s="672">
        <f>'27._önkorm_önként'!I130</f>
        <v>0</v>
      </c>
      <c r="J53" s="528">
        <f>'27._önkorm_önként'!J130</f>
        <v>0</v>
      </c>
      <c r="K53" s="528">
        <f>'27._önkorm_önként'!K130</f>
        <v>0</v>
      </c>
      <c r="L53" s="528">
        <f>'27._önkorm_önként'!L130</f>
        <v>0</v>
      </c>
    </row>
    <row r="54" spans="1:15" s="562" customFormat="1" ht="12.2" customHeight="1" thickBot="1" x14ac:dyDescent="0.25">
      <c r="A54" s="14" t="s">
        <v>18</v>
      </c>
      <c r="B54" s="56" t="s">
        <v>544</v>
      </c>
      <c r="C54" s="1024">
        <f>+C40+C44+C48</f>
        <v>0</v>
      </c>
      <c r="D54" s="349">
        <f t="shared" ref="D54:K54" si="21">+D40+D44+D48</f>
        <v>0</v>
      </c>
      <c r="E54" s="579">
        <f t="shared" si="21"/>
        <v>0</v>
      </c>
      <c r="F54" s="579">
        <f t="shared" si="21"/>
        <v>0</v>
      </c>
      <c r="G54" s="579">
        <f t="shared" si="21"/>
        <v>0</v>
      </c>
      <c r="H54" s="560">
        <f t="shared" si="2"/>
        <v>0</v>
      </c>
      <c r="I54" s="673">
        <f t="shared" si="21"/>
        <v>0</v>
      </c>
      <c r="J54" s="560">
        <f t="shared" si="21"/>
        <v>0</v>
      </c>
      <c r="K54" s="560">
        <f t="shared" si="21"/>
        <v>0</v>
      </c>
      <c r="L54" s="560">
        <f t="shared" ref="L54" si="22">+L40+L44+L48</f>
        <v>0</v>
      </c>
    </row>
    <row r="55" spans="1:15" s="562" customFormat="1" ht="15" customHeight="1" thickBot="1" x14ac:dyDescent="0.25">
      <c r="A55" s="80" t="s">
        <v>19</v>
      </c>
      <c r="B55" s="561" t="s">
        <v>543</v>
      </c>
      <c r="C55" s="1024">
        <f>+C39+C54</f>
        <v>3616788761</v>
      </c>
      <c r="D55" s="349">
        <f t="shared" ref="D55:K55" si="23">+D39+D54</f>
        <v>3639068053</v>
      </c>
      <c r="E55" s="579">
        <f t="shared" si="23"/>
        <v>4031979909</v>
      </c>
      <c r="F55" s="579">
        <f t="shared" si="23"/>
        <v>0</v>
      </c>
      <c r="G55" s="579">
        <f t="shared" si="23"/>
        <v>0</v>
      </c>
      <c r="H55" s="560">
        <f>+E55-D55</f>
        <v>392911856</v>
      </c>
      <c r="I55" s="673">
        <f t="shared" si="23"/>
        <v>0</v>
      </c>
      <c r="J55" s="560">
        <f t="shared" si="23"/>
        <v>0</v>
      </c>
      <c r="K55" s="560">
        <f t="shared" si="23"/>
        <v>0</v>
      </c>
      <c r="L55" s="560">
        <f t="shared" ref="L55" si="24">+L39+L54</f>
        <v>0</v>
      </c>
      <c r="N55" s="562" t="b">
        <f>E55='26._önként_össz_bev'!E85</f>
        <v>1</v>
      </c>
      <c r="O55" s="1375">
        <f>H55-'26._önként_össz_bev'!H85</f>
        <v>0</v>
      </c>
    </row>
    <row r="56" spans="1:15" ht="13.5" thickBot="1" x14ac:dyDescent="0.25">
      <c r="A56" s="529"/>
      <c r="B56" s="530"/>
      <c r="C56" s="531"/>
      <c r="D56" s="531"/>
      <c r="H56" s="27"/>
      <c r="I56" s="27"/>
      <c r="J56" s="27"/>
      <c r="K56" s="27"/>
      <c r="L56" s="27"/>
    </row>
    <row r="57" spans="1:15" s="559" customFormat="1" ht="15" customHeight="1" thickBot="1" x14ac:dyDescent="0.25">
      <c r="A57" s="1101" t="s">
        <v>292</v>
      </c>
      <c r="B57" s="1102"/>
      <c r="C57" s="1103">
        <f>'27._önkorm_önként'!C134+'28._Int össz_önk'!C71</f>
        <v>213</v>
      </c>
      <c r="D57" s="1104">
        <f>'27._önkorm_önként'!D134+'28._Int össz_önk'!D71</f>
        <v>182</v>
      </c>
      <c r="E57" s="1105">
        <f>'27._önkorm_önként'!E134+'28._Int össz_önk'!E71</f>
        <v>182</v>
      </c>
      <c r="F57" s="1105">
        <f>'27._önkorm_önként'!F134+'28._Int össz_önk'!F71</f>
        <v>2</v>
      </c>
      <c r="G57" s="1105">
        <f>'27._önkorm_önként'!G134+'28._Int össz_önk'!G71</f>
        <v>2</v>
      </c>
      <c r="H57" s="1106">
        <f t="shared" si="2"/>
        <v>0</v>
      </c>
      <c r="I57" s="1106">
        <f>'27._önkorm_önként'!I134+'28._Int össz_önk'!I71</f>
        <v>2</v>
      </c>
      <c r="J57" s="1106">
        <f>'27._önkorm_önként'!J134+'28._Int össz_önk'!J71</f>
        <v>2</v>
      </c>
      <c r="K57" s="1106">
        <f>'27._önkorm_önként'!K134+'28._Int össz_önk'!K71</f>
        <v>2</v>
      </c>
      <c r="L57" s="1106">
        <f>'27._önkorm_önként'!L134+'28._Int össz_önk'!L71</f>
        <v>2</v>
      </c>
    </row>
    <row r="58" spans="1:15" ht="14.25" hidden="1" customHeight="1" thickBot="1" x14ac:dyDescent="0.25">
      <c r="A58" s="69" t="s">
        <v>291</v>
      </c>
      <c r="B58" s="533"/>
      <c r="C58" s="609">
        <f>'27._önkorm_önként'!C135+'28._Int össz_önk'!C72</f>
        <v>0</v>
      </c>
      <c r="D58" s="639">
        <f>'27._önkorm_önként'!D135+'28._Int össz_önk'!D72</f>
        <v>0</v>
      </c>
      <c r="E58" s="607">
        <f>'27._önkorm_önként'!E135+'28._Int össz_önk'!E72</f>
        <v>0</v>
      </c>
      <c r="F58" s="607">
        <f>'27._önkorm_önként'!F135+'28._Int össz_önk'!F72</f>
        <v>0</v>
      </c>
      <c r="G58" s="607">
        <f>'27._önkorm_önként'!G135+'28._Int össz_önk'!G72</f>
        <v>0</v>
      </c>
      <c r="H58" s="609">
        <f t="shared" ref="H58" si="25">+D58-C58</f>
        <v>0</v>
      </c>
      <c r="I58" s="609">
        <f>'27._önkorm_önként'!I135+'28._Int össz_önk'!I72</f>
        <v>0</v>
      </c>
      <c r="J58" s="609">
        <f>'27._önkorm_önként'!J135+'28._Int össz_önk'!J72</f>
        <v>0</v>
      </c>
      <c r="K58" s="609">
        <f>'27._önkorm_önként'!K135+'28._Int össz_önk'!K72</f>
        <v>0</v>
      </c>
      <c r="L58" s="609">
        <f>'27._önkorm_önként'!L135+'28._Int össz_önk'!L72</f>
        <v>0</v>
      </c>
    </row>
    <row r="59" spans="1:15" x14ac:dyDescent="0.2">
      <c r="H59" s="27"/>
      <c r="I59" s="27"/>
      <c r="J59" s="27"/>
      <c r="K59" s="27"/>
      <c r="L59" s="27"/>
    </row>
  </sheetData>
  <sheetProtection formatCells="0"/>
  <mergeCells count="6">
    <mergeCell ref="A8:H8"/>
    <mergeCell ref="A1:H1"/>
    <mergeCell ref="A2:H2"/>
    <mergeCell ref="A4:H4"/>
    <mergeCell ref="A5:H5"/>
    <mergeCell ref="A6:H6"/>
  </mergeCells>
  <printOptions horizontalCentered="1"/>
  <pageMargins left="0.39370078740157483" right="0.39370078740157483" top="0.59055118110236227" bottom="0.39370078740157483" header="0.78740157480314965" footer="0.78740157480314965"/>
  <pageSetup paperSize="9" scale="7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85"/>
  <sheetViews>
    <sheetView view="pageBreakPreview" topLeftCell="A37" zoomScale="112" zoomScaleNormal="124" zoomScaleSheetLayoutView="112" workbookViewId="0">
      <selection activeCell="A2" sqref="A2:H2"/>
    </sheetView>
  </sheetViews>
  <sheetFormatPr defaultRowHeight="12.75" x14ac:dyDescent="0.2"/>
  <cols>
    <col min="1" max="1" width="9" style="985" customWidth="1"/>
    <col min="2" max="2" width="62.1640625" style="82" customWidth="1"/>
    <col min="3" max="3" width="14.33203125" style="83" customWidth="1"/>
    <col min="4" max="4" width="17" style="83" customWidth="1"/>
    <col min="5" max="5" width="15.83203125" style="83" customWidth="1"/>
    <col min="6" max="7" width="18" style="83" hidden="1" customWidth="1"/>
    <col min="8" max="8" width="16.5" style="83" customWidth="1"/>
    <col min="9" max="11" width="14.6640625" style="83" hidden="1" customWidth="1"/>
    <col min="12" max="12" width="8.5" style="83" hidden="1" customWidth="1"/>
    <col min="13" max="261" width="9.33203125" style="25"/>
    <col min="262" max="262" width="19.5" style="25" customWidth="1"/>
    <col min="263" max="263" width="69.33203125" style="25" customWidth="1"/>
    <col min="264" max="264" width="21.5" style="25" customWidth="1"/>
    <col min="265" max="517" width="9.33203125" style="25"/>
    <col min="518" max="518" width="19.5" style="25" customWidth="1"/>
    <col min="519" max="519" width="69.33203125" style="25" customWidth="1"/>
    <col min="520" max="520" width="21.5" style="25" customWidth="1"/>
    <col min="521" max="773" width="9.33203125" style="25"/>
    <col min="774" max="774" width="19.5" style="25" customWidth="1"/>
    <col min="775" max="775" width="69.33203125" style="25" customWidth="1"/>
    <col min="776" max="776" width="21.5" style="25" customWidth="1"/>
    <col min="777" max="1029" width="9.33203125" style="25"/>
    <col min="1030" max="1030" width="19.5" style="25" customWidth="1"/>
    <col min="1031" max="1031" width="69.33203125" style="25" customWidth="1"/>
    <col min="1032" max="1032" width="21.5" style="25" customWidth="1"/>
    <col min="1033" max="1285" width="9.33203125" style="25"/>
    <col min="1286" max="1286" width="19.5" style="25" customWidth="1"/>
    <col min="1287" max="1287" width="69.33203125" style="25" customWidth="1"/>
    <col min="1288" max="1288" width="21.5" style="25" customWidth="1"/>
    <col min="1289" max="1541" width="9.33203125" style="25"/>
    <col min="1542" max="1542" width="19.5" style="25" customWidth="1"/>
    <col min="1543" max="1543" width="69.33203125" style="25" customWidth="1"/>
    <col min="1544" max="1544" width="21.5" style="25" customWidth="1"/>
    <col min="1545" max="1797" width="9.33203125" style="25"/>
    <col min="1798" max="1798" width="19.5" style="25" customWidth="1"/>
    <col min="1799" max="1799" width="69.33203125" style="25" customWidth="1"/>
    <col min="1800" max="1800" width="21.5" style="25" customWidth="1"/>
    <col min="1801" max="2053" width="9.33203125" style="25"/>
    <col min="2054" max="2054" width="19.5" style="25" customWidth="1"/>
    <col min="2055" max="2055" width="69.33203125" style="25" customWidth="1"/>
    <col min="2056" max="2056" width="21.5" style="25" customWidth="1"/>
    <col min="2057" max="2309" width="9.33203125" style="25"/>
    <col min="2310" max="2310" width="19.5" style="25" customWidth="1"/>
    <col min="2311" max="2311" width="69.33203125" style="25" customWidth="1"/>
    <col min="2312" max="2312" width="21.5" style="25" customWidth="1"/>
    <col min="2313" max="2565" width="9.33203125" style="25"/>
    <col min="2566" max="2566" width="19.5" style="25" customWidth="1"/>
    <col min="2567" max="2567" width="69.33203125" style="25" customWidth="1"/>
    <col min="2568" max="2568" width="21.5" style="25" customWidth="1"/>
    <col min="2569" max="2821" width="9.33203125" style="25"/>
    <col min="2822" max="2822" width="19.5" style="25" customWidth="1"/>
    <col min="2823" max="2823" width="69.33203125" style="25" customWidth="1"/>
    <col min="2824" max="2824" width="21.5" style="25" customWidth="1"/>
    <col min="2825" max="3077" width="9.33203125" style="25"/>
    <col min="3078" max="3078" width="19.5" style="25" customWidth="1"/>
    <col min="3079" max="3079" width="69.33203125" style="25" customWidth="1"/>
    <col min="3080" max="3080" width="21.5" style="25" customWidth="1"/>
    <col min="3081" max="3333" width="9.33203125" style="25"/>
    <col min="3334" max="3334" width="19.5" style="25" customWidth="1"/>
    <col min="3335" max="3335" width="69.33203125" style="25" customWidth="1"/>
    <col min="3336" max="3336" width="21.5" style="25" customWidth="1"/>
    <col min="3337" max="3589" width="9.33203125" style="25"/>
    <col min="3590" max="3590" width="19.5" style="25" customWidth="1"/>
    <col min="3591" max="3591" width="69.33203125" style="25" customWidth="1"/>
    <col min="3592" max="3592" width="21.5" style="25" customWidth="1"/>
    <col min="3593" max="3845" width="9.33203125" style="25"/>
    <col min="3846" max="3846" width="19.5" style="25" customWidth="1"/>
    <col min="3847" max="3847" width="69.33203125" style="25" customWidth="1"/>
    <col min="3848" max="3848" width="21.5" style="25" customWidth="1"/>
    <col min="3849" max="4101" width="9.33203125" style="25"/>
    <col min="4102" max="4102" width="19.5" style="25" customWidth="1"/>
    <col min="4103" max="4103" width="69.33203125" style="25" customWidth="1"/>
    <col min="4104" max="4104" width="21.5" style="25" customWidth="1"/>
    <col min="4105" max="4357" width="9.33203125" style="25"/>
    <col min="4358" max="4358" width="19.5" style="25" customWidth="1"/>
    <col min="4359" max="4359" width="69.33203125" style="25" customWidth="1"/>
    <col min="4360" max="4360" width="21.5" style="25" customWidth="1"/>
    <col min="4361" max="4613" width="9.33203125" style="25"/>
    <col min="4614" max="4614" width="19.5" style="25" customWidth="1"/>
    <col min="4615" max="4615" width="69.33203125" style="25" customWidth="1"/>
    <col min="4616" max="4616" width="21.5" style="25" customWidth="1"/>
    <col min="4617" max="4869" width="9.33203125" style="25"/>
    <col min="4870" max="4870" width="19.5" style="25" customWidth="1"/>
    <col min="4871" max="4871" width="69.33203125" style="25" customWidth="1"/>
    <col min="4872" max="4872" width="21.5" style="25" customWidth="1"/>
    <col min="4873" max="5125" width="9.33203125" style="25"/>
    <col min="5126" max="5126" width="19.5" style="25" customWidth="1"/>
    <col min="5127" max="5127" width="69.33203125" style="25" customWidth="1"/>
    <col min="5128" max="5128" width="21.5" style="25" customWidth="1"/>
    <col min="5129" max="5381" width="9.33203125" style="25"/>
    <col min="5382" max="5382" width="19.5" style="25" customWidth="1"/>
    <col min="5383" max="5383" width="69.33203125" style="25" customWidth="1"/>
    <col min="5384" max="5384" width="21.5" style="25" customWidth="1"/>
    <col min="5385" max="5637" width="9.33203125" style="25"/>
    <col min="5638" max="5638" width="19.5" style="25" customWidth="1"/>
    <col min="5639" max="5639" width="69.33203125" style="25" customWidth="1"/>
    <col min="5640" max="5640" width="21.5" style="25" customWidth="1"/>
    <col min="5641" max="5893" width="9.33203125" style="25"/>
    <col min="5894" max="5894" width="19.5" style="25" customWidth="1"/>
    <col min="5895" max="5895" width="69.33203125" style="25" customWidth="1"/>
    <col min="5896" max="5896" width="21.5" style="25" customWidth="1"/>
    <col min="5897" max="6149" width="9.33203125" style="25"/>
    <col min="6150" max="6150" width="19.5" style="25" customWidth="1"/>
    <col min="6151" max="6151" width="69.33203125" style="25" customWidth="1"/>
    <col min="6152" max="6152" width="21.5" style="25" customWidth="1"/>
    <col min="6153" max="6405" width="9.33203125" style="25"/>
    <col min="6406" max="6406" width="19.5" style="25" customWidth="1"/>
    <col min="6407" max="6407" width="69.33203125" style="25" customWidth="1"/>
    <col min="6408" max="6408" width="21.5" style="25" customWidth="1"/>
    <col min="6409" max="6661" width="9.33203125" style="25"/>
    <col min="6662" max="6662" width="19.5" style="25" customWidth="1"/>
    <col min="6663" max="6663" width="69.33203125" style="25" customWidth="1"/>
    <col min="6664" max="6664" width="21.5" style="25" customWidth="1"/>
    <col min="6665" max="6917" width="9.33203125" style="25"/>
    <col min="6918" max="6918" width="19.5" style="25" customWidth="1"/>
    <col min="6919" max="6919" width="69.33203125" style="25" customWidth="1"/>
    <col min="6920" max="6920" width="21.5" style="25" customWidth="1"/>
    <col min="6921" max="7173" width="9.33203125" style="25"/>
    <col min="7174" max="7174" width="19.5" style="25" customWidth="1"/>
    <col min="7175" max="7175" width="69.33203125" style="25" customWidth="1"/>
    <col min="7176" max="7176" width="21.5" style="25" customWidth="1"/>
    <col min="7177" max="7429" width="9.33203125" style="25"/>
    <col min="7430" max="7430" width="19.5" style="25" customWidth="1"/>
    <col min="7431" max="7431" width="69.33203125" style="25" customWidth="1"/>
    <col min="7432" max="7432" width="21.5" style="25" customWidth="1"/>
    <col min="7433" max="7685" width="9.33203125" style="25"/>
    <col min="7686" max="7686" width="19.5" style="25" customWidth="1"/>
    <col min="7687" max="7687" width="69.33203125" style="25" customWidth="1"/>
    <col min="7688" max="7688" width="21.5" style="25" customWidth="1"/>
    <col min="7689" max="7941" width="9.33203125" style="25"/>
    <col min="7942" max="7942" width="19.5" style="25" customWidth="1"/>
    <col min="7943" max="7943" width="69.33203125" style="25" customWidth="1"/>
    <col min="7944" max="7944" width="21.5" style="25" customWidth="1"/>
    <col min="7945" max="8197" width="9.33203125" style="25"/>
    <col min="8198" max="8198" width="19.5" style="25" customWidth="1"/>
    <col min="8199" max="8199" width="69.33203125" style="25" customWidth="1"/>
    <col min="8200" max="8200" width="21.5" style="25" customWidth="1"/>
    <col min="8201" max="8453" width="9.33203125" style="25"/>
    <col min="8454" max="8454" width="19.5" style="25" customWidth="1"/>
    <col min="8455" max="8455" width="69.33203125" style="25" customWidth="1"/>
    <col min="8456" max="8456" width="21.5" style="25" customWidth="1"/>
    <col min="8457" max="8709" width="9.33203125" style="25"/>
    <col min="8710" max="8710" width="19.5" style="25" customWidth="1"/>
    <col min="8711" max="8711" width="69.33203125" style="25" customWidth="1"/>
    <col min="8712" max="8712" width="21.5" style="25" customWidth="1"/>
    <col min="8713" max="8965" width="9.33203125" style="25"/>
    <col min="8966" max="8966" width="19.5" style="25" customWidth="1"/>
    <col min="8967" max="8967" width="69.33203125" style="25" customWidth="1"/>
    <col min="8968" max="8968" width="21.5" style="25" customWidth="1"/>
    <col min="8969" max="9221" width="9.33203125" style="25"/>
    <col min="9222" max="9222" width="19.5" style="25" customWidth="1"/>
    <col min="9223" max="9223" width="69.33203125" style="25" customWidth="1"/>
    <col min="9224" max="9224" width="21.5" style="25" customWidth="1"/>
    <col min="9225" max="9477" width="9.33203125" style="25"/>
    <col min="9478" max="9478" width="19.5" style="25" customWidth="1"/>
    <col min="9479" max="9479" width="69.33203125" style="25" customWidth="1"/>
    <col min="9480" max="9480" width="21.5" style="25" customWidth="1"/>
    <col min="9481" max="9733" width="9.33203125" style="25"/>
    <col min="9734" max="9734" width="19.5" style="25" customWidth="1"/>
    <col min="9735" max="9735" width="69.33203125" style="25" customWidth="1"/>
    <col min="9736" max="9736" width="21.5" style="25" customWidth="1"/>
    <col min="9737" max="9989" width="9.33203125" style="25"/>
    <col min="9990" max="9990" width="19.5" style="25" customWidth="1"/>
    <col min="9991" max="9991" width="69.33203125" style="25" customWidth="1"/>
    <col min="9992" max="9992" width="21.5" style="25" customWidth="1"/>
    <col min="9993" max="10245" width="9.33203125" style="25"/>
    <col min="10246" max="10246" width="19.5" style="25" customWidth="1"/>
    <col min="10247" max="10247" width="69.33203125" style="25" customWidth="1"/>
    <col min="10248" max="10248" width="21.5" style="25" customWidth="1"/>
    <col min="10249" max="10501" width="9.33203125" style="25"/>
    <col min="10502" max="10502" width="19.5" style="25" customWidth="1"/>
    <col min="10503" max="10503" width="69.33203125" style="25" customWidth="1"/>
    <col min="10504" max="10504" width="21.5" style="25" customWidth="1"/>
    <col min="10505" max="10757" width="9.33203125" style="25"/>
    <col min="10758" max="10758" width="19.5" style="25" customWidth="1"/>
    <col min="10759" max="10759" width="69.33203125" style="25" customWidth="1"/>
    <col min="10760" max="10760" width="21.5" style="25" customWidth="1"/>
    <col min="10761" max="11013" width="9.33203125" style="25"/>
    <col min="11014" max="11014" width="19.5" style="25" customWidth="1"/>
    <col min="11015" max="11015" width="69.33203125" style="25" customWidth="1"/>
    <col min="11016" max="11016" width="21.5" style="25" customWidth="1"/>
    <col min="11017" max="11269" width="9.33203125" style="25"/>
    <col min="11270" max="11270" width="19.5" style="25" customWidth="1"/>
    <col min="11271" max="11271" width="69.33203125" style="25" customWidth="1"/>
    <col min="11272" max="11272" width="21.5" style="25" customWidth="1"/>
    <col min="11273" max="11525" width="9.33203125" style="25"/>
    <col min="11526" max="11526" width="19.5" style="25" customWidth="1"/>
    <col min="11527" max="11527" width="69.33203125" style="25" customWidth="1"/>
    <col min="11528" max="11528" width="21.5" style="25" customWidth="1"/>
    <col min="11529" max="11781" width="9.33203125" style="25"/>
    <col min="11782" max="11782" width="19.5" style="25" customWidth="1"/>
    <col min="11783" max="11783" width="69.33203125" style="25" customWidth="1"/>
    <col min="11784" max="11784" width="21.5" style="25" customWidth="1"/>
    <col min="11785" max="12037" width="9.33203125" style="25"/>
    <col min="12038" max="12038" width="19.5" style="25" customWidth="1"/>
    <col min="12039" max="12039" width="69.33203125" style="25" customWidth="1"/>
    <col min="12040" max="12040" width="21.5" style="25" customWidth="1"/>
    <col min="12041" max="12293" width="9.33203125" style="25"/>
    <col min="12294" max="12294" width="19.5" style="25" customWidth="1"/>
    <col min="12295" max="12295" width="69.33203125" style="25" customWidth="1"/>
    <col min="12296" max="12296" width="21.5" style="25" customWidth="1"/>
    <col min="12297" max="12549" width="9.33203125" style="25"/>
    <col min="12550" max="12550" width="19.5" style="25" customWidth="1"/>
    <col min="12551" max="12551" width="69.33203125" style="25" customWidth="1"/>
    <col min="12552" max="12552" width="21.5" style="25" customWidth="1"/>
    <col min="12553" max="12805" width="9.33203125" style="25"/>
    <col min="12806" max="12806" width="19.5" style="25" customWidth="1"/>
    <col min="12807" max="12807" width="69.33203125" style="25" customWidth="1"/>
    <col min="12808" max="12808" width="21.5" style="25" customWidth="1"/>
    <col min="12809" max="13061" width="9.33203125" style="25"/>
    <col min="13062" max="13062" width="19.5" style="25" customWidth="1"/>
    <col min="13063" max="13063" width="69.33203125" style="25" customWidth="1"/>
    <col min="13064" max="13064" width="21.5" style="25" customWidth="1"/>
    <col min="13065" max="13317" width="9.33203125" style="25"/>
    <col min="13318" max="13318" width="19.5" style="25" customWidth="1"/>
    <col min="13319" max="13319" width="69.33203125" style="25" customWidth="1"/>
    <col min="13320" max="13320" width="21.5" style="25" customWidth="1"/>
    <col min="13321" max="13573" width="9.33203125" style="25"/>
    <col min="13574" max="13574" width="19.5" style="25" customWidth="1"/>
    <col min="13575" max="13575" width="69.33203125" style="25" customWidth="1"/>
    <col min="13576" max="13576" width="21.5" style="25" customWidth="1"/>
    <col min="13577" max="13829" width="9.33203125" style="25"/>
    <col min="13830" max="13830" width="19.5" style="25" customWidth="1"/>
    <col min="13831" max="13831" width="69.33203125" style="25" customWidth="1"/>
    <col min="13832" max="13832" width="21.5" style="25" customWidth="1"/>
    <col min="13833" max="14085" width="9.33203125" style="25"/>
    <col min="14086" max="14086" width="19.5" style="25" customWidth="1"/>
    <col min="14087" max="14087" width="69.33203125" style="25" customWidth="1"/>
    <col min="14088" max="14088" width="21.5" style="25" customWidth="1"/>
    <col min="14089" max="14341" width="9.33203125" style="25"/>
    <col min="14342" max="14342" width="19.5" style="25" customWidth="1"/>
    <col min="14343" max="14343" width="69.33203125" style="25" customWidth="1"/>
    <col min="14344" max="14344" width="21.5" style="25" customWidth="1"/>
    <col min="14345" max="14597" width="9.33203125" style="25"/>
    <col min="14598" max="14598" width="19.5" style="25" customWidth="1"/>
    <col min="14599" max="14599" width="69.33203125" style="25" customWidth="1"/>
    <col min="14600" max="14600" width="21.5" style="25" customWidth="1"/>
    <col min="14601" max="14853" width="9.33203125" style="25"/>
    <col min="14854" max="14854" width="19.5" style="25" customWidth="1"/>
    <col min="14855" max="14855" width="69.33203125" style="25" customWidth="1"/>
    <col min="14856" max="14856" width="21.5" style="25" customWidth="1"/>
    <col min="14857" max="15109" width="9.33203125" style="25"/>
    <col min="15110" max="15110" width="19.5" style="25" customWidth="1"/>
    <col min="15111" max="15111" width="69.33203125" style="25" customWidth="1"/>
    <col min="15112" max="15112" width="21.5" style="25" customWidth="1"/>
    <col min="15113" max="15365" width="9.33203125" style="25"/>
    <col min="15366" max="15366" width="19.5" style="25" customWidth="1"/>
    <col min="15367" max="15367" width="69.33203125" style="25" customWidth="1"/>
    <col min="15368" max="15368" width="21.5" style="25" customWidth="1"/>
    <col min="15369" max="15621" width="9.33203125" style="25"/>
    <col min="15622" max="15622" width="19.5" style="25" customWidth="1"/>
    <col min="15623" max="15623" width="69.33203125" style="25" customWidth="1"/>
    <col min="15624" max="15624" width="21.5" style="25" customWidth="1"/>
    <col min="15625" max="15877" width="9.33203125" style="25"/>
    <col min="15878" max="15878" width="19.5" style="25" customWidth="1"/>
    <col min="15879" max="15879" width="69.33203125" style="25" customWidth="1"/>
    <col min="15880" max="15880" width="21.5" style="25" customWidth="1"/>
    <col min="15881" max="16133" width="9.33203125" style="25"/>
    <col min="16134" max="16134" width="19.5" style="25" customWidth="1"/>
    <col min="16135" max="16135" width="69.33203125" style="25" customWidth="1"/>
    <col min="16136" max="16136" width="21.5" style="25" customWidth="1"/>
    <col min="16137" max="16384" width="9.33203125" style="25"/>
  </cols>
  <sheetData>
    <row r="1" spans="1:12" x14ac:dyDescent="0.2">
      <c r="A1" s="1774" t="s">
        <v>803</v>
      </c>
      <c r="B1" s="1774"/>
      <c r="C1" s="1774"/>
      <c r="D1" s="1774"/>
      <c r="E1" s="1774"/>
      <c r="F1" s="1774"/>
      <c r="G1" s="1774"/>
      <c r="H1" s="1774"/>
      <c r="I1" s="25"/>
      <c r="J1" s="25"/>
      <c r="K1" s="25"/>
      <c r="L1" s="25"/>
    </row>
    <row r="2" spans="1:12" x14ac:dyDescent="0.2">
      <c r="A2" s="1774" t="s">
        <v>724</v>
      </c>
      <c r="B2" s="1774"/>
      <c r="C2" s="1774"/>
      <c r="D2" s="1774"/>
      <c r="E2" s="1774"/>
      <c r="F2" s="1774"/>
      <c r="G2" s="1774"/>
      <c r="H2" s="1774"/>
      <c r="I2" s="25"/>
      <c r="J2" s="25"/>
      <c r="K2" s="25"/>
      <c r="L2" s="25"/>
    </row>
    <row r="3" spans="1:12" s="24" customFormat="1" ht="16.5" customHeight="1" x14ac:dyDescent="0.2">
      <c r="A3" s="169"/>
      <c r="B3" s="170"/>
      <c r="C3" s="982"/>
      <c r="D3" s="982"/>
      <c r="E3" s="982"/>
      <c r="F3" s="982"/>
      <c r="G3" s="982"/>
      <c r="H3" s="982"/>
      <c r="I3" s="982"/>
      <c r="J3" s="982"/>
      <c r="K3" s="982"/>
      <c r="L3" s="982"/>
    </row>
    <row r="4" spans="1:12" s="38" customFormat="1" ht="21.2" customHeight="1" x14ac:dyDescent="0.2">
      <c r="A4" s="1771" t="s">
        <v>232</v>
      </c>
      <c r="B4" s="1771"/>
      <c r="C4" s="1771"/>
      <c r="D4" s="1771"/>
      <c r="E4" s="1771"/>
      <c r="F4" s="1771"/>
      <c r="G4" s="1771"/>
      <c r="H4" s="1771"/>
    </row>
    <row r="5" spans="1:12" s="38" customFormat="1" ht="21.2" customHeight="1" x14ac:dyDescent="0.2">
      <c r="A5" s="1771" t="str">
        <f>'26._önként_össz_kiad'!A5:C5</f>
        <v>2023. ÉVI KÖLTSÉGVETÉS</v>
      </c>
      <c r="B5" s="1771"/>
      <c r="C5" s="1771"/>
      <c r="D5" s="1771"/>
      <c r="E5" s="1771"/>
      <c r="F5" s="1771"/>
      <c r="G5" s="1771"/>
      <c r="H5" s="1771"/>
    </row>
    <row r="6" spans="1:12" s="38" customFormat="1" ht="21.2" customHeight="1" x14ac:dyDescent="0.2">
      <c r="A6" s="1771" t="s">
        <v>401</v>
      </c>
      <c r="B6" s="1771"/>
      <c r="C6" s="1771"/>
      <c r="D6" s="1771"/>
      <c r="E6" s="1771"/>
      <c r="F6" s="1771"/>
      <c r="G6" s="1771"/>
      <c r="H6" s="1771"/>
    </row>
    <row r="7" spans="1:12" s="38" customFormat="1" ht="15.75" x14ac:dyDescent="0.2">
      <c r="A7" s="981"/>
      <c r="B7" s="981"/>
      <c r="C7" s="981"/>
      <c r="D7" s="981"/>
      <c r="E7" s="981"/>
      <c r="F7" s="981"/>
      <c r="G7" s="981"/>
      <c r="H7" s="981"/>
      <c r="I7" s="981"/>
      <c r="J7" s="981"/>
      <c r="K7" s="981"/>
      <c r="L7" s="981"/>
    </row>
    <row r="8" spans="1:12" ht="13.5" thickBot="1" x14ac:dyDescent="0.25">
      <c r="A8" s="1909" t="s">
        <v>362</v>
      </c>
      <c r="B8" s="1909"/>
      <c r="C8" s="1909"/>
      <c r="D8" s="1909"/>
      <c r="E8" s="1909"/>
      <c r="F8" s="1909"/>
      <c r="G8" s="1909"/>
      <c r="H8" s="1909"/>
      <c r="I8" s="164"/>
      <c r="J8" s="164"/>
      <c r="K8" s="164"/>
      <c r="L8" s="164"/>
    </row>
    <row r="9" spans="1:12" s="46" customFormat="1" ht="62.45" customHeight="1" thickBot="1" x14ac:dyDescent="0.25">
      <c r="A9" s="43" t="s">
        <v>129</v>
      </c>
      <c r="B9" s="44" t="s">
        <v>11</v>
      </c>
      <c r="C9" s="44" t="str">
        <f>'26._önként_össz_kiad'!C9</f>
        <v>2023. évi eredeti előirányzat
2/2023. (II.14.)</v>
      </c>
      <c r="D9" s="182" t="str">
        <f>'26._önként_össz_kiad'!D9</f>
        <v>Módosított előirányzat a 14/2023.  (VI.29.)  rendelet szerint</v>
      </c>
      <c r="E9" s="44" t="str">
        <f>'26._önként_össz_kiad'!E9</f>
        <v>Módosított előirányzat a 18/2023. (IX.26.)  rendelet szerint</v>
      </c>
      <c r="F9" s="44" t="str">
        <f>'26._önként_össz_kiad'!F9</f>
        <v>Módosított előirányzat 2023.09.30-án</v>
      </c>
      <c r="G9" s="44" t="str">
        <f>'26._önként_össz_kiad'!G9</f>
        <v>Módosított előirányzat a …../2023. (II…..)  rendelet szerint</v>
      </c>
      <c r="H9" s="45" t="str">
        <f>'26._önként_össz_kiad'!H9</f>
        <v>Változás a 14/2023. (VI.29.) rendelethez képest</v>
      </c>
      <c r="I9" s="182" t="str">
        <f>'26._önként_össz_kiad'!I9</f>
        <v>2023. évi teljesítés              2023.06.30-ig</v>
      </c>
      <c r="J9" s="44" t="str">
        <f>'26._önként_össz_kiad'!J9</f>
        <v>2023. évi teljesítés              2023.09.30-ig</v>
      </c>
      <c r="K9" s="44" t="str">
        <f>'26._önként_össz_kiad'!K9</f>
        <v>2023. évi teljesítés              2023.12.31-ig</v>
      </c>
      <c r="L9" s="44" t="str">
        <f>'26._önként_össz_kiad'!L9</f>
        <v>Teljesítés %-a</v>
      </c>
    </row>
    <row r="10" spans="1:12" s="46" customFormat="1" ht="15.95" customHeight="1" thickBot="1" x14ac:dyDescent="0.25">
      <c r="A10" s="43" t="s">
        <v>297</v>
      </c>
      <c r="B10" s="44" t="s">
        <v>298</v>
      </c>
      <c r="C10" s="44" t="s">
        <v>299</v>
      </c>
      <c r="D10" s="182" t="s">
        <v>300</v>
      </c>
      <c r="E10" s="565" t="s">
        <v>301</v>
      </c>
      <c r="F10" s="565"/>
      <c r="G10" s="565"/>
      <c r="H10" s="45" t="s">
        <v>388</v>
      </c>
      <c r="I10" s="180"/>
      <c r="J10" s="45"/>
      <c r="K10" s="45"/>
      <c r="L10" s="45"/>
    </row>
    <row r="11" spans="1:12" s="46" customFormat="1" ht="12.2" customHeight="1" thickBot="1" x14ac:dyDescent="0.25">
      <c r="A11" s="14" t="s">
        <v>12</v>
      </c>
      <c r="B11" s="72" t="s">
        <v>622</v>
      </c>
      <c r="C11" s="113">
        <f>C19+C20+C21+C22+C23</f>
        <v>0</v>
      </c>
      <c r="D11" s="186">
        <f>D19+D20+D21+D22+D23</f>
        <v>0</v>
      </c>
      <c r="E11" s="566">
        <f t="shared" ref="E11:K11" si="0">E19+E20+E21+E22+E23</f>
        <v>331428</v>
      </c>
      <c r="F11" s="566">
        <f t="shared" si="0"/>
        <v>0</v>
      </c>
      <c r="G11" s="566">
        <f t="shared" si="0"/>
        <v>0</v>
      </c>
      <c r="H11" s="28">
        <f>+E11-D11</f>
        <v>331428</v>
      </c>
      <c r="I11" s="628">
        <f t="shared" si="0"/>
        <v>0</v>
      </c>
      <c r="J11" s="28">
        <f t="shared" si="0"/>
        <v>0</v>
      </c>
      <c r="K11" s="28">
        <f t="shared" si="0"/>
        <v>0</v>
      </c>
      <c r="L11" s="28">
        <f t="shared" ref="L11" si="1">+L12+L13+L14+L15+L16+L17+L18</f>
        <v>0</v>
      </c>
    </row>
    <row r="12" spans="1:12" s="26" customFormat="1" ht="12.2" customHeight="1" x14ac:dyDescent="0.2">
      <c r="A12" s="12" t="s">
        <v>91</v>
      </c>
      <c r="B12" s="73" t="s">
        <v>188</v>
      </c>
      <c r="C12" s="114">
        <f>'27._önkorm_államig'!C12</f>
        <v>0</v>
      </c>
      <c r="D12" s="185">
        <f>'27._önkorm_államig'!D12</f>
        <v>0</v>
      </c>
      <c r="E12" s="567">
        <f>'27._önkorm_államig'!E12</f>
        <v>0</v>
      </c>
      <c r="F12" s="567">
        <f>'27._önkorm_államig'!F12</f>
        <v>0</v>
      </c>
      <c r="G12" s="567">
        <f>'27._önkorm_államig'!G12</f>
        <v>0</v>
      </c>
      <c r="H12" s="16">
        <f t="shared" ref="H12:H75" si="2">+E12-D12</f>
        <v>0</v>
      </c>
      <c r="I12" s="626">
        <f>'27._önkorm_államig'!I12</f>
        <v>0</v>
      </c>
      <c r="J12" s="16">
        <f>'27._önkorm_államig'!J12</f>
        <v>0</v>
      </c>
      <c r="K12" s="16">
        <f>'27._önkorm_államig'!K12</f>
        <v>0</v>
      </c>
      <c r="L12" s="16">
        <f>'27._önkorm_államig'!L12</f>
        <v>0</v>
      </c>
    </row>
    <row r="13" spans="1:12" s="54" customFormat="1" ht="12.2" customHeight="1" x14ac:dyDescent="0.2">
      <c r="A13" s="1003" t="s">
        <v>92</v>
      </c>
      <c r="B13" s="345" t="s">
        <v>532</v>
      </c>
      <c r="C13" s="114">
        <f>'27._önkorm_államig'!C13</f>
        <v>0</v>
      </c>
      <c r="D13" s="185">
        <f>'27._önkorm_államig'!D13</f>
        <v>0</v>
      </c>
      <c r="E13" s="567">
        <f>'27._önkorm_államig'!E13</f>
        <v>0</v>
      </c>
      <c r="F13" s="567">
        <f>'27._önkorm_államig'!F13</f>
        <v>0</v>
      </c>
      <c r="G13" s="567">
        <f>'27._önkorm_államig'!G13</f>
        <v>0</v>
      </c>
      <c r="H13" s="16">
        <f t="shared" si="2"/>
        <v>0</v>
      </c>
      <c r="I13" s="626">
        <f>'27._önkorm_államig'!I13</f>
        <v>0</v>
      </c>
      <c r="J13" s="16">
        <f>'27._önkorm_államig'!J13</f>
        <v>0</v>
      </c>
      <c r="K13" s="16">
        <f>'27._önkorm_államig'!K13</f>
        <v>0</v>
      </c>
      <c r="L13" s="16">
        <f>'27._önkorm_államig'!L13</f>
        <v>0</v>
      </c>
    </row>
    <row r="14" spans="1:12" s="54" customFormat="1" ht="12.2" customHeight="1" x14ac:dyDescent="0.2">
      <c r="A14" s="1003" t="s">
        <v>93</v>
      </c>
      <c r="B14" s="345" t="s">
        <v>533</v>
      </c>
      <c r="C14" s="114">
        <f>'27._önkorm_államig'!C14</f>
        <v>0</v>
      </c>
      <c r="D14" s="185">
        <f>'27._önkorm_államig'!D14</f>
        <v>0</v>
      </c>
      <c r="E14" s="567">
        <f>'27._önkorm_államig'!E14</f>
        <v>0</v>
      </c>
      <c r="F14" s="567">
        <f>'27._önkorm_államig'!F14</f>
        <v>0</v>
      </c>
      <c r="G14" s="567">
        <f>'27._önkorm_államig'!G14</f>
        <v>0</v>
      </c>
      <c r="H14" s="16">
        <f t="shared" si="2"/>
        <v>0</v>
      </c>
      <c r="I14" s="626">
        <f>'27._önkorm_államig'!I14</f>
        <v>0</v>
      </c>
      <c r="J14" s="16">
        <f>'27._önkorm_államig'!J14</f>
        <v>0</v>
      </c>
      <c r="K14" s="16">
        <f>'27._önkorm_államig'!K14</f>
        <v>0</v>
      </c>
      <c r="L14" s="16">
        <f>'27._önkorm_államig'!L14</f>
        <v>0</v>
      </c>
    </row>
    <row r="15" spans="1:12" s="54" customFormat="1" ht="12.2" customHeight="1" x14ac:dyDescent="0.2">
      <c r="A15" s="1003" t="s">
        <v>90</v>
      </c>
      <c r="B15" s="345" t="s">
        <v>534</v>
      </c>
      <c r="C15" s="114">
        <f>'27._önkorm_államig'!C16</f>
        <v>0</v>
      </c>
      <c r="D15" s="185">
        <f>'27._önkorm_államig'!D16</f>
        <v>0</v>
      </c>
      <c r="E15" s="114">
        <f>'27._önkorm_államig'!E16</f>
        <v>0</v>
      </c>
      <c r="F15" s="114">
        <f>'27._önkorm_államig'!F16</f>
        <v>0</v>
      </c>
      <c r="G15" s="114">
        <f>'27._önkorm_államig'!G16</f>
        <v>0</v>
      </c>
      <c r="H15" s="16">
        <f t="shared" si="2"/>
        <v>0</v>
      </c>
      <c r="I15" s="626">
        <f>'27._önkorm_államig'!I16</f>
        <v>0</v>
      </c>
      <c r="J15" s="16">
        <f>'27._önkorm_államig'!J16</f>
        <v>0</v>
      </c>
      <c r="K15" s="16">
        <f>'27._önkorm_államig'!K16</f>
        <v>0</v>
      </c>
      <c r="L15" s="16">
        <f>'27._önkorm_államig'!L16</f>
        <v>0</v>
      </c>
    </row>
    <row r="16" spans="1:12" s="54" customFormat="1" ht="12.2" customHeight="1" x14ac:dyDescent="0.2">
      <c r="A16" s="1003" t="s">
        <v>147</v>
      </c>
      <c r="B16" s="345" t="s">
        <v>189</v>
      </c>
      <c r="C16" s="114">
        <f>'27._önkorm_államig'!C17</f>
        <v>0</v>
      </c>
      <c r="D16" s="185">
        <f>'27._önkorm_államig'!D17</f>
        <v>0</v>
      </c>
      <c r="E16" s="567">
        <f>'27._önkorm_államig'!E17</f>
        <v>0</v>
      </c>
      <c r="F16" s="567">
        <f>'27._önkorm_államig'!F17</f>
        <v>0</v>
      </c>
      <c r="G16" s="567">
        <f>'27._önkorm_államig'!G17</f>
        <v>0</v>
      </c>
      <c r="H16" s="16">
        <f t="shared" si="2"/>
        <v>0</v>
      </c>
      <c r="I16" s="626">
        <f>'27._önkorm_államig'!I17</f>
        <v>0</v>
      </c>
      <c r="J16" s="16">
        <f>'27._önkorm_államig'!J17</f>
        <v>0</v>
      </c>
      <c r="K16" s="16">
        <f>'27._önkorm_államig'!K17</f>
        <v>0</v>
      </c>
      <c r="L16" s="16">
        <f>'27._önkorm_államig'!L17</f>
        <v>0</v>
      </c>
    </row>
    <row r="17" spans="1:12" s="54" customFormat="1" ht="12.2" customHeight="1" x14ac:dyDescent="0.2">
      <c r="A17" s="1005" t="s">
        <v>149</v>
      </c>
      <c r="B17" s="345" t="s">
        <v>271</v>
      </c>
      <c r="C17" s="114">
        <f>'27._önkorm_államig'!C18</f>
        <v>0</v>
      </c>
      <c r="D17" s="185">
        <f>'27._önkorm_államig'!D18</f>
        <v>0</v>
      </c>
      <c r="E17" s="567">
        <f>'27._önkorm_államig'!E18</f>
        <v>0</v>
      </c>
      <c r="F17" s="567">
        <f>'27._önkorm_államig'!F18</f>
        <v>0</v>
      </c>
      <c r="G17" s="567">
        <f>'27._önkorm_államig'!G18</f>
        <v>0</v>
      </c>
      <c r="H17" s="16">
        <f t="shared" si="2"/>
        <v>0</v>
      </c>
      <c r="I17" s="626">
        <f>'27._önkorm_államig'!I18</f>
        <v>0</v>
      </c>
      <c r="J17" s="16">
        <f>'27._önkorm_államig'!J18</f>
        <v>0</v>
      </c>
      <c r="K17" s="16">
        <f>'27._önkorm_államig'!K18</f>
        <v>0</v>
      </c>
      <c r="L17" s="16">
        <f>'27._önkorm_államig'!L18</f>
        <v>0</v>
      </c>
    </row>
    <row r="18" spans="1:12" s="26" customFormat="1" ht="12.75" customHeight="1" x14ac:dyDescent="0.2">
      <c r="A18" s="1005" t="s">
        <v>151</v>
      </c>
      <c r="B18" s="717" t="s">
        <v>272</v>
      </c>
      <c r="C18" s="114">
        <f>'27._önkorm_államig'!C19</f>
        <v>0</v>
      </c>
      <c r="D18" s="664">
        <f>'27._önkorm_államig'!D19</f>
        <v>0</v>
      </c>
      <c r="E18" s="578">
        <f>'27._önkorm_államig'!E19</f>
        <v>0</v>
      </c>
      <c r="F18" s="578">
        <f>'27._önkorm_államig'!F19</f>
        <v>0</v>
      </c>
      <c r="G18" s="578">
        <f>'27._önkorm_államig'!G19</f>
        <v>0</v>
      </c>
      <c r="H18" s="528">
        <f t="shared" si="2"/>
        <v>0</v>
      </c>
      <c r="I18" s="672">
        <f>'27._önkorm_államig'!I19</f>
        <v>0</v>
      </c>
      <c r="J18" s="528">
        <f>'27._önkorm_államig'!J19</f>
        <v>0</v>
      </c>
      <c r="K18" s="528">
        <f>'27._önkorm_államig'!K19</f>
        <v>0</v>
      </c>
      <c r="L18" s="528">
        <f>'27._önkorm_államig'!L19</f>
        <v>0</v>
      </c>
    </row>
    <row r="19" spans="1:12" s="26" customFormat="1" ht="12.2" customHeight="1" x14ac:dyDescent="0.2">
      <c r="A19" s="1010" t="s">
        <v>153</v>
      </c>
      <c r="B19" s="687" t="s">
        <v>623</v>
      </c>
      <c r="C19" s="114">
        <f>SUM(C12:C18)</f>
        <v>0</v>
      </c>
      <c r="D19" s="662">
        <f t="shared" ref="D19:K19" si="3">SUM(D12:D18)</f>
        <v>0</v>
      </c>
      <c r="E19" s="576">
        <f t="shared" si="3"/>
        <v>0</v>
      </c>
      <c r="F19" s="576">
        <f t="shared" si="3"/>
        <v>0</v>
      </c>
      <c r="G19" s="576">
        <f t="shared" si="3"/>
        <v>0</v>
      </c>
      <c r="H19" s="527">
        <f t="shared" si="2"/>
        <v>0</v>
      </c>
      <c r="I19" s="826">
        <f t="shared" si="3"/>
        <v>0</v>
      </c>
      <c r="J19" s="527">
        <f t="shared" si="3"/>
        <v>0</v>
      </c>
      <c r="K19" s="527">
        <f t="shared" si="3"/>
        <v>0</v>
      </c>
      <c r="L19" s="527" t="e">
        <f t="shared" ref="L19" si="4">+L20+L21+L22+L23</f>
        <v>#VALUE!</v>
      </c>
    </row>
    <row r="20" spans="1:12" s="26" customFormat="1" ht="12.2" customHeight="1" x14ac:dyDescent="0.2">
      <c r="A20" s="12" t="s">
        <v>154</v>
      </c>
      <c r="B20" s="73" t="s">
        <v>159</v>
      </c>
      <c r="C20" s="114">
        <f>'27._önkorm_államig'!C20+'28._Int.össz_államig'!C23</f>
        <v>0</v>
      </c>
      <c r="D20" s="185">
        <f>'27._önkorm_államig'!D20+'28._Int.össz_államig'!D23</f>
        <v>0</v>
      </c>
      <c r="E20" s="567">
        <f>'27._önkorm_államig'!E20+'28._Int.össz_államig'!E23</f>
        <v>0</v>
      </c>
      <c r="F20" s="567">
        <f>'27._önkorm_államig'!F20+'28._Int.össz_államig'!F23</f>
        <v>0</v>
      </c>
      <c r="G20" s="567">
        <f>'27._önkorm_államig'!G20+'28._Int.össz_államig'!G23</f>
        <v>0</v>
      </c>
      <c r="H20" s="16">
        <f t="shared" si="2"/>
        <v>0</v>
      </c>
      <c r="I20" s="626">
        <f>'27._önkorm_államig'!I20+'28._Int.össz_államig'!I23</f>
        <v>0</v>
      </c>
      <c r="J20" s="16">
        <f>'27._önkorm_államig'!J20+'28._Int.össz_államig'!J23</f>
        <v>0</v>
      </c>
      <c r="K20" s="16">
        <f>'27._önkorm_államig'!K20+'28._Int.össz_államig'!K23</f>
        <v>0</v>
      </c>
      <c r="L20" s="16" t="e">
        <f>'27._önkorm_államig'!L20+'28._Int.össz_államig'!L23</f>
        <v>#VALUE!</v>
      </c>
    </row>
    <row r="21" spans="1:12" s="26" customFormat="1" ht="12.2" customHeight="1" x14ac:dyDescent="0.2">
      <c r="A21" s="12" t="s">
        <v>156</v>
      </c>
      <c r="B21" s="345" t="s">
        <v>190</v>
      </c>
      <c r="C21" s="114">
        <f>'27._önkorm_államig'!C21+'28._Int.össz_államig'!C24</f>
        <v>0</v>
      </c>
      <c r="D21" s="185">
        <f>'27._önkorm_államig'!D21+'28._Int.össz_államig'!D24</f>
        <v>0</v>
      </c>
      <c r="E21" s="567">
        <f>'27._önkorm_államig'!E21+'28._Int.össz_államig'!E24</f>
        <v>0</v>
      </c>
      <c r="F21" s="567">
        <f>'27._önkorm_államig'!F21+'28._Int.össz_államig'!F24</f>
        <v>0</v>
      </c>
      <c r="G21" s="567">
        <f>'27._önkorm_államig'!G21+'28._Int.össz_államig'!G24</f>
        <v>0</v>
      </c>
      <c r="H21" s="16">
        <f t="shared" si="2"/>
        <v>0</v>
      </c>
      <c r="I21" s="626">
        <f>'27._önkorm_államig'!I21+'28._Int.össz_államig'!I24</f>
        <v>0</v>
      </c>
      <c r="J21" s="16">
        <f>'27._önkorm_államig'!J21+'28._Int.össz_államig'!J24</f>
        <v>0</v>
      </c>
      <c r="K21" s="16">
        <f>'27._önkorm_államig'!K21+'28._Int.össz_államig'!K24</f>
        <v>0</v>
      </c>
      <c r="L21" s="16" t="e">
        <f>'27._önkorm_államig'!L21+'28._Int.össz_államig'!L24</f>
        <v>#VALUE!</v>
      </c>
    </row>
    <row r="22" spans="1:12" s="26" customFormat="1" ht="12.2" customHeight="1" x14ac:dyDescent="0.2">
      <c r="A22" s="12" t="s">
        <v>276</v>
      </c>
      <c r="B22" s="345" t="s">
        <v>191</v>
      </c>
      <c r="C22" s="401">
        <f>'27._önkorm_államig'!C22</f>
        <v>0</v>
      </c>
      <c r="D22" s="325">
        <f>'27._önkorm_államig'!D22</f>
        <v>0</v>
      </c>
      <c r="E22" s="568">
        <f>'27._önkorm_államig'!E22</f>
        <v>0</v>
      </c>
      <c r="F22" s="568">
        <f>'27._önkorm_államig'!F22</f>
        <v>0</v>
      </c>
      <c r="G22" s="568">
        <f>'27._önkorm_államig'!G22</f>
        <v>0</v>
      </c>
      <c r="H22" s="327">
        <f t="shared" si="2"/>
        <v>0</v>
      </c>
      <c r="I22" s="627">
        <f>'27._önkorm_államig'!I22</f>
        <v>0</v>
      </c>
      <c r="J22" s="327">
        <f>'27._önkorm_államig'!J22</f>
        <v>0</v>
      </c>
      <c r="K22" s="327">
        <f>'27._önkorm_államig'!K22</f>
        <v>0</v>
      </c>
      <c r="L22" s="327">
        <f>'27._önkorm_államig'!L22</f>
        <v>0</v>
      </c>
    </row>
    <row r="23" spans="1:12" s="26" customFormat="1" ht="12.2" customHeight="1" x14ac:dyDescent="0.2">
      <c r="A23" s="12" t="s">
        <v>595</v>
      </c>
      <c r="B23" s="345" t="s">
        <v>192</v>
      </c>
      <c r="C23" s="401">
        <f>'27._önkorm_államig'!C23+'28._Int.össz_államig'!C26</f>
        <v>0</v>
      </c>
      <c r="D23" s="325">
        <f>'27._önkorm_államig'!D23+'28._Int.össz_államig'!D26</f>
        <v>0</v>
      </c>
      <c r="E23" s="568">
        <f>'27._önkorm_államig'!E23+'28._Int.össz_államig'!E25</f>
        <v>331428</v>
      </c>
      <c r="F23" s="568">
        <f>'27._önkorm_államig'!F23+'28._Int.össz_államig'!F26</f>
        <v>0</v>
      </c>
      <c r="G23" s="568">
        <f>'27._önkorm_államig'!G23+'28._Int.össz_államig'!G26</f>
        <v>0</v>
      </c>
      <c r="H23" s="327">
        <f t="shared" si="2"/>
        <v>331428</v>
      </c>
      <c r="I23" s="627">
        <f>'27._önkorm_államig'!I23+'28._Int.össz_államig'!I26</f>
        <v>0</v>
      </c>
      <c r="J23" s="327">
        <f>'27._önkorm_államig'!J23+'28._Int.össz_államig'!J26</f>
        <v>0</v>
      </c>
      <c r="K23" s="327">
        <f>'27._önkorm_államig'!K23+'28._Int.össz_államig'!K26</f>
        <v>0</v>
      </c>
      <c r="L23" s="327" t="e">
        <f>'27._önkorm_államig'!L23+'28._Int.össz_államig'!L26</f>
        <v>#VALUE!</v>
      </c>
    </row>
    <row r="24" spans="1:12" s="54" customFormat="1" ht="12.2" customHeight="1" thickBot="1" x14ac:dyDescent="0.25">
      <c r="A24" s="12" t="s">
        <v>596</v>
      </c>
      <c r="B24" s="496" t="s">
        <v>643</v>
      </c>
      <c r="C24" s="504">
        <f>'27._önkorm_államig'!C24+'28._Int.össz_államig'!C27</f>
        <v>0</v>
      </c>
      <c r="D24" s="625">
        <f>'27._önkorm_államig'!D24+'28._Int.össz_államig'!D27</f>
        <v>0</v>
      </c>
      <c r="E24" s="569">
        <f>'27._önkorm_államig'!E24+'28._Int.össz_államig'!E27</f>
        <v>0</v>
      </c>
      <c r="F24" s="569">
        <f>'27._önkorm_államig'!F24+'28._Int.össz_államig'!F27</f>
        <v>0</v>
      </c>
      <c r="G24" s="569">
        <f>'27._önkorm_államig'!G24+'28._Int.össz_államig'!G27</f>
        <v>0</v>
      </c>
      <c r="H24" s="525">
        <f t="shared" si="2"/>
        <v>0</v>
      </c>
      <c r="I24" s="629">
        <f>'27._önkorm_államig'!I24+'28._Int.össz_államig'!I27</f>
        <v>0</v>
      </c>
      <c r="J24" s="525">
        <f>'27._önkorm_államig'!J24+'28._Int.össz_államig'!J27</f>
        <v>0</v>
      </c>
      <c r="K24" s="525">
        <f>'27._önkorm_államig'!K24+'28._Int.össz_államig'!K27</f>
        <v>0</v>
      </c>
      <c r="L24" s="525">
        <f>'27._önkorm_államig'!L24+'28._Int.össz_államig'!L27</f>
        <v>0</v>
      </c>
    </row>
    <row r="25" spans="1:12" s="54" customFormat="1" ht="12.2" customHeight="1" thickBot="1" x14ac:dyDescent="0.25">
      <c r="A25" s="14" t="s">
        <v>13</v>
      </c>
      <c r="B25" s="72" t="s">
        <v>597</v>
      </c>
      <c r="C25" s="113">
        <f>+C26+C27+C28+C29</f>
        <v>0</v>
      </c>
      <c r="D25" s="186">
        <f t="shared" ref="D25:K25" si="5">+D26+D27+D28+D29</f>
        <v>0</v>
      </c>
      <c r="E25" s="566">
        <f t="shared" si="5"/>
        <v>0</v>
      </c>
      <c r="F25" s="566">
        <f t="shared" si="5"/>
        <v>0</v>
      </c>
      <c r="G25" s="566">
        <f t="shared" si="5"/>
        <v>0</v>
      </c>
      <c r="H25" s="28">
        <f t="shared" si="2"/>
        <v>0</v>
      </c>
      <c r="I25" s="628">
        <f t="shared" si="5"/>
        <v>0</v>
      </c>
      <c r="J25" s="28">
        <f t="shared" si="5"/>
        <v>0</v>
      </c>
      <c r="K25" s="28">
        <f t="shared" si="5"/>
        <v>0</v>
      </c>
      <c r="L25" s="28" t="e">
        <f t="shared" ref="L25" si="6">+L26+L27+L28+L29</f>
        <v>#VALUE!</v>
      </c>
    </row>
    <row r="26" spans="1:12" s="54" customFormat="1" ht="12.2" customHeight="1" x14ac:dyDescent="0.2">
      <c r="A26" s="12" t="s">
        <v>94</v>
      </c>
      <c r="B26" s="716" t="s">
        <v>193</v>
      </c>
      <c r="C26" s="114">
        <f>'27._önkorm_államig'!C26</f>
        <v>0</v>
      </c>
      <c r="D26" s="185">
        <f>'27._önkorm_államig'!D26</f>
        <v>0</v>
      </c>
      <c r="E26" s="567">
        <f>'27._önkorm_államig'!E26</f>
        <v>0</v>
      </c>
      <c r="F26" s="567">
        <f>'27._önkorm_államig'!F26</f>
        <v>0</v>
      </c>
      <c r="G26" s="567">
        <f>'27._önkorm_államig'!G26</f>
        <v>0</v>
      </c>
      <c r="H26" s="16">
        <f t="shared" si="2"/>
        <v>0</v>
      </c>
      <c r="I26" s="626">
        <f>'27._önkorm_államig'!I26</f>
        <v>0</v>
      </c>
      <c r="J26" s="16">
        <f>'27._önkorm_államig'!J26</f>
        <v>0</v>
      </c>
      <c r="K26" s="16">
        <f>'27._önkorm_államig'!K26</f>
        <v>0</v>
      </c>
      <c r="L26" s="16">
        <f>'27._önkorm_államig'!L26</f>
        <v>0</v>
      </c>
    </row>
    <row r="27" spans="1:12" s="54" customFormat="1" ht="12.2" customHeight="1" x14ac:dyDescent="0.2">
      <c r="A27" s="1003" t="s">
        <v>95</v>
      </c>
      <c r="B27" s="717" t="s">
        <v>194</v>
      </c>
      <c r="C27" s="401">
        <f>'27._önkorm_államig'!C27+'28._Int.össz_államig'!C29</f>
        <v>0</v>
      </c>
      <c r="D27" s="325">
        <f>'27._önkorm_államig'!D27+'28._Int.össz_államig'!D29</f>
        <v>0</v>
      </c>
      <c r="E27" s="568">
        <f>'27._önkorm_államig'!E27+'28._Int.össz_államig'!E29</f>
        <v>0</v>
      </c>
      <c r="F27" s="568">
        <f>'27._önkorm_államig'!F27+'28._Int.össz_államig'!F29</f>
        <v>0</v>
      </c>
      <c r="G27" s="568">
        <f>'27._önkorm_államig'!G27+'28._Int.össz_államig'!G29</f>
        <v>0</v>
      </c>
      <c r="H27" s="327">
        <f t="shared" si="2"/>
        <v>0</v>
      </c>
      <c r="I27" s="627">
        <f>'27._önkorm_államig'!I27+'28._Int.össz_államig'!I29</f>
        <v>0</v>
      </c>
      <c r="J27" s="327">
        <f>'27._önkorm_államig'!J27+'28._Int.össz_államig'!J29</f>
        <v>0</v>
      </c>
      <c r="K27" s="327">
        <f>'27._önkorm_államig'!K27+'28._Int.össz_államig'!K29</f>
        <v>0</v>
      </c>
      <c r="L27" s="327" t="e">
        <f>'27._önkorm_államig'!L27+'28._Int.össz_államig'!L29</f>
        <v>#VALUE!</v>
      </c>
    </row>
    <row r="28" spans="1:12" s="54" customFormat="1" ht="12.2" customHeight="1" x14ac:dyDescent="0.2">
      <c r="A28" s="1003" t="s">
        <v>96</v>
      </c>
      <c r="B28" s="717" t="s">
        <v>196</v>
      </c>
      <c r="C28" s="401">
        <f>'27._önkorm_államig'!C28</f>
        <v>0</v>
      </c>
      <c r="D28" s="325">
        <f>'27._önkorm_államig'!D28</f>
        <v>0</v>
      </c>
      <c r="E28" s="568">
        <f>'27._önkorm_államig'!E28</f>
        <v>0</v>
      </c>
      <c r="F28" s="568">
        <f>'27._önkorm_államig'!F28</f>
        <v>0</v>
      </c>
      <c r="G28" s="568">
        <f>'27._önkorm_államig'!G28</f>
        <v>0</v>
      </c>
      <c r="H28" s="327">
        <f t="shared" si="2"/>
        <v>0</v>
      </c>
      <c r="I28" s="627">
        <f>'27._önkorm_államig'!I28</f>
        <v>0</v>
      </c>
      <c r="J28" s="327">
        <f>'27._önkorm_államig'!J28</f>
        <v>0</v>
      </c>
      <c r="K28" s="327">
        <f>'27._önkorm_államig'!K28</f>
        <v>0</v>
      </c>
      <c r="L28" s="327">
        <f>'27._önkorm_államig'!L28</f>
        <v>0</v>
      </c>
    </row>
    <row r="29" spans="1:12" s="54" customFormat="1" ht="12.2" customHeight="1" x14ac:dyDescent="0.2">
      <c r="A29" s="1003" t="s">
        <v>97</v>
      </c>
      <c r="B29" s="717" t="s">
        <v>197</v>
      </c>
      <c r="C29" s="401">
        <f>'27._önkorm_államig'!C29+'28._Int.össz_államig'!C30</f>
        <v>0</v>
      </c>
      <c r="D29" s="325">
        <f>'27._önkorm_államig'!D29+'28._Int.össz_államig'!D30</f>
        <v>0</v>
      </c>
      <c r="E29" s="568">
        <f>'27._önkorm_államig'!E29+'28._Int.össz_államig'!E30</f>
        <v>0</v>
      </c>
      <c r="F29" s="568">
        <f>'27._önkorm_államig'!F29+'28._Int.össz_államig'!F30</f>
        <v>0</v>
      </c>
      <c r="G29" s="568">
        <f>'27._önkorm_államig'!G29+'28._Int.össz_államig'!G30</f>
        <v>0</v>
      </c>
      <c r="H29" s="327">
        <f t="shared" si="2"/>
        <v>0</v>
      </c>
      <c r="I29" s="627">
        <f>'27._önkorm_államig'!I29+'28._Int.össz_államig'!I30</f>
        <v>0</v>
      </c>
      <c r="J29" s="327">
        <f>'27._önkorm_államig'!J29+'28._Int.össz_államig'!J30</f>
        <v>0</v>
      </c>
      <c r="K29" s="327">
        <f>'27._önkorm_államig'!K29+'28._Int.össz_államig'!K30</f>
        <v>0</v>
      </c>
      <c r="L29" s="327" t="e">
        <f>'27._önkorm_államig'!L29+'28._Int.össz_államig'!L30</f>
        <v>#VALUE!</v>
      </c>
    </row>
    <row r="30" spans="1:12" s="54" customFormat="1" ht="12.2" customHeight="1" thickBot="1" x14ac:dyDescent="0.25">
      <c r="A30" s="1005" t="s">
        <v>321</v>
      </c>
      <c r="B30" s="496" t="s">
        <v>273</v>
      </c>
      <c r="C30" s="504">
        <f>'27._önkorm_államig'!C30+'28._Int.össz_államig'!C31</f>
        <v>0</v>
      </c>
      <c r="D30" s="625">
        <f>'27._önkorm_államig'!D30+'28._Int.össz_államig'!D31</f>
        <v>0</v>
      </c>
      <c r="E30" s="569">
        <f>'27._önkorm_államig'!E30+'28._Int.össz_államig'!E31</f>
        <v>0</v>
      </c>
      <c r="F30" s="569">
        <f>'27._önkorm_államig'!F30+'28._Int.össz_államig'!F31</f>
        <v>0</v>
      </c>
      <c r="G30" s="569">
        <f>'27._önkorm_államig'!G30+'28._Int.össz_államig'!G31</f>
        <v>0</v>
      </c>
      <c r="H30" s="525">
        <f t="shared" si="2"/>
        <v>0</v>
      </c>
      <c r="I30" s="629">
        <f>'27._önkorm_államig'!I30+'28._Int.össz_államig'!I31</f>
        <v>0</v>
      </c>
      <c r="J30" s="525">
        <f>'27._önkorm_államig'!J30+'28._Int.össz_államig'!J31</f>
        <v>0</v>
      </c>
      <c r="K30" s="525">
        <f>'27._önkorm_államig'!K30+'28._Int.össz_államig'!K31</f>
        <v>0</v>
      </c>
      <c r="L30" s="525" t="e">
        <f>'27._önkorm_államig'!L30+'28._Int.össz_államig'!L31</f>
        <v>#VALUE!</v>
      </c>
    </row>
    <row r="31" spans="1:12" s="54" customFormat="1" ht="12.2" customHeight="1" thickBot="1" x14ac:dyDescent="0.25">
      <c r="A31" s="14" t="s">
        <v>625</v>
      </c>
      <c r="B31" s="72" t="s">
        <v>598</v>
      </c>
      <c r="C31" s="1023">
        <f>C32+C34+C36+C37+C40</f>
        <v>602835137</v>
      </c>
      <c r="D31" s="187">
        <f t="shared" ref="D31:K31" si="7">D32+D34+D36+D37+D40</f>
        <v>616450137</v>
      </c>
      <c r="E31" s="532">
        <f t="shared" si="7"/>
        <v>690517637</v>
      </c>
      <c r="F31" s="532">
        <f t="shared" si="7"/>
        <v>0</v>
      </c>
      <c r="G31" s="532">
        <f t="shared" si="7"/>
        <v>0</v>
      </c>
      <c r="H31" s="74">
        <f t="shared" si="2"/>
        <v>74067500</v>
      </c>
      <c r="I31" s="638">
        <f t="shared" si="7"/>
        <v>0</v>
      </c>
      <c r="J31" s="74">
        <f t="shared" si="7"/>
        <v>0</v>
      </c>
      <c r="K31" s="74">
        <f t="shared" si="7"/>
        <v>0</v>
      </c>
      <c r="L31" s="74">
        <f t="shared" ref="L31" si="8">L32+L34+L36+L37+L40</f>
        <v>0</v>
      </c>
    </row>
    <row r="32" spans="1:12" s="54" customFormat="1" ht="12.2" customHeight="1" x14ac:dyDescent="0.2">
      <c r="A32" s="12" t="s">
        <v>98</v>
      </c>
      <c r="B32" s="716" t="s">
        <v>278</v>
      </c>
      <c r="C32" s="115">
        <f>C33</f>
        <v>0</v>
      </c>
      <c r="D32" s="200">
        <f t="shared" ref="D32:K32" si="9">D33</f>
        <v>0</v>
      </c>
      <c r="E32" s="570">
        <f t="shared" si="9"/>
        <v>0</v>
      </c>
      <c r="F32" s="570">
        <f t="shared" si="9"/>
        <v>0</v>
      </c>
      <c r="G32" s="570">
        <f t="shared" si="9"/>
        <v>0</v>
      </c>
      <c r="H32" s="75">
        <f t="shared" si="2"/>
        <v>0</v>
      </c>
      <c r="I32" s="637">
        <f t="shared" si="9"/>
        <v>0</v>
      </c>
      <c r="J32" s="75">
        <f t="shared" si="9"/>
        <v>0</v>
      </c>
      <c r="K32" s="75">
        <f t="shared" si="9"/>
        <v>0</v>
      </c>
      <c r="L32" s="75">
        <f t="shared" ref="L32" si="10">L33</f>
        <v>0</v>
      </c>
    </row>
    <row r="33" spans="1:12" s="54" customFormat="1" ht="12.2" customHeight="1" x14ac:dyDescent="0.2">
      <c r="A33" s="1003" t="s">
        <v>599</v>
      </c>
      <c r="B33" s="717" t="s">
        <v>230</v>
      </c>
      <c r="C33" s="401">
        <f>'27._önkorm_államig'!C33</f>
        <v>0</v>
      </c>
      <c r="D33" s="325">
        <f>'27._önkorm_államig'!D33</f>
        <v>0</v>
      </c>
      <c r="E33" s="568">
        <f>'27._önkorm_államig'!E33</f>
        <v>0</v>
      </c>
      <c r="F33" s="568">
        <f>'27._önkorm_államig'!F33</f>
        <v>0</v>
      </c>
      <c r="G33" s="568">
        <f>'27._önkorm_államig'!G33</f>
        <v>0</v>
      </c>
      <c r="H33" s="327">
        <f t="shared" si="2"/>
        <v>0</v>
      </c>
      <c r="I33" s="627">
        <f>'27._önkorm_államig'!I33</f>
        <v>0</v>
      </c>
      <c r="J33" s="327">
        <f>'27._önkorm_államig'!J33</f>
        <v>0</v>
      </c>
      <c r="K33" s="327">
        <f>'27._önkorm_államig'!K33</f>
        <v>0</v>
      </c>
      <c r="L33" s="327">
        <f>'27._önkorm_államig'!L33</f>
        <v>0</v>
      </c>
    </row>
    <row r="34" spans="1:12" s="54" customFormat="1" ht="12.2" customHeight="1" x14ac:dyDescent="0.2">
      <c r="A34" s="1003" t="s">
        <v>99</v>
      </c>
      <c r="B34" s="716" t="s">
        <v>279</v>
      </c>
      <c r="C34" s="401">
        <f>C35</f>
        <v>602835137</v>
      </c>
      <c r="D34" s="325">
        <f t="shared" ref="D34:K34" si="11">D35</f>
        <v>616450137</v>
      </c>
      <c r="E34" s="568">
        <f t="shared" si="11"/>
        <v>690517637</v>
      </c>
      <c r="F34" s="568">
        <f t="shared" si="11"/>
        <v>0</v>
      </c>
      <c r="G34" s="568">
        <f t="shared" si="11"/>
        <v>0</v>
      </c>
      <c r="H34" s="327">
        <f t="shared" si="2"/>
        <v>74067500</v>
      </c>
      <c r="I34" s="627">
        <f t="shared" si="11"/>
        <v>0</v>
      </c>
      <c r="J34" s="327">
        <f t="shared" si="11"/>
        <v>0</v>
      </c>
      <c r="K34" s="327">
        <f t="shared" si="11"/>
        <v>0</v>
      </c>
      <c r="L34" s="327">
        <f t="shared" ref="L34" si="12">L35</f>
        <v>0</v>
      </c>
    </row>
    <row r="35" spans="1:12" s="54" customFormat="1" ht="12.2" customHeight="1" x14ac:dyDescent="0.2">
      <c r="A35" s="1003" t="s">
        <v>600</v>
      </c>
      <c r="B35" s="717" t="s">
        <v>280</v>
      </c>
      <c r="C35" s="401">
        <f>'27._önkorm_államig'!C35</f>
        <v>602835137</v>
      </c>
      <c r="D35" s="325">
        <f>'27._önkorm_államig'!D35</f>
        <v>616450137</v>
      </c>
      <c r="E35" s="401">
        <f>'27._önkorm_államig'!E35</f>
        <v>690517637</v>
      </c>
      <c r="F35" s="401">
        <f>'27._önkorm_államig'!F35</f>
        <v>0</v>
      </c>
      <c r="G35" s="401">
        <f>'27._önkorm_államig'!G35</f>
        <v>0</v>
      </c>
      <c r="H35" s="327">
        <f t="shared" si="2"/>
        <v>74067500</v>
      </c>
      <c r="I35" s="627">
        <f>'27._önkorm_államig'!I35</f>
        <v>0</v>
      </c>
      <c r="J35" s="327">
        <f>'27._önkorm_államig'!J35</f>
        <v>0</v>
      </c>
      <c r="K35" s="327">
        <f>'27._önkorm_államig'!K35</f>
        <v>0</v>
      </c>
      <c r="L35" s="327">
        <f>'27._önkorm_államig'!L35</f>
        <v>0</v>
      </c>
    </row>
    <row r="36" spans="1:12" s="54" customFormat="1" ht="12.2" customHeight="1" x14ac:dyDescent="0.2">
      <c r="A36" s="1003" t="s">
        <v>106</v>
      </c>
      <c r="B36" s="717" t="s">
        <v>198</v>
      </c>
      <c r="C36" s="401">
        <f>'27._önkorm_államig'!C36</f>
        <v>0</v>
      </c>
      <c r="D36" s="325">
        <f>'27._önkorm_államig'!D36</f>
        <v>0</v>
      </c>
      <c r="E36" s="568">
        <f>'27._önkorm_államig'!E36</f>
        <v>0</v>
      </c>
      <c r="F36" s="568">
        <f>'27._önkorm_államig'!F36</f>
        <v>0</v>
      </c>
      <c r="G36" s="568">
        <f>'27._önkorm_államig'!G36</f>
        <v>0</v>
      </c>
      <c r="H36" s="327">
        <f t="shared" si="2"/>
        <v>0</v>
      </c>
      <c r="I36" s="627">
        <f>'27._önkorm_államig'!I36</f>
        <v>0</v>
      </c>
      <c r="J36" s="327">
        <f>'27._önkorm_államig'!J36</f>
        <v>0</v>
      </c>
      <c r="K36" s="327">
        <f>'27._önkorm_államig'!K36</f>
        <v>0</v>
      </c>
      <c r="L36" s="327">
        <f>'27._önkorm_államig'!L36</f>
        <v>0</v>
      </c>
    </row>
    <row r="37" spans="1:12" s="54" customFormat="1" ht="12.2" customHeight="1" x14ac:dyDescent="0.2">
      <c r="A37" s="1003" t="s">
        <v>195</v>
      </c>
      <c r="B37" s="717" t="s">
        <v>199</v>
      </c>
      <c r="C37" s="401">
        <f>SUM(C38:C39)</f>
        <v>0</v>
      </c>
      <c r="D37" s="325">
        <f t="shared" ref="D37:K37" si="13">SUM(D38:D39)</f>
        <v>0</v>
      </c>
      <c r="E37" s="568">
        <f t="shared" si="13"/>
        <v>0</v>
      </c>
      <c r="F37" s="568">
        <f t="shared" si="13"/>
        <v>0</v>
      </c>
      <c r="G37" s="568">
        <f t="shared" si="13"/>
        <v>0</v>
      </c>
      <c r="H37" s="327">
        <f t="shared" si="2"/>
        <v>0</v>
      </c>
      <c r="I37" s="627">
        <f t="shared" si="13"/>
        <v>0</v>
      </c>
      <c r="J37" s="327">
        <f t="shared" si="13"/>
        <v>0</v>
      </c>
      <c r="K37" s="327">
        <f t="shared" si="13"/>
        <v>0</v>
      </c>
      <c r="L37" s="327">
        <f t="shared" ref="L37" si="14">SUM(L38:L39)</f>
        <v>0</v>
      </c>
    </row>
    <row r="38" spans="1:12" s="54" customFormat="1" ht="12.2" customHeight="1" x14ac:dyDescent="0.2">
      <c r="A38" s="1005" t="s">
        <v>322</v>
      </c>
      <c r="B38" s="717" t="s">
        <v>231</v>
      </c>
      <c r="C38" s="504">
        <f>'27._önkorm_államig'!C38</f>
        <v>0</v>
      </c>
      <c r="D38" s="625">
        <f>'27._önkorm_államig'!D38</f>
        <v>0</v>
      </c>
      <c r="E38" s="569">
        <f>'27._önkorm_államig'!E38</f>
        <v>0</v>
      </c>
      <c r="F38" s="569">
        <f>'27._önkorm_államig'!F38</f>
        <v>0</v>
      </c>
      <c r="G38" s="569">
        <f>'27._önkorm_államig'!G38</f>
        <v>0</v>
      </c>
      <c r="H38" s="525">
        <f t="shared" si="2"/>
        <v>0</v>
      </c>
      <c r="I38" s="629">
        <f>'27._önkorm_államig'!I38</f>
        <v>0</v>
      </c>
      <c r="J38" s="525">
        <f>'27._önkorm_államig'!J38</f>
        <v>0</v>
      </c>
      <c r="K38" s="525">
        <f>'27._önkorm_államig'!K38</f>
        <v>0</v>
      </c>
      <c r="L38" s="525">
        <f>'27._önkorm_államig'!L38</f>
        <v>0</v>
      </c>
    </row>
    <row r="39" spans="1:12" s="54" customFormat="1" ht="12.2" customHeight="1" x14ac:dyDescent="0.2">
      <c r="A39" s="1005" t="s">
        <v>601</v>
      </c>
      <c r="B39" s="717" t="s">
        <v>792</v>
      </c>
      <c r="C39" s="504">
        <f>'27._önkorm_államig'!C39</f>
        <v>0</v>
      </c>
      <c r="D39" s="625">
        <f>'27._önkorm_államig'!D39</f>
        <v>0</v>
      </c>
      <c r="E39" s="569">
        <f>'27._önkorm_államig'!E39</f>
        <v>0</v>
      </c>
      <c r="F39" s="569">
        <f>'27._önkorm_államig'!F39</f>
        <v>0</v>
      </c>
      <c r="G39" s="569">
        <f>'27._önkorm_államig'!G39</f>
        <v>0</v>
      </c>
      <c r="H39" s="525">
        <f t="shared" si="2"/>
        <v>0</v>
      </c>
      <c r="I39" s="629">
        <f>'27._önkorm_államig'!I39</f>
        <v>0</v>
      </c>
      <c r="J39" s="525">
        <f>'27._önkorm_államig'!J39</f>
        <v>0</v>
      </c>
      <c r="K39" s="525">
        <f>'27._önkorm_államig'!K39</f>
        <v>0</v>
      </c>
      <c r="L39" s="525">
        <f>'27._önkorm_államig'!L39</f>
        <v>0</v>
      </c>
    </row>
    <row r="40" spans="1:12" s="54" customFormat="1" ht="12.2" customHeight="1" thickBot="1" x14ac:dyDescent="0.25">
      <c r="A40" s="1005" t="s">
        <v>602</v>
      </c>
      <c r="B40" s="496" t="s">
        <v>118</v>
      </c>
      <c r="C40" s="504">
        <f>'27._önkorm_államig'!C40+'28._Int.össz_államig'!C27</f>
        <v>0</v>
      </c>
      <c r="D40" s="625">
        <f>'27._önkorm_államig'!D40+'28._Int.össz_államig'!D27</f>
        <v>0</v>
      </c>
      <c r="E40" s="569">
        <f>'27._önkorm_államig'!E40+'28._Int.össz_államig'!E27</f>
        <v>0</v>
      </c>
      <c r="F40" s="569">
        <f>'27._önkorm_államig'!F40+'28._Int.össz_államig'!F27</f>
        <v>0</v>
      </c>
      <c r="G40" s="569">
        <f>'27._önkorm_államig'!G40+'28._Int.össz_államig'!G27</f>
        <v>0</v>
      </c>
      <c r="H40" s="525">
        <f t="shared" si="2"/>
        <v>0</v>
      </c>
      <c r="I40" s="629">
        <f>'27._önkorm_államig'!I40+'28._Int.össz_államig'!I27</f>
        <v>0</v>
      </c>
      <c r="J40" s="525">
        <f>'27._önkorm_államig'!J40+'28._Int.össz_államig'!J27</f>
        <v>0</v>
      </c>
      <c r="K40" s="525">
        <f>'27._önkorm_államig'!K40+'28._Int.össz_államig'!K27</f>
        <v>0</v>
      </c>
      <c r="L40" s="525">
        <f>'27._önkorm_államig'!L40+'28._Int.össz_államig'!L27</f>
        <v>0</v>
      </c>
    </row>
    <row r="41" spans="1:12" s="54" customFormat="1" ht="12.2" customHeight="1" thickBot="1" x14ac:dyDescent="0.25">
      <c r="A41" s="14" t="s">
        <v>15</v>
      </c>
      <c r="B41" s="72" t="s">
        <v>626</v>
      </c>
      <c r="C41" s="113">
        <f>SUM(C42:C52)</f>
        <v>2780200</v>
      </c>
      <c r="D41" s="186">
        <f t="shared" ref="D41:K41" si="15">SUM(D42:D52)</f>
        <v>2780200</v>
      </c>
      <c r="E41" s="566">
        <f t="shared" si="15"/>
        <v>5245200</v>
      </c>
      <c r="F41" s="566">
        <f t="shared" si="15"/>
        <v>5245200</v>
      </c>
      <c r="G41" s="566">
        <f t="shared" si="15"/>
        <v>0</v>
      </c>
      <c r="H41" s="28">
        <f t="shared" si="2"/>
        <v>2465000</v>
      </c>
      <c r="I41" s="628">
        <f t="shared" si="15"/>
        <v>0</v>
      </c>
      <c r="J41" s="28">
        <f t="shared" si="15"/>
        <v>6590066</v>
      </c>
      <c r="K41" s="28">
        <f t="shared" si="15"/>
        <v>0</v>
      </c>
      <c r="L41" s="28" t="e">
        <f t="shared" ref="L41" si="16">SUM(L42:L52)</f>
        <v>#VALUE!</v>
      </c>
    </row>
    <row r="42" spans="1:12" s="54" customFormat="1" ht="12.2" customHeight="1" x14ac:dyDescent="0.2">
      <c r="A42" s="12" t="s">
        <v>100</v>
      </c>
      <c r="B42" s="716" t="s">
        <v>143</v>
      </c>
      <c r="C42" s="114">
        <f>'27._önkorm_államig'!C42+'28._Int.össz_államig'!C11</f>
        <v>0</v>
      </c>
      <c r="D42" s="185">
        <f>'27._önkorm_államig'!D42+'28._Int.össz_államig'!D11</f>
        <v>0</v>
      </c>
      <c r="E42" s="567">
        <f>'27._önkorm_államig'!E42+'28._Int.össz_államig'!E11</f>
        <v>0</v>
      </c>
      <c r="F42" s="567">
        <f>'27._önkorm_államig'!F42+'28._Int.össz_államig'!F11</f>
        <v>0</v>
      </c>
      <c r="G42" s="567">
        <f>'27._önkorm_államig'!G42+'28._Int.össz_államig'!G11</f>
        <v>0</v>
      </c>
      <c r="H42" s="16">
        <f t="shared" si="2"/>
        <v>0</v>
      </c>
      <c r="I42" s="626">
        <f>'27._önkorm_államig'!I42+'28._Int.össz_államig'!I11</f>
        <v>0</v>
      </c>
      <c r="J42" s="16">
        <f>'27._önkorm_államig'!J42+'28._Int.össz_államig'!J11</f>
        <v>0</v>
      </c>
      <c r="K42" s="16">
        <f>'27._önkorm_államig'!K42+'28._Int.össz_államig'!K11</f>
        <v>0</v>
      </c>
      <c r="L42" s="16" t="e">
        <f>'27._önkorm_államig'!L42+'28._Int.össz_államig'!L11</f>
        <v>#VALUE!</v>
      </c>
    </row>
    <row r="43" spans="1:12" s="54" customFormat="1" ht="12.2" customHeight="1" x14ac:dyDescent="0.2">
      <c r="A43" s="1003" t="s">
        <v>101</v>
      </c>
      <c r="B43" s="717" t="s">
        <v>144</v>
      </c>
      <c r="C43" s="401">
        <f>'27._önkorm_államig'!C43+'28._Int.össz_államig'!C12</f>
        <v>0</v>
      </c>
      <c r="D43" s="325">
        <f>'27._önkorm_államig'!D43+'28._Int.össz_államig'!D12</f>
        <v>0</v>
      </c>
      <c r="E43" s="568">
        <f>'27._önkorm_államig'!E43+'28._Int.össz_államig'!E12</f>
        <v>0</v>
      </c>
      <c r="F43" s="568">
        <f>'27._önkorm_államig'!F43+'28._Int.össz_államig'!F12</f>
        <v>0</v>
      </c>
      <c r="G43" s="568">
        <f>'27._önkorm_államig'!G43+'28._Int.össz_államig'!G12</f>
        <v>0</v>
      </c>
      <c r="H43" s="327">
        <f t="shared" si="2"/>
        <v>0</v>
      </c>
      <c r="I43" s="627">
        <f>'27._önkorm_államig'!I43+'28._Int.össz_államig'!I12</f>
        <v>0</v>
      </c>
      <c r="J43" s="327">
        <f>'27._önkorm_államig'!J43+'28._Int.össz_államig'!J12</f>
        <v>8000</v>
      </c>
      <c r="K43" s="327">
        <f>'27._önkorm_államig'!K43+'28._Int.össz_államig'!K12</f>
        <v>0</v>
      </c>
      <c r="L43" s="327" t="e">
        <f>'27._önkorm_államig'!L43+'28._Int.össz_államig'!L12</f>
        <v>#VALUE!</v>
      </c>
    </row>
    <row r="44" spans="1:12" s="54" customFormat="1" ht="12.2" customHeight="1" x14ac:dyDescent="0.2">
      <c r="A44" s="1003" t="s">
        <v>164</v>
      </c>
      <c r="B44" s="717" t="s">
        <v>274</v>
      </c>
      <c r="C44" s="401">
        <f>'27._önkorm_államig'!C44+'28._Int.össz_államig'!C13</f>
        <v>1792000</v>
      </c>
      <c r="D44" s="325">
        <f>'27._önkorm_államig'!D44+'28._Int.össz_államig'!D13</f>
        <v>1792000</v>
      </c>
      <c r="E44" s="568">
        <f>'27._önkorm_államig'!E44+'28._Int.össz_államig'!E13</f>
        <v>4257000</v>
      </c>
      <c r="F44" s="568">
        <f>'27._önkorm_államig'!F44+'28._Int.össz_államig'!F13</f>
        <v>4257000</v>
      </c>
      <c r="G44" s="568">
        <f>'27._önkorm_államig'!G44+'28._Int.össz_államig'!G13</f>
        <v>0</v>
      </c>
      <c r="H44" s="327">
        <f t="shared" si="2"/>
        <v>2465000</v>
      </c>
      <c r="I44" s="627">
        <f>'27._önkorm_államig'!I44+'28._Int.össz_államig'!I13</f>
        <v>0</v>
      </c>
      <c r="J44" s="327">
        <f>'27._önkorm_államig'!J44+'28._Int.össz_államig'!J13</f>
        <v>4445294</v>
      </c>
      <c r="K44" s="327">
        <f>'27._önkorm_államig'!K44+'28._Int.össz_államig'!K13</f>
        <v>0</v>
      </c>
      <c r="L44" s="327">
        <f>'27._önkorm_államig'!L44+'28._Int.össz_államig'!L13</f>
        <v>104.42316185106884</v>
      </c>
    </row>
    <row r="45" spans="1:12" s="54" customFormat="1" ht="12.2" customHeight="1" x14ac:dyDescent="0.2">
      <c r="A45" s="1003" t="s">
        <v>200</v>
      </c>
      <c r="B45" s="717" t="s">
        <v>146</v>
      </c>
      <c r="C45" s="401">
        <f>'27._önkorm_államig'!C45+'28._Int.össz_államig'!C14</f>
        <v>0</v>
      </c>
      <c r="D45" s="325">
        <f>'27._önkorm_államig'!D45+'28._Int.össz_államig'!D14</f>
        <v>0</v>
      </c>
      <c r="E45" s="568">
        <f>'27._önkorm_államig'!E45+'28._Int.össz_államig'!E14</f>
        <v>0</v>
      </c>
      <c r="F45" s="568">
        <f>'27._önkorm_államig'!F45+'28._Int.össz_államig'!F14</f>
        <v>0</v>
      </c>
      <c r="G45" s="568">
        <f>'27._önkorm_államig'!G45+'28._Int.össz_államig'!G14</f>
        <v>0</v>
      </c>
      <c r="H45" s="327">
        <f t="shared" si="2"/>
        <v>0</v>
      </c>
      <c r="I45" s="627">
        <f>'27._önkorm_államig'!I45+'28._Int.össz_államig'!I14</f>
        <v>0</v>
      </c>
      <c r="J45" s="327">
        <f>'27._önkorm_államig'!J45+'28._Int.össz_államig'!J14</f>
        <v>0</v>
      </c>
      <c r="K45" s="327">
        <f>'27._önkorm_államig'!K45+'28._Int.össz_államig'!K14</f>
        <v>0</v>
      </c>
      <c r="L45" s="327" t="e">
        <f>'27._önkorm_államig'!L45+'28._Int.össz_államig'!L14</f>
        <v>#VALUE!</v>
      </c>
    </row>
    <row r="46" spans="1:12" s="54" customFormat="1" ht="12.2" customHeight="1" x14ac:dyDescent="0.2">
      <c r="A46" s="1003" t="s">
        <v>282</v>
      </c>
      <c r="B46" s="717" t="s">
        <v>148</v>
      </c>
      <c r="C46" s="401">
        <f>'27._önkorm_államig'!C46+'28._Int.össz_államig'!C15</f>
        <v>0</v>
      </c>
      <c r="D46" s="325">
        <f>'27._önkorm_államig'!D46+'28._Int.össz_államig'!D15</f>
        <v>0</v>
      </c>
      <c r="E46" s="568">
        <f>'27._önkorm_államig'!E46+'28._Int.össz_államig'!E15</f>
        <v>0</v>
      </c>
      <c r="F46" s="568">
        <f>'27._önkorm_államig'!F46+'28._Int.össz_államig'!F15</f>
        <v>0</v>
      </c>
      <c r="G46" s="568">
        <f>'27._önkorm_államig'!G46+'28._Int.össz_államig'!G15</f>
        <v>0</v>
      </c>
      <c r="H46" s="327">
        <f t="shared" si="2"/>
        <v>0</v>
      </c>
      <c r="I46" s="627">
        <f>'27._önkorm_államig'!I46+'28._Int.össz_államig'!I15</f>
        <v>0</v>
      </c>
      <c r="J46" s="327">
        <f>'27._önkorm_államig'!J46+'28._Int.össz_államig'!J15</f>
        <v>0</v>
      </c>
      <c r="K46" s="327">
        <f>'27._önkorm_államig'!K46+'28._Int.össz_államig'!K15</f>
        <v>0</v>
      </c>
      <c r="L46" s="327" t="e">
        <f>'27._önkorm_államig'!L46+'28._Int.össz_államig'!L15</f>
        <v>#VALUE!</v>
      </c>
    </row>
    <row r="47" spans="1:12" s="54" customFormat="1" ht="12.2" customHeight="1" x14ac:dyDescent="0.2">
      <c r="A47" s="1003" t="s">
        <v>603</v>
      </c>
      <c r="B47" s="717" t="s">
        <v>203</v>
      </c>
      <c r="C47" s="401">
        <f>'27._önkorm_államig'!C47+'28._Int.össz_államig'!C16</f>
        <v>448200</v>
      </c>
      <c r="D47" s="325">
        <f>'27._önkorm_államig'!D47+'28._Int.össz_államig'!D16</f>
        <v>448200</v>
      </c>
      <c r="E47" s="568">
        <f>'27._önkorm_államig'!E47+'28._Int.össz_államig'!E16</f>
        <v>448200</v>
      </c>
      <c r="F47" s="568">
        <f>'27._önkorm_államig'!F47+'28._Int.össz_államig'!F16</f>
        <v>448200</v>
      </c>
      <c r="G47" s="568">
        <f>'27._önkorm_államig'!G47+'28._Int.össz_államig'!G16</f>
        <v>0</v>
      </c>
      <c r="H47" s="327">
        <f t="shared" si="2"/>
        <v>0</v>
      </c>
      <c r="I47" s="627">
        <f>'27._önkorm_államig'!I47+'28._Int.össz_államig'!I16</f>
        <v>0</v>
      </c>
      <c r="J47" s="327">
        <f>'27._önkorm_államig'!J47+'28._Int.össz_államig'!J16</f>
        <v>1221026</v>
      </c>
      <c r="K47" s="327">
        <f>'27._önkorm_államig'!K47+'28._Int.össz_államig'!K16</f>
        <v>0</v>
      </c>
      <c r="L47" s="327">
        <f>'27._önkorm_államig'!L47+'28._Int.össz_államig'!L16</f>
        <v>272.42882641677824</v>
      </c>
    </row>
    <row r="48" spans="1:12" s="54" customFormat="1" ht="12.2" customHeight="1" x14ac:dyDescent="0.2">
      <c r="A48" s="1003" t="s">
        <v>604</v>
      </c>
      <c r="B48" s="717" t="s">
        <v>204</v>
      </c>
      <c r="C48" s="401">
        <f>'27._önkorm_államig'!C48+'28._Int.össz_államig'!C17</f>
        <v>0</v>
      </c>
      <c r="D48" s="325">
        <f>'27._önkorm_államig'!D48+'28._Int.össz_államig'!D17</f>
        <v>0</v>
      </c>
      <c r="E48" s="568">
        <f>'27._önkorm_államig'!E48+'28._Int.össz_államig'!E17</f>
        <v>0</v>
      </c>
      <c r="F48" s="568">
        <f>'27._önkorm_államig'!F48+'28._Int.össz_államig'!F17</f>
        <v>0</v>
      </c>
      <c r="G48" s="568">
        <f>'27._önkorm_államig'!G48+'28._Int.össz_államig'!G17</f>
        <v>0</v>
      </c>
      <c r="H48" s="327">
        <f t="shared" si="2"/>
        <v>0</v>
      </c>
      <c r="I48" s="627">
        <f>'27._önkorm_államig'!I48+'28._Int.össz_államig'!I17</f>
        <v>0</v>
      </c>
      <c r="J48" s="327">
        <f>'27._önkorm_államig'!J48+'28._Int.össz_államig'!J17</f>
        <v>0</v>
      </c>
      <c r="K48" s="327">
        <f>'27._önkorm_államig'!K48+'28._Int.össz_államig'!K17</f>
        <v>0</v>
      </c>
      <c r="L48" s="327" t="e">
        <f>'27._önkorm_államig'!L48+'28._Int.össz_államig'!L17</f>
        <v>#VALUE!</v>
      </c>
    </row>
    <row r="49" spans="1:12" s="54" customFormat="1" ht="12.2" customHeight="1" x14ac:dyDescent="0.2">
      <c r="A49" s="1003" t="s">
        <v>605</v>
      </c>
      <c r="B49" s="717" t="s">
        <v>302</v>
      </c>
      <c r="C49" s="401">
        <f>'27._önkorm_államig'!C49+'28._Int.össz_államig'!C18</f>
        <v>0</v>
      </c>
      <c r="D49" s="325">
        <f>'27._önkorm_államig'!D49+'28._Int.össz_államig'!D18</f>
        <v>0</v>
      </c>
      <c r="E49" s="568">
        <f>'27._önkorm_államig'!E49+'28._Int.össz_államig'!E18</f>
        <v>0</v>
      </c>
      <c r="F49" s="568">
        <f>'27._önkorm_államig'!F49+'28._Int.össz_államig'!F18</f>
        <v>0</v>
      </c>
      <c r="G49" s="568">
        <f>'27._önkorm_államig'!G49+'28._Int.össz_államig'!G18</f>
        <v>0</v>
      </c>
      <c r="H49" s="327">
        <f t="shared" si="2"/>
        <v>0</v>
      </c>
      <c r="I49" s="627">
        <f>'27._önkorm_államig'!I49+'28._Int.össz_államig'!I18</f>
        <v>0</v>
      </c>
      <c r="J49" s="327">
        <f>'27._önkorm_államig'!J49+'28._Int.össz_államig'!J18</f>
        <v>0</v>
      </c>
      <c r="K49" s="327">
        <f>'27._önkorm_államig'!K49+'28._Int.össz_államig'!K18</f>
        <v>0</v>
      </c>
      <c r="L49" s="327" t="e">
        <f>'27._önkorm_államig'!L49+'28._Int.össz_államig'!L18</f>
        <v>#VALUE!</v>
      </c>
    </row>
    <row r="50" spans="1:12" s="54" customFormat="1" ht="12.2" customHeight="1" x14ac:dyDescent="0.2">
      <c r="A50" s="1003" t="s">
        <v>606</v>
      </c>
      <c r="B50" s="717" t="s">
        <v>155</v>
      </c>
      <c r="C50" s="401">
        <f>'27._önkorm_államig'!C50+'28._Int.össz_államig'!C19</f>
        <v>0</v>
      </c>
      <c r="D50" s="325">
        <f>'27._önkorm_államig'!D50+'28._Int.össz_államig'!D19</f>
        <v>0</v>
      </c>
      <c r="E50" s="568">
        <f>'27._önkorm_államig'!E50+'28._Int.össz_államig'!E19</f>
        <v>0</v>
      </c>
      <c r="F50" s="568">
        <f>'27._önkorm_államig'!F50+'28._Int.össz_államig'!F19</f>
        <v>0</v>
      </c>
      <c r="G50" s="568">
        <f>'27._önkorm_államig'!G50+'28._Int.össz_államig'!G19</f>
        <v>0</v>
      </c>
      <c r="H50" s="327">
        <f t="shared" si="2"/>
        <v>0</v>
      </c>
      <c r="I50" s="627">
        <f>'27._önkorm_államig'!I50+'28._Int.össz_államig'!I19</f>
        <v>0</v>
      </c>
      <c r="J50" s="327">
        <f>'27._önkorm_államig'!J50+'28._Int.össz_államig'!J19</f>
        <v>0</v>
      </c>
      <c r="K50" s="327">
        <f>'27._önkorm_államig'!K50+'28._Int.össz_államig'!K19</f>
        <v>0</v>
      </c>
      <c r="L50" s="327" t="e">
        <f>'27._önkorm_államig'!L50+'28._Int.össz_államig'!L19</f>
        <v>#VALUE!</v>
      </c>
    </row>
    <row r="51" spans="1:12" s="54" customFormat="1" ht="12.2" customHeight="1" x14ac:dyDescent="0.2">
      <c r="A51" s="1005" t="s">
        <v>607</v>
      </c>
      <c r="B51" s="496" t="s">
        <v>275</v>
      </c>
      <c r="C51" s="401">
        <f>'27._önkorm_államig'!C51+'28._Int.össz_államig'!C20</f>
        <v>0</v>
      </c>
      <c r="D51" s="325">
        <f>'27._önkorm_államig'!D51+'28._Int.össz_államig'!D20</f>
        <v>0</v>
      </c>
      <c r="E51" s="568">
        <f>'27._önkorm_államig'!E51+'28._Int.össz_államig'!E20</f>
        <v>0</v>
      </c>
      <c r="F51" s="568">
        <f>'27._önkorm_államig'!F51+'28._Int.össz_államig'!F20</f>
        <v>0</v>
      </c>
      <c r="G51" s="568">
        <f>'27._önkorm_államig'!G51+'28._Int.össz_államig'!G20</f>
        <v>0</v>
      </c>
      <c r="H51" s="327">
        <f t="shared" si="2"/>
        <v>0</v>
      </c>
      <c r="I51" s="627">
        <f>'27._önkorm_államig'!I51+'28._Int.össz_államig'!I20</f>
        <v>0</v>
      </c>
      <c r="J51" s="327">
        <f>'27._önkorm_államig'!J51+'28._Int.össz_államig'!J20</f>
        <v>0</v>
      </c>
      <c r="K51" s="327">
        <f>'27._önkorm_államig'!K51+'28._Int.össz_államig'!K20</f>
        <v>0</v>
      </c>
      <c r="L51" s="327" t="e">
        <f>'27._önkorm_államig'!L51+'28._Int.össz_államig'!L20</f>
        <v>#VALUE!</v>
      </c>
    </row>
    <row r="52" spans="1:12" s="54" customFormat="1" ht="12.2" customHeight="1" thickBot="1" x14ac:dyDescent="0.25">
      <c r="A52" s="1005" t="s">
        <v>608</v>
      </c>
      <c r="B52" s="496" t="s">
        <v>157</v>
      </c>
      <c r="C52" s="1029">
        <f>'27._önkorm_államig'!C52+'28._Int.össz_államig'!C21</f>
        <v>540000</v>
      </c>
      <c r="D52" s="661">
        <f>'27._önkorm_államig'!D52+'28._Int.össz_államig'!D21</f>
        <v>540000</v>
      </c>
      <c r="E52" s="571">
        <f>'27._önkorm_államig'!E52+'28._Int.össz_államig'!E21</f>
        <v>540000</v>
      </c>
      <c r="F52" s="571">
        <f>'27._önkorm_államig'!F52+'28._Int.össz_államig'!F21</f>
        <v>540000</v>
      </c>
      <c r="G52" s="571">
        <f>'27._önkorm_államig'!G52+'28._Int.össz_államig'!G21</f>
        <v>0</v>
      </c>
      <c r="H52" s="526">
        <f t="shared" si="2"/>
        <v>0</v>
      </c>
      <c r="I52" s="667">
        <f>'27._önkorm_államig'!I52+'28._Int.össz_államig'!I21</f>
        <v>0</v>
      </c>
      <c r="J52" s="526">
        <f>'27._önkorm_államig'!J52+'28._Int.össz_államig'!J21</f>
        <v>915746</v>
      </c>
      <c r="K52" s="526">
        <f>'27._önkorm_államig'!K52+'28._Int.össz_államig'!K21</f>
        <v>0</v>
      </c>
      <c r="L52" s="526">
        <f>'27._önkorm_államig'!L52+'28._Int.össz_államig'!L21</f>
        <v>169.58259259259259</v>
      </c>
    </row>
    <row r="53" spans="1:12" s="54" customFormat="1" ht="12.2" customHeight="1" thickBot="1" x14ac:dyDescent="0.25">
      <c r="A53" s="14" t="s">
        <v>16</v>
      </c>
      <c r="B53" s="72" t="s">
        <v>609</v>
      </c>
      <c r="C53" s="113">
        <f>SUM(C54:C58)</f>
        <v>0</v>
      </c>
      <c r="D53" s="186">
        <f t="shared" ref="D53:K53" si="17">SUM(D54:D58)</f>
        <v>0</v>
      </c>
      <c r="E53" s="566">
        <f t="shared" si="17"/>
        <v>0</v>
      </c>
      <c r="F53" s="566">
        <f t="shared" si="17"/>
        <v>0</v>
      </c>
      <c r="G53" s="566">
        <f t="shared" si="17"/>
        <v>0</v>
      </c>
      <c r="H53" s="28">
        <f t="shared" si="2"/>
        <v>0</v>
      </c>
      <c r="I53" s="628">
        <f t="shared" si="17"/>
        <v>0</v>
      </c>
      <c r="J53" s="28">
        <f t="shared" si="17"/>
        <v>74000</v>
      </c>
      <c r="K53" s="28">
        <f t="shared" si="17"/>
        <v>0</v>
      </c>
      <c r="L53" s="28" t="e">
        <f t="shared" ref="L53" si="18">SUM(L54:L58)</f>
        <v>#VALUE!</v>
      </c>
    </row>
    <row r="54" spans="1:12" s="54" customFormat="1" ht="12.2" customHeight="1" x14ac:dyDescent="0.2">
      <c r="A54" s="12" t="s">
        <v>89</v>
      </c>
      <c r="B54" s="716" t="s">
        <v>167</v>
      </c>
      <c r="C54" s="116">
        <f>'27._önkorm_államig'!C54+'28._Int.össz_államig'!C33</f>
        <v>0</v>
      </c>
      <c r="D54" s="201">
        <f>'27._önkorm_államig'!D54+'28._Int.össz_államig'!D33</f>
        <v>0</v>
      </c>
      <c r="E54" s="572">
        <f>'27._önkorm_államig'!E54+'28._Int.össz_államig'!E33</f>
        <v>0</v>
      </c>
      <c r="F54" s="572">
        <f>'27._önkorm_államig'!F54+'28._Int.össz_államig'!F33</f>
        <v>0</v>
      </c>
      <c r="G54" s="572">
        <f>'27._önkorm_államig'!G54+'28._Int.össz_államig'!G33</f>
        <v>0</v>
      </c>
      <c r="H54" s="23">
        <f t="shared" si="2"/>
        <v>0</v>
      </c>
      <c r="I54" s="668">
        <f>'27._önkorm_államig'!I54+'28._Int.össz_államig'!I33</f>
        <v>0</v>
      </c>
      <c r="J54" s="23">
        <f>'27._önkorm_államig'!J54+'28._Int.össz_államig'!J33</f>
        <v>0</v>
      </c>
      <c r="K54" s="23">
        <f>'27._önkorm_államig'!K54+'28._Int.össz_államig'!K33</f>
        <v>0</v>
      </c>
      <c r="L54" s="23" t="e">
        <f>'27._önkorm_államig'!L54+'28._Int.össz_államig'!L33</f>
        <v>#VALUE!</v>
      </c>
    </row>
    <row r="55" spans="1:12" s="54" customFormat="1" ht="12.2" customHeight="1" x14ac:dyDescent="0.2">
      <c r="A55" s="1003" t="s">
        <v>102</v>
      </c>
      <c r="B55" s="717" t="s">
        <v>168</v>
      </c>
      <c r="C55" s="402">
        <f>'27._önkorm_államig'!C55+'28._Int.össz_államig'!C34</f>
        <v>0</v>
      </c>
      <c r="D55" s="326">
        <f>'27._önkorm_államig'!D55+'28._Int.össz_államig'!D34</f>
        <v>0</v>
      </c>
      <c r="E55" s="573">
        <f>'27._önkorm_államig'!E55+'28._Int.össz_államig'!E34</f>
        <v>0</v>
      </c>
      <c r="F55" s="573">
        <f>'27._önkorm_államig'!F55+'28._Int.össz_államig'!F34</f>
        <v>0</v>
      </c>
      <c r="G55" s="573">
        <f>'27._önkorm_államig'!G55+'28._Int.össz_államig'!G34</f>
        <v>0</v>
      </c>
      <c r="H55" s="328">
        <f t="shared" si="2"/>
        <v>0</v>
      </c>
      <c r="I55" s="666">
        <f>'27._önkorm_államig'!I55+'28._Int.össz_államig'!I34</f>
        <v>0</v>
      </c>
      <c r="J55" s="328">
        <f>'27._önkorm_államig'!J55+'28._Int.össz_államig'!J34</f>
        <v>0</v>
      </c>
      <c r="K55" s="328">
        <f>'27._önkorm_államig'!K55+'28._Int.össz_államig'!K34</f>
        <v>0</v>
      </c>
      <c r="L55" s="328" t="e">
        <f>'27._önkorm_államig'!L55+'28._Int.össz_államig'!L34</f>
        <v>#VALUE!</v>
      </c>
    </row>
    <row r="56" spans="1:12" s="54" customFormat="1" ht="12.2" customHeight="1" x14ac:dyDescent="0.2">
      <c r="A56" s="1003" t="s">
        <v>103</v>
      </c>
      <c r="B56" s="717" t="s">
        <v>169</v>
      </c>
      <c r="C56" s="402">
        <f>'27._önkorm_államig'!C56+'28._Int.össz_államig'!C35</f>
        <v>0</v>
      </c>
      <c r="D56" s="326">
        <f>'27._önkorm_államig'!D56+'28._Int.össz_államig'!D35</f>
        <v>0</v>
      </c>
      <c r="E56" s="573">
        <f>'27._önkorm_államig'!E56+'28._Int.össz_államig'!E35</f>
        <v>0</v>
      </c>
      <c r="F56" s="573">
        <f>'27._önkorm_államig'!F56+'28._Int.össz_államig'!F35</f>
        <v>0</v>
      </c>
      <c r="G56" s="573">
        <f>'27._önkorm_államig'!G56+'28._Int.össz_államig'!G35</f>
        <v>0</v>
      </c>
      <c r="H56" s="328">
        <f t="shared" si="2"/>
        <v>0</v>
      </c>
      <c r="I56" s="666">
        <f>'27._önkorm_államig'!I56+'28._Int.össz_államig'!I35</f>
        <v>0</v>
      </c>
      <c r="J56" s="328">
        <f>'27._önkorm_államig'!J56+'28._Int.össz_államig'!J35</f>
        <v>74000</v>
      </c>
      <c r="K56" s="328">
        <f>'27._önkorm_államig'!K56+'28._Int.össz_államig'!K35</f>
        <v>0</v>
      </c>
      <c r="L56" s="328" t="e">
        <f>'27._önkorm_államig'!L56+'28._Int.össz_államig'!L35</f>
        <v>#VALUE!</v>
      </c>
    </row>
    <row r="57" spans="1:12" s="54" customFormat="1" ht="12.2" customHeight="1" x14ac:dyDescent="0.2">
      <c r="A57" s="1003" t="s">
        <v>201</v>
      </c>
      <c r="B57" s="717" t="s">
        <v>207</v>
      </c>
      <c r="C57" s="402">
        <f>'27._önkorm_államig'!C57</f>
        <v>0</v>
      </c>
      <c r="D57" s="326">
        <f>'27._önkorm_államig'!D57</f>
        <v>0</v>
      </c>
      <c r="E57" s="573">
        <f>'27._önkorm_államig'!E57</f>
        <v>0</v>
      </c>
      <c r="F57" s="573">
        <f>'27._önkorm_államig'!F57</f>
        <v>0</v>
      </c>
      <c r="G57" s="573">
        <f>'27._önkorm_államig'!G57</f>
        <v>0</v>
      </c>
      <c r="H57" s="328">
        <f t="shared" si="2"/>
        <v>0</v>
      </c>
      <c r="I57" s="666">
        <f>'27._önkorm_államig'!I57</f>
        <v>0</v>
      </c>
      <c r="J57" s="328">
        <f>'27._önkorm_államig'!J57</f>
        <v>0</v>
      </c>
      <c r="K57" s="328">
        <f>'27._önkorm_államig'!K57</f>
        <v>0</v>
      </c>
      <c r="L57" s="328">
        <f>'27._önkorm_államig'!L57</f>
        <v>0</v>
      </c>
    </row>
    <row r="58" spans="1:12" s="54" customFormat="1" ht="13.7" customHeight="1" thickBot="1" x14ac:dyDescent="0.25">
      <c r="A58" s="1005" t="s">
        <v>202</v>
      </c>
      <c r="B58" s="496" t="s">
        <v>209</v>
      </c>
      <c r="C58" s="1029">
        <f>'27._önkorm_államig'!C58</f>
        <v>0</v>
      </c>
      <c r="D58" s="661">
        <f>'27._önkorm_államig'!D58</f>
        <v>0</v>
      </c>
      <c r="E58" s="571">
        <f>'27._önkorm_államig'!E58</f>
        <v>0</v>
      </c>
      <c r="F58" s="571">
        <f>'27._önkorm_államig'!F58</f>
        <v>0</v>
      </c>
      <c r="G58" s="571">
        <f>'27._önkorm_államig'!G58</f>
        <v>0</v>
      </c>
      <c r="H58" s="526">
        <f t="shared" si="2"/>
        <v>0</v>
      </c>
      <c r="I58" s="667">
        <f>'27._önkorm_államig'!I58</f>
        <v>0</v>
      </c>
      <c r="J58" s="526">
        <f>'27._önkorm_államig'!J58</f>
        <v>0</v>
      </c>
      <c r="K58" s="526">
        <f>'27._önkorm_államig'!K58</f>
        <v>0</v>
      </c>
      <c r="L58" s="526">
        <f>'27._önkorm_államig'!L58</f>
        <v>0</v>
      </c>
    </row>
    <row r="59" spans="1:12" s="54" customFormat="1" ht="12.2" customHeight="1" thickBot="1" x14ac:dyDescent="0.25">
      <c r="A59" s="14" t="s">
        <v>17</v>
      </c>
      <c r="B59" s="72" t="s">
        <v>627</v>
      </c>
      <c r="C59" s="113">
        <f>SUM(C60:C61)</f>
        <v>0</v>
      </c>
      <c r="D59" s="186">
        <f t="shared" ref="D59:K59" si="19">SUM(D60:D61)</f>
        <v>0</v>
      </c>
      <c r="E59" s="566">
        <f t="shared" si="19"/>
        <v>0</v>
      </c>
      <c r="F59" s="566">
        <f t="shared" si="19"/>
        <v>0</v>
      </c>
      <c r="G59" s="566">
        <f t="shared" si="19"/>
        <v>0</v>
      </c>
      <c r="H59" s="28">
        <f t="shared" si="2"/>
        <v>0</v>
      </c>
      <c r="I59" s="628">
        <f t="shared" si="19"/>
        <v>0</v>
      </c>
      <c r="J59" s="28">
        <f t="shared" si="19"/>
        <v>0</v>
      </c>
      <c r="K59" s="28">
        <f t="shared" si="19"/>
        <v>0</v>
      </c>
      <c r="L59" s="28" t="e">
        <f t="shared" ref="L59" si="20">SUM(L60:L61)</f>
        <v>#VALUE!</v>
      </c>
    </row>
    <row r="60" spans="1:12" s="54" customFormat="1" ht="12.2" customHeight="1" x14ac:dyDescent="0.2">
      <c r="A60" s="1003" t="s">
        <v>104</v>
      </c>
      <c r="B60" s="717" t="s">
        <v>210</v>
      </c>
      <c r="C60" s="401">
        <f>'27._önkorm_államig'!C60</f>
        <v>0</v>
      </c>
      <c r="D60" s="325">
        <f>'27._önkorm_államig'!D60</f>
        <v>0</v>
      </c>
      <c r="E60" s="568">
        <f>'27._önkorm_államig'!E60</f>
        <v>0</v>
      </c>
      <c r="F60" s="568">
        <f>'27._önkorm_államig'!F60</f>
        <v>0</v>
      </c>
      <c r="G60" s="568">
        <f>'27._önkorm_államig'!G60</f>
        <v>0</v>
      </c>
      <c r="H60" s="327">
        <f t="shared" si="2"/>
        <v>0</v>
      </c>
      <c r="I60" s="627">
        <f>'27._önkorm_államig'!I60</f>
        <v>0</v>
      </c>
      <c r="J60" s="327">
        <f>'27._önkorm_államig'!J60</f>
        <v>0</v>
      </c>
      <c r="K60" s="327">
        <f>'27._önkorm_államig'!K60</f>
        <v>0</v>
      </c>
      <c r="L60" s="327">
        <f>'27._önkorm_államig'!L60</f>
        <v>0</v>
      </c>
    </row>
    <row r="61" spans="1:12" s="54" customFormat="1" ht="12.2" customHeight="1" x14ac:dyDescent="0.2">
      <c r="A61" s="1003" t="s">
        <v>105</v>
      </c>
      <c r="B61" s="717" t="s">
        <v>211</v>
      </c>
      <c r="C61" s="401">
        <f>'27._önkorm_államig'!C61+'28._Int.össz_államig'!C36</f>
        <v>0</v>
      </c>
      <c r="D61" s="325">
        <f>'27._önkorm_államig'!D61+'28._Int.össz_államig'!D36</f>
        <v>0</v>
      </c>
      <c r="E61" s="568">
        <f>'27._önkorm_államig'!E61+'28._Int.össz_államig'!E36</f>
        <v>0</v>
      </c>
      <c r="F61" s="568">
        <f>'27._önkorm_államig'!F61+'28._Int.össz_államig'!F36</f>
        <v>0</v>
      </c>
      <c r="G61" s="568">
        <f>'27._önkorm_államig'!G61+'28._Int.össz_államig'!G36</f>
        <v>0</v>
      </c>
      <c r="H61" s="327">
        <f t="shared" si="2"/>
        <v>0</v>
      </c>
      <c r="I61" s="627">
        <f>'27._önkorm_államig'!I61+'28._Int.össz_államig'!I36</f>
        <v>0</v>
      </c>
      <c r="J61" s="327">
        <f>'27._önkorm_államig'!J61+'28._Int.össz_államig'!J36</f>
        <v>0</v>
      </c>
      <c r="K61" s="327">
        <f>'27._önkorm_államig'!K61+'28._Int.össz_államig'!K36</f>
        <v>0</v>
      </c>
      <c r="L61" s="327" t="e">
        <f>'27._önkorm_államig'!L61+'28._Int.össz_államig'!L36</f>
        <v>#VALUE!</v>
      </c>
    </row>
    <row r="62" spans="1:12" s="54" customFormat="1" ht="12.2" customHeight="1" thickBot="1" x14ac:dyDescent="0.25">
      <c r="A62" s="1005" t="s">
        <v>610</v>
      </c>
      <c r="B62" s="496" t="s">
        <v>642</v>
      </c>
      <c r="C62" s="504">
        <f>'27._önkorm_államig'!C62+'28._Int.össz_államig'!C37</f>
        <v>0</v>
      </c>
      <c r="D62" s="625">
        <f>'27._önkorm_államig'!D62+'28._Int.össz_államig'!D37</f>
        <v>0</v>
      </c>
      <c r="E62" s="569">
        <f>'27._önkorm_államig'!E62+'28._Int.össz_államig'!E37</f>
        <v>0</v>
      </c>
      <c r="F62" s="569">
        <f>'27._önkorm_államig'!F62+'28._Int.össz_államig'!F37</f>
        <v>0</v>
      </c>
      <c r="G62" s="569">
        <f>'27._önkorm_államig'!G62+'28._Int.össz_államig'!G37</f>
        <v>0</v>
      </c>
      <c r="H62" s="525">
        <f t="shared" si="2"/>
        <v>0</v>
      </c>
      <c r="I62" s="629">
        <f>'27._önkorm_államig'!I62+'28._Int.össz_államig'!I37</f>
        <v>0</v>
      </c>
      <c r="J62" s="525">
        <f>'27._önkorm_államig'!J62+'28._Int.össz_államig'!J37</f>
        <v>0</v>
      </c>
      <c r="K62" s="525">
        <f>'27._önkorm_államig'!K62+'28._Int.össz_államig'!K37</f>
        <v>0</v>
      </c>
      <c r="L62" s="525" t="e">
        <f>'27._önkorm_államig'!L62+'28._Int.össz_államig'!L37</f>
        <v>#VALUE!</v>
      </c>
    </row>
    <row r="63" spans="1:12" s="54" customFormat="1" ht="12.2" customHeight="1" thickBot="1" x14ac:dyDescent="0.25">
      <c r="A63" s="14" t="s">
        <v>18</v>
      </c>
      <c r="B63" s="347" t="s">
        <v>380</v>
      </c>
      <c r="C63" s="113">
        <f>SUM(C64:C65)</f>
        <v>0</v>
      </c>
      <c r="D63" s="186">
        <f t="shared" ref="D63:K63" si="21">SUM(D64:D65)</f>
        <v>0</v>
      </c>
      <c r="E63" s="566">
        <f t="shared" si="21"/>
        <v>0</v>
      </c>
      <c r="F63" s="566">
        <f t="shared" si="21"/>
        <v>0</v>
      </c>
      <c r="G63" s="566">
        <f t="shared" si="21"/>
        <v>0</v>
      </c>
      <c r="H63" s="28">
        <f t="shared" si="2"/>
        <v>0</v>
      </c>
      <c r="I63" s="628">
        <f t="shared" si="21"/>
        <v>0</v>
      </c>
      <c r="J63" s="28">
        <f t="shared" si="21"/>
        <v>0</v>
      </c>
      <c r="K63" s="28">
        <f t="shared" si="21"/>
        <v>0</v>
      </c>
      <c r="L63" s="28" t="e">
        <f t="shared" ref="L63" si="22">SUM(L64:L65)</f>
        <v>#VALUE!</v>
      </c>
    </row>
    <row r="64" spans="1:12" s="54" customFormat="1" ht="12.2" customHeight="1" x14ac:dyDescent="0.2">
      <c r="A64" s="12" t="s">
        <v>107</v>
      </c>
      <c r="B64" s="717" t="s">
        <v>212</v>
      </c>
      <c r="C64" s="402">
        <f>'27._önkorm_államig'!C64+'28._Int.össz_államig'!C39</f>
        <v>0</v>
      </c>
      <c r="D64" s="326">
        <f>'27._önkorm_államig'!D64+'28._Int.össz_államig'!D39</f>
        <v>0</v>
      </c>
      <c r="E64" s="573">
        <f>'27._önkorm_államig'!E64+'28._Int.össz_államig'!E39</f>
        <v>0</v>
      </c>
      <c r="F64" s="573">
        <f>'27._önkorm_államig'!F64+'28._Int.össz_államig'!F39</f>
        <v>0</v>
      </c>
      <c r="G64" s="573">
        <f>'27._önkorm_államig'!G64+'28._Int.össz_államig'!G39</f>
        <v>0</v>
      </c>
      <c r="H64" s="328">
        <f t="shared" si="2"/>
        <v>0</v>
      </c>
      <c r="I64" s="666">
        <f>'27._önkorm_államig'!I64+'28._Int.össz_államig'!I39</f>
        <v>0</v>
      </c>
      <c r="J64" s="328">
        <f>'27._önkorm_államig'!J64+'28._Int.össz_államig'!J39</f>
        <v>0</v>
      </c>
      <c r="K64" s="328">
        <f>'27._önkorm_államig'!K64+'28._Int.össz_államig'!K39</f>
        <v>0</v>
      </c>
      <c r="L64" s="328" t="e">
        <f>'27._önkorm_államig'!L64+'28._Int.össz_államig'!L39</f>
        <v>#VALUE!</v>
      </c>
    </row>
    <row r="65" spans="1:12" s="54" customFormat="1" ht="12.2" customHeight="1" x14ac:dyDescent="0.2">
      <c r="A65" s="1003" t="s">
        <v>108</v>
      </c>
      <c r="B65" s="717" t="s">
        <v>213</v>
      </c>
      <c r="C65" s="402">
        <f>'27._önkorm_államig'!C65+'28._Int.össz_államig'!C40</f>
        <v>0</v>
      </c>
      <c r="D65" s="326">
        <f>'27._önkorm_államig'!D65+'28._Int.össz_államig'!D40</f>
        <v>0</v>
      </c>
      <c r="E65" s="573">
        <f>'27._önkorm_államig'!E65+'28._Int.össz_államig'!E40</f>
        <v>0</v>
      </c>
      <c r="F65" s="573">
        <f>'27._önkorm_államig'!F65+'28._Int.össz_államig'!F40</f>
        <v>0</v>
      </c>
      <c r="G65" s="573">
        <f>'27._önkorm_államig'!G65+'28._Int.össz_államig'!G40</f>
        <v>0</v>
      </c>
      <c r="H65" s="328">
        <f t="shared" si="2"/>
        <v>0</v>
      </c>
      <c r="I65" s="666">
        <f>'27._önkorm_államig'!I65+'28._Int.össz_államig'!I40</f>
        <v>0</v>
      </c>
      <c r="J65" s="328">
        <f>'27._önkorm_államig'!J65+'28._Int.össz_államig'!J40</f>
        <v>0</v>
      </c>
      <c r="K65" s="328">
        <f>'27._önkorm_államig'!K65+'28._Int.össz_államig'!K40</f>
        <v>0</v>
      </c>
      <c r="L65" s="328" t="e">
        <f>'27._önkorm_államig'!L65+'28._Int.össz_államig'!L40</f>
        <v>#VALUE!</v>
      </c>
    </row>
    <row r="66" spans="1:12" s="54" customFormat="1" ht="12.2" customHeight="1" thickBot="1" x14ac:dyDescent="0.25">
      <c r="A66" s="172" t="s">
        <v>323</v>
      </c>
      <c r="B66" s="718" t="s">
        <v>368</v>
      </c>
      <c r="C66" s="402">
        <f>'27._önkorm_államig'!C66+'28._Int.össz_államig'!C41</f>
        <v>0</v>
      </c>
      <c r="D66" s="326">
        <f>'27._önkorm_államig'!D66+'28._Int.össz_államig'!D41</f>
        <v>0</v>
      </c>
      <c r="E66" s="573">
        <f>'27._önkorm_államig'!E66+'28._Int.össz_államig'!E41</f>
        <v>0</v>
      </c>
      <c r="F66" s="573">
        <f>'27._önkorm_államig'!F66+'28._Int.össz_államig'!F41</f>
        <v>0</v>
      </c>
      <c r="G66" s="573">
        <f>'27._önkorm_államig'!G66+'28._Int.össz_államig'!G41</f>
        <v>0</v>
      </c>
      <c r="H66" s="328">
        <f t="shared" si="2"/>
        <v>0</v>
      </c>
      <c r="I66" s="666">
        <f>'27._önkorm_államig'!I66+'28._Int.össz_államig'!I41</f>
        <v>0</v>
      </c>
      <c r="J66" s="328">
        <f>'27._önkorm_államig'!J66+'28._Int.össz_államig'!J41</f>
        <v>0</v>
      </c>
      <c r="K66" s="328">
        <f>'27._önkorm_államig'!K66+'28._Int.össz_államig'!K41</f>
        <v>0</v>
      </c>
      <c r="L66" s="328" t="e">
        <f>'27._önkorm_államig'!L66+'28._Int.össz_államig'!L41</f>
        <v>#VALUE!</v>
      </c>
    </row>
    <row r="67" spans="1:12" s="54" customFormat="1" ht="12.2" customHeight="1" thickBot="1" x14ac:dyDescent="0.25">
      <c r="A67" s="348" t="s">
        <v>19</v>
      </c>
      <c r="B67" s="719" t="s">
        <v>628</v>
      </c>
      <c r="C67" s="1023">
        <f>+C11+C25+C31+C41+C53+C59+C63</f>
        <v>605615337</v>
      </c>
      <c r="D67" s="187">
        <f t="shared" ref="D67:K67" si="23">+D11+D25+D31+D41+D53+D59+D63</f>
        <v>619230337</v>
      </c>
      <c r="E67" s="532">
        <f t="shared" si="23"/>
        <v>696094265</v>
      </c>
      <c r="F67" s="532">
        <f t="shared" si="23"/>
        <v>5245200</v>
      </c>
      <c r="G67" s="532">
        <f t="shared" si="23"/>
        <v>0</v>
      </c>
      <c r="H67" s="74">
        <f t="shared" si="2"/>
        <v>76863928</v>
      </c>
      <c r="I67" s="638">
        <f t="shared" si="23"/>
        <v>0</v>
      </c>
      <c r="J67" s="74">
        <f t="shared" si="23"/>
        <v>6664066</v>
      </c>
      <c r="K67" s="74">
        <f t="shared" si="23"/>
        <v>0</v>
      </c>
      <c r="L67" s="74" t="e">
        <f t="shared" ref="L67" si="24">+L11+L19+L25+L31+L41+L53+L59+L63</f>
        <v>#VALUE!</v>
      </c>
    </row>
    <row r="68" spans="1:12" s="54" customFormat="1" ht="12.2" customHeight="1" thickBot="1" x14ac:dyDescent="0.25">
      <c r="A68" s="63" t="s">
        <v>20</v>
      </c>
      <c r="B68" s="347" t="s">
        <v>629</v>
      </c>
      <c r="C68" s="113">
        <f>SUM(C69:C71)</f>
        <v>0</v>
      </c>
      <c r="D68" s="186">
        <f t="shared" ref="D68:K68" si="25">SUM(D69:D71)</f>
        <v>0</v>
      </c>
      <c r="E68" s="566">
        <f t="shared" si="25"/>
        <v>0</v>
      </c>
      <c r="F68" s="566">
        <f t="shared" si="25"/>
        <v>0</v>
      </c>
      <c r="G68" s="566">
        <f t="shared" si="25"/>
        <v>0</v>
      </c>
      <c r="H68" s="28">
        <f t="shared" si="2"/>
        <v>0</v>
      </c>
      <c r="I68" s="628">
        <f t="shared" si="25"/>
        <v>0</v>
      </c>
      <c r="J68" s="28">
        <f t="shared" si="25"/>
        <v>0</v>
      </c>
      <c r="K68" s="28">
        <f t="shared" si="25"/>
        <v>0</v>
      </c>
      <c r="L68" s="28">
        <f t="shared" ref="L68" si="26">SUM(L69:L71)</f>
        <v>0</v>
      </c>
    </row>
    <row r="69" spans="1:12" s="54" customFormat="1" ht="12.2" customHeight="1" x14ac:dyDescent="0.2">
      <c r="A69" s="12" t="s">
        <v>171</v>
      </c>
      <c r="B69" s="716" t="s">
        <v>215</v>
      </c>
      <c r="C69" s="402">
        <f>'27._önkorm_államig'!C69</f>
        <v>0</v>
      </c>
      <c r="D69" s="326">
        <f>'27._önkorm_államig'!D69</f>
        <v>0</v>
      </c>
      <c r="E69" s="573">
        <f>'27._önkorm_államig'!E69</f>
        <v>0</v>
      </c>
      <c r="F69" s="573">
        <f>'27._önkorm_államig'!F69</f>
        <v>0</v>
      </c>
      <c r="G69" s="573">
        <f>'27._önkorm_államig'!G69</f>
        <v>0</v>
      </c>
      <c r="H69" s="328">
        <f t="shared" si="2"/>
        <v>0</v>
      </c>
      <c r="I69" s="666">
        <f>'27._önkorm_államig'!I69</f>
        <v>0</v>
      </c>
      <c r="J69" s="328">
        <f>'27._önkorm_államig'!J69</f>
        <v>0</v>
      </c>
      <c r="K69" s="328">
        <f>'27._önkorm_államig'!K69</f>
        <v>0</v>
      </c>
      <c r="L69" s="328">
        <f>'27._önkorm_államig'!L69</f>
        <v>0</v>
      </c>
    </row>
    <row r="70" spans="1:12" s="54" customFormat="1" ht="12.2" customHeight="1" x14ac:dyDescent="0.2">
      <c r="A70" s="1003" t="s">
        <v>172</v>
      </c>
      <c r="B70" s="717" t="s">
        <v>324</v>
      </c>
      <c r="C70" s="402">
        <f>'27._önkorm_államig'!C70</f>
        <v>0</v>
      </c>
      <c r="D70" s="326">
        <f>'27._önkorm_államig'!D70</f>
        <v>0</v>
      </c>
      <c r="E70" s="573">
        <f>'27._önkorm_államig'!E70</f>
        <v>0</v>
      </c>
      <c r="F70" s="573">
        <f>'27._önkorm_államig'!F70</f>
        <v>0</v>
      </c>
      <c r="G70" s="573">
        <f>'27._önkorm_államig'!G70</f>
        <v>0</v>
      </c>
      <c r="H70" s="328">
        <f t="shared" si="2"/>
        <v>0</v>
      </c>
      <c r="I70" s="666">
        <f>'27._önkorm_államig'!I70</f>
        <v>0</v>
      </c>
      <c r="J70" s="328">
        <f>'27._önkorm_államig'!J70</f>
        <v>0</v>
      </c>
      <c r="K70" s="328">
        <f>'27._önkorm_államig'!K70</f>
        <v>0</v>
      </c>
      <c r="L70" s="328">
        <f>'27._önkorm_államig'!L70</f>
        <v>0</v>
      </c>
    </row>
    <row r="71" spans="1:12" s="54" customFormat="1" ht="12.2" customHeight="1" thickBot="1" x14ac:dyDescent="0.25">
      <c r="A71" s="1005" t="s">
        <v>173</v>
      </c>
      <c r="B71" s="717" t="s">
        <v>513</v>
      </c>
      <c r="C71" s="402">
        <f>'27._önkorm_államig'!C71</f>
        <v>0</v>
      </c>
      <c r="D71" s="326">
        <f>'27._önkorm_államig'!D71</f>
        <v>0</v>
      </c>
      <c r="E71" s="573">
        <f>'27._önkorm_államig'!E71</f>
        <v>0</v>
      </c>
      <c r="F71" s="573">
        <f>'27._önkorm_államig'!F71</f>
        <v>0</v>
      </c>
      <c r="G71" s="573">
        <f>'27._önkorm_államig'!G71</f>
        <v>0</v>
      </c>
      <c r="H71" s="328">
        <f t="shared" si="2"/>
        <v>0</v>
      </c>
      <c r="I71" s="666">
        <f>'27._önkorm_államig'!I71</f>
        <v>0</v>
      </c>
      <c r="J71" s="328">
        <f>'27._önkorm_államig'!J71</f>
        <v>0</v>
      </c>
      <c r="K71" s="328">
        <f>'27._önkorm_államig'!K71</f>
        <v>0</v>
      </c>
      <c r="L71" s="328">
        <f>'27._önkorm_államig'!L71</f>
        <v>0</v>
      </c>
    </row>
    <row r="72" spans="1:12" s="54" customFormat="1" ht="12.2" customHeight="1" thickBot="1" x14ac:dyDescent="0.25">
      <c r="A72" s="63" t="s">
        <v>21</v>
      </c>
      <c r="B72" s="347" t="s">
        <v>611</v>
      </c>
      <c r="C72" s="113">
        <f>SUM(C73:C75)</f>
        <v>0</v>
      </c>
      <c r="D72" s="186">
        <f t="shared" ref="D72:K72" si="27">SUM(D73:D75)</f>
        <v>0</v>
      </c>
      <c r="E72" s="566">
        <f t="shared" si="27"/>
        <v>0</v>
      </c>
      <c r="F72" s="566">
        <f t="shared" si="27"/>
        <v>0</v>
      </c>
      <c r="G72" s="566">
        <f t="shared" si="27"/>
        <v>0</v>
      </c>
      <c r="H72" s="28">
        <f t="shared" si="2"/>
        <v>0</v>
      </c>
      <c r="I72" s="628">
        <f t="shared" si="27"/>
        <v>0</v>
      </c>
      <c r="J72" s="28">
        <f t="shared" si="27"/>
        <v>0</v>
      </c>
      <c r="K72" s="28">
        <f t="shared" si="27"/>
        <v>0</v>
      </c>
      <c r="L72" s="28">
        <f t="shared" ref="L72" si="28">SUM(L73:L75)</f>
        <v>0</v>
      </c>
    </row>
    <row r="73" spans="1:12" s="54" customFormat="1" ht="12.2" customHeight="1" x14ac:dyDescent="0.2">
      <c r="A73" s="12" t="s">
        <v>214</v>
      </c>
      <c r="B73" s="716" t="s">
        <v>218</v>
      </c>
      <c r="C73" s="402">
        <f>'27._önkorm_államig'!C73</f>
        <v>0</v>
      </c>
      <c r="D73" s="326">
        <f>'27._önkorm_államig'!D73</f>
        <v>0</v>
      </c>
      <c r="E73" s="573">
        <f>'27._önkorm_államig'!E73</f>
        <v>0</v>
      </c>
      <c r="F73" s="573">
        <f>'27._önkorm_államig'!F73</f>
        <v>0</v>
      </c>
      <c r="G73" s="573">
        <f>'27._önkorm_államig'!G73</f>
        <v>0</v>
      </c>
      <c r="H73" s="328">
        <f t="shared" si="2"/>
        <v>0</v>
      </c>
      <c r="I73" s="666">
        <f>'27._önkorm_államig'!I73</f>
        <v>0</v>
      </c>
      <c r="J73" s="328">
        <f>'27._önkorm_államig'!J73</f>
        <v>0</v>
      </c>
      <c r="K73" s="328">
        <f>'27._önkorm_államig'!K73</f>
        <v>0</v>
      </c>
      <c r="L73" s="328">
        <f>'27._önkorm_államig'!L73</f>
        <v>0</v>
      </c>
    </row>
    <row r="74" spans="1:12" s="54" customFormat="1" ht="12.2" customHeight="1" x14ac:dyDescent="0.2">
      <c r="A74" s="12" t="s">
        <v>640</v>
      </c>
      <c r="B74" s="716" t="s">
        <v>390</v>
      </c>
      <c r="C74" s="402">
        <f>'27._önkorm_államig'!C74</f>
        <v>0</v>
      </c>
      <c r="D74" s="326">
        <f>'27._önkorm_államig'!D74</f>
        <v>0</v>
      </c>
      <c r="E74" s="573">
        <f>'27._önkorm_államig'!E74</f>
        <v>0</v>
      </c>
      <c r="F74" s="573">
        <f>'27._önkorm_államig'!F74</f>
        <v>0</v>
      </c>
      <c r="G74" s="573">
        <f>'27._önkorm_államig'!G74</f>
        <v>0</v>
      </c>
      <c r="H74" s="328">
        <f t="shared" si="2"/>
        <v>0</v>
      </c>
      <c r="I74" s="666">
        <f>'27._önkorm_államig'!I74</f>
        <v>0</v>
      </c>
      <c r="J74" s="328">
        <f>'27._önkorm_államig'!J74</f>
        <v>0</v>
      </c>
      <c r="K74" s="328">
        <f>'27._önkorm_államig'!K74</f>
        <v>0</v>
      </c>
      <c r="L74" s="328">
        <f>'27._önkorm_államig'!L74</f>
        <v>0</v>
      </c>
    </row>
    <row r="75" spans="1:12" s="54" customFormat="1" ht="12.2" customHeight="1" thickBot="1" x14ac:dyDescent="0.25">
      <c r="A75" s="1003" t="s">
        <v>216</v>
      </c>
      <c r="B75" s="717" t="s">
        <v>535</v>
      </c>
      <c r="C75" s="402">
        <f>'27._önkorm_államig'!C75</f>
        <v>0</v>
      </c>
      <c r="D75" s="326">
        <f>'27._önkorm_államig'!D75</f>
        <v>0</v>
      </c>
      <c r="E75" s="573">
        <f>'27._önkorm_államig'!E75</f>
        <v>0</v>
      </c>
      <c r="F75" s="573">
        <f>'27._önkorm_államig'!F75</f>
        <v>0</v>
      </c>
      <c r="G75" s="573">
        <f>'27._önkorm_államig'!G75</f>
        <v>0</v>
      </c>
      <c r="H75" s="328">
        <f t="shared" si="2"/>
        <v>0</v>
      </c>
      <c r="I75" s="666">
        <f>'27._önkorm_államig'!I75</f>
        <v>0</v>
      </c>
      <c r="J75" s="328">
        <f>'27._önkorm_államig'!J75</f>
        <v>0</v>
      </c>
      <c r="K75" s="328">
        <f>'27._önkorm_államig'!K75</f>
        <v>0</v>
      </c>
      <c r="L75" s="328">
        <f>'27._önkorm_államig'!L75</f>
        <v>0</v>
      </c>
    </row>
    <row r="76" spans="1:12" s="54" customFormat="1" ht="12.2" customHeight="1" thickBot="1" x14ac:dyDescent="0.25">
      <c r="A76" s="63" t="s">
        <v>22</v>
      </c>
      <c r="B76" s="347" t="s">
        <v>612</v>
      </c>
      <c r="C76" s="113">
        <f>SUM(C77:C78)</f>
        <v>2285980</v>
      </c>
      <c r="D76" s="186">
        <f t="shared" ref="D76:K76" si="29">SUM(D77:D78)</f>
        <v>4539346</v>
      </c>
      <c r="E76" s="566">
        <f t="shared" si="29"/>
        <v>4539346</v>
      </c>
      <c r="F76" s="566">
        <f t="shared" si="29"/>
        <v>4539346</v>
      </c>
      <c r="G76" s="566">
        <f t="shared" si="29"/>
        <v>0</v>
      </c>
      <c r="H76" s="28">
        <f t="shared" ref="H76:H83" si="30">+E76-D76</f>
        <v>0</v>
      </c>
      <c r="I76" s="628">
        <f t="shared" si="29"/>
        <v>0</v>
      </c>
      <c r="J76" s="28">
        <f t="shared" si="29"/>
        <v>4539346</v>
      </c>
      <c r="K76" s="28">
        <f t="shared" si="29"/>
        <v>0</v>
      </c>
      <c r="L76" s="28" t="e">
        <f t="shared" ref="L76" si="31">SUM(L77:L78)</f>
        <v>#VALUE!</v>
      </c>
    </row>
    <row r="77" spans="1:12" s="54" customFormat="1" ht="12.2" customHeight="1" x14ac:dyDescent="0.2">
      <c r="A77" s="12" t="s">
        <v>217</v>
      </c>
      <c r="B77" s="59" t="s">
        <v>369</v>
      </c>
      <c r="C77" s="402">
        <f>'27._önkorm_államig'!C77+'28._Int.össz_államig'!C44</f>
        <v>2285980</v>
      </c>
      <c r="D77" s="326">
        <f>'27._önkorm_államig'!D77+'28._Int.össz_államig'!D44</f>
        <v>4539346</v>
      </c>
      <c r="E77" s="573">
        <f>'27._önkorm_államig'!E77+'28._Int.össz_államig'!E44</f>
        <v>4539346</v>
      </c>
      <c r="F77" s="573">
        <f>'27._önkorm_államig'!F77+'28._Int.össz_államig'!F44</f>
        <v>4539346</v>
      </c>
      <c r="G77" s="573">
        <f>'27._önkorm_államig'!G77+'28._Int.össz_államig'!G44</f>
        <v>0</v>
      </c>
      <c r="H77" s="328">
        <f t="shared" si="30"/>
        <v>0</v>
      </c>
      <c r="I77" s="666">
        <f>'27._önkorm_államig'!I77+'28._Int.össz_államig'!I44</f>
        <v>0</v>
      </c>
      <c r="J77" s="328">
        <f>'27._önkorm_államig'!J77+'28._Int.össz_államig'!J44</f>
        <v>4539346</v>
      </c>
      <c r="K77" s="328">
        <f>'27._önkorm_államig'!K77+'28._Int.össz_államig'!K44</f>
        <v>0</v>
      </c>
      <c r="L77" s="328">
        <f>'27._önkorm_államig'!L77+'28._Int.össz_államig'!L44</f>
        <v>100</v>
      </c>
    </row>
    <row r="78" spans="1:12" s="54" customFormat="1" ht="12.2" customHeight="1" thickBot="1" x14ac:dyDescent="0.25">
      <c r="A78" s="1005" t="s">
        <v>219</v>
      </c>
      <c r="B78" s="59" t="s">
        <v>370</v>
      </c>
      <c r="C78" s="402">
        <f>'27._önkorm_államig'!C78+'28._Int.össz_államig'!C45</f>
        <v>0</v>
      </c>
      <c r="D78" s="326">
        <f>'27._önkorm_államig'!D78+'28._Int.össz_államig'!D45</f>
        <v>0</v>
      </c>
      <c r="E78" s="573">
        <f>'27._önkorm_államig'!E78+'28._Int.össz_államig'!E45</f>
        <v>0</v>
      </c>
      <c r="F78" s="573">
        <f>'27._önkorm_államig'!F78+'28._Int.össz_államig'!F45</f>
        <v>0</v>
      </c>
      <c r="G78" s="573">
        <f>'27._önkorm_államig'!G78+'28._Int.össz_államig'!G45</f>
        <v>0</v>
      </c>
      <c r="H78" s="328">
        <f t="shared" si="30"/>
        <v>0</v>
      </c>
      <c r="I78" s="666">
        <f>'27._önkorm_államig'!I78+'28._Int.össz_államig'!I45</f>
        <v>0</v>
      </c>
      <c r="J78" s="328">
        <f>'27._önkorm_államig'!J78+'28._Int.össz_államig'!J45</f>
        <v>0</v>
      </c>
      <c r="K78" s="328">
        <f>'27._önkorm_államig'!K78+'28._Int.össz_államig'!K45</f>
        <v>0</v>
      </c>
      <c r="L78" s="328" t="e">
        <f>'27._önkorm_államig'!L78+'28._Int.össz_államig'!L45</f>
        <v>#VALUE!</v>
      </c>
    </row>
    <row r="79" spans="1:12" s="26" customFormat="1" ht="12.2" customHeight="1" thickBot="1" x14ac:dyDescent="0.25">
      <c r="A79" s="63" t="s">
        <v>23</v>
      </c>
      <c r="B79" s="347" t="s">
        <v>613</v>
      </c>
      <c r="C79" s="113">
        <f>SUM(C80:C82)</f>
        <v>0</v>
      </c>
      <c r="D79" s="186">
        <f t="shared" ref="D79:K79" si="32">SUM(D80:D82)</f>
        <v>0</v>
      </c>
      <c r="E79" s="566">
        <f t="shared" si="32"/>
        <v>0</v>
      </c>
      <c r="F79" s="566">
        <f t="shared" si="32"/>
        <v>0</v>
      </c>
      <c r="G79" s="566">
        <f t="shared" si="32"/>
        <v>0</v>
      </c>
      <c r="H79" s="28">
        <f t="shared" si="30"/>
        <v>0</v>
      </c>
      <c r="I79" s="628">
        <f t="shared" si="32"/>
        <v>0</v>
      </c>
      <c r="J79" s="28">
        <f t="shared" si="32"/>
        <v>0</v>
      </c>
      <c r="K79" s="28">
        <f t="shared" si="32"/>
        <v>0</v>
      </c>
      <c r="L79" s="28">
        <f t="shared" ref="L79" si="33">SUM(L80:L82)</f>
        <v>0</v>
      </c>
    </row>
    <row r="80" spans="1:12" s="54" customFormat="1" ht="12.2" customHeight="1" x14ac:dyDescent="0.2">
      <c r="A80" s="12" t="s">
        <v>220</v>
      </c>
      <c r="B80" s="716" t="s">
        <v>303</v>
      </c>
      <c r="C80" s="402">
        <f>'27._önkorm_államig'!C80</f>
        <v>0</v>
      </c>
      <c r="D80" s="326">
        <f>'27._önkorm_államig'!D80</f>
        <v>0</v>
      </c>
      <c r="E80" s="573">
        <f>'27._önkorm_államig'!E80</f>
        <v>0</v>
      </c>
      <c r="F80" s="573">
        <f>'27._önkorm_államig'!F80</f>
        <v>0</v>
      </c>
      <c r="G80" s="573">
        <f>'27._önkorm_államig'!G80</f>
        <v>0</v>
      </c>
      <c r="H80" s="328">
        <f t="shared" si="30"/>
        <v>0</v>
      </c>
      <c r="I80" s="666">
        <f>'27._önkorm_államig'!I80</f>
        <v>0</v>
      </c>
      <c r="J80" s="328">
        <f>'27._önkorm_államig'!J80</f>
        <v>0</v>
      </c>
      <c r="K80" s="328">
        <f>'27._önkorm_államig'!K80</f>
        <v>0</v>
      </c>
      <c r="L80" s="328">
        <f>'27._önkorm_államig'!L80</f>
        <v>0</v>
      </c>
    </row>
    <row r="81" spans="1:12" s="54" customFormat="1" ht="12.2" customHeight="1" x14ac:dyDescent="0.2">
      <c r="A81" s="1003" t="s">
        <v>221</v>
      </c>
      <c r="B81" s="717" t="s">
        <v>304</v>
      </c>
      <c r="C81" s="402">
        <f>'27._önkorm_államig'!C81</f>
        <v>0</v>
      </c>
      <c r="D81" s="326">
        <f>'27._önkorm_államig'!D81</f>
        <v>0</v>
      </c>
      <c r="E81" s="573">
        <f>'27._önkorm_államig'!E81</f>
        <v>0</v>
      </c>
      <c r="F81" s="573">
        <f>'27._önkorm_államig'!F81</f>
        <v>0</v>
      </c>
      <c r="G81" s="573">
        <f>'27._önkorm_államig'!G81</f>
        <v>0</v>
      </c>
      <c r="H81" s="328">
        <f t="shared" si="30"/>
        <v>0</v>
      </c>
      <c r="I81" s="666">
        <f>'27._önkorm_államig'!I81</f>
        <v>0</v>
      </c>
      <c r="J81" s="328">
        <f>'27._önkorm_államig'!J81</f>
        <v>0</v>
      </c>
      <c r="K81" s="328">
        <f>'27._önkorm_államig'!K81</f>
        <v>0</v>
      </c>
      <c r="L81" s="328">
        <f>'27._önkorm_államig'!L81</f>
        <v>0</v>
      </c>
    </row>
    <row r="82" spans="1:12" s="54" customFormat="1" ht="12.2" customHeight="1" thickBot="1" x14ac:dyDescent="0.25">
      <c r="A82" s="1005" t="s">
        <v>325</v>
      </c>
      <c r="B82" s="496" t="s">
        <v>378</v>
      </c>
      <c r="C82" s="402">
        <f>'27._önkorm_államig'!C82</f>
        <v>0</v>
      </c>
      <c r="D82" s="326">
        <f>'27._önkorm_államig'!D82</f>
        <v>0</v>
      </c>
      <c r="E82" s="573">
        <f>'27._önkorm_államig'!E82</f>
        <v>0</v>
      </c>
      <c r="F82" s="573">
        <f>'27._önkorm_államig'!F82</f>
        <v>0</v>
      </c>
      <c r="G82" s="573">
        <f>'27._önkorm_államig'!G82</f>
        <v>0</v>
      </c>
      <c r="H82" s="328">
        <f t="shared" si="30"/>
        <v>0</v>
      </c>
      <c r="I82" s="666">
        <f>'27._önkorm_államig'!I82</f>
        <v>0</v>
      </c>
      <c r="J82" s="328">
        <f>'27._önkorm_államig'!J82</f>
        <v>0</v>
      </c>
      <c r="K82" s="328">
        <f>'27._önkorm_államig'!K82</f>
        <v>0</v>
      </c>
      <c r="L82" s="328">
        <f>'27._önkorm_államig'!L82</f>
        <v>0</v>
      </c>
    </row>
    <row r="83" spans="1:12" s="26" customFormat="1" ht="12.2" customHeight="1" thickBot="1" x14ac:dyDescent="0.25">
      <c r="A83" s="63" t="s">
        <v>24</v>
      </c>
      <c r="B83" s="347" t="s">
        <v>614</v>
      </c>
      <c r="C83" s="1023">
        <f>+C68+C72+C76+C79</f>
        <v>2285980</v>
      </c>
      <c r="D83" s="187">
        <f t="shared" ref="D83:K83" si="34">+D68+D72+D76+D79</f>
        <v>4539346</v>
      </c>
      <c r="E83" s="532">
        <f t="shared" si="34"/>
        <v>4539346</v>
      </c>
      <c r="F83" s="532">
        <f t="shared" si="34"/>
        <v>4539346</v>
      </c>
      <c r="G83" s="532">
        <f t="shared" si="34"/>
        <v>0</v>
      </c>
      <c r="H83" s="74">
        <f t="shared" si="30"/>
        <v>0</v>
      </c>
      <c r="I83" s="638">
        <f t="shared" si="34"/>
        <v>0</v>
      </c>
      <c r="J83" s="74">
        <f t="shared" si="34"/>
        <v>4539346</v>
      </c>
      <c r="K83" s="74">
        <f t="shared" si="34"/>
        <v>0</v>
      </c>
      <c r="L83" s="74" t="e">
        <f t="shared" ref="L83" si="35">+L68+L72+L76+L79</f>
        <v>#VALUE!</v>
      </c>
    </row>
    <row r="84" spans="1:12" s="26" customFormat="1" ht="12.2" customHeight="1" thickBot="1" x14ac:dyDescent="0.25">
      <c r="A84" s="80" t="s">
        <v>25</v>
      </c>
      <c r="B84" s="561" t="s">
        <v>635</v>
      </c>
      <c r="C84" s="1023">
        <f>+C67+C83</f>
        <v>607901317</v>
      </c>
      <c r="D84" s="187">
        <f t="shared" ref="D84:K84" si="36">+D67+D83</f>
        <v>623769683</v>
      </c>
      <c r="E84" s="532">
        <f t="shared" si="36"/>
        <v>700633611</v>
      </c>
      <c r="F84" s="532">
        <f t="shared" si="36"/>
        <v>9784546</v>
      </c>
      <c r="G84" s="532">
        <f t="shared" si="36"/>
        <v>0</v>
      </c>
      <c r="H84" s="74">
        <f>+E84-D84</f>
        <v>76863928</v>
      </c>
      <c r="I84" s="638">
        <f t="shared" si="36"/>
        <v>0</v>
      </c>
      <c r="J84" s="74">
        <f t="shared" si="36"/>
        <v>11203412</v>
      </c>
      <c r="K84" s="74">
        <f t="shared" si="36"/>
        <v>0</v>
      </c>
      <c r="L84" s="74" t="e">
        <f t="shared" ref="L84" si="37">+L67+L83</f>
        <v>#VALUE!</v>
      </c>
    </row>
    <row r="85" spans="1:12" s="54" customFormat="1" ht="15" customHeight="1" x14ac:dyDescent="0.2">
      <c r="A85" s="64"/>
      <c r="B85" s="65"/>
      <c r="C85" s="66"/>
      <c r="D85" s="66"/>
      <c r="E85" s="66"/>
      <c r="F85" s="66"/>
      <c r="G85" s="66"/>
      <c r="H85" s="66"/>
      <c r="I85" s="66"/>
      <c r="J85" s="66"/>
      <c r="K85" s="66"/>
      <c r="L85" s="66"/>
    </row>
  </sheetData>
  <sheetProtection formatCells="0"/>
  <mergeCells count="6">
    <mergeCell ref="A8:H8"/>
    <mergeCell ref="A1:H1"/>
    <mergeCell ref="A2:H2"/>
    <mergeCell ref="A4:H4"/>
    <mergeCell ref="A5:H5"/>
    <mergeCell ref="A6:H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7" orientation="portrait" r:id="rId1"/>
  <headerFooter alignWithMargins="0"/>
  <rowBreaks count="2" manualBreakCount="2">
    <brk id="67" max="16383" man="1"/>
    <brk id="84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59"/>
  <sheetViews>
    <sheetView view="pageBreakPreview" topLeftCell="A28" zoomScale="136" zoomScaleNormal="100" zoomScaleSheetLayoutView="136" workbookViewId="0">
      <selection activeCell="A2" sqref="A2:H2"/>
    </sheetView>
  </sheetViews>
  <sheetFormatPr defaultRowHeight="12.75" x14ac:dyDescent="0.2"/>
  <cols>
    <col min="1" max="1" width="8.33203125" style="81" customWidth="1"/>
    <col min="2" max="2" width="63.6640625" style="82" customWidth="1"/>
    <col min="3" max="3" width="14.6640625" style="83" customWidth="1"/>
    <col min="4" max="4" width="15.5" style="83" customWidth="1"/>
    <col min="5" max="5" width="16" style="83" customWidth="1"/>
    <col min="6" max="7" width="18.83203125" style="83" hidden="1" customWidth="1"/>
    <col min="8" max="8" width="14.5" style="83" customWidth="1"/>
    <col min="9" max="12" width="15.83203125" style="83" hidden="1" customWidth="1"/>
    <col min="13" max="14" width="9.33203125" style="25"/>
    <col min="15" max="15" width="22.1640625" style="25" customWidth="1"/>
    <col min="16" max="16" width="18.83203125" style="25" customWidth="1"/>
    <col min="17" max="17" width="18" style="25" customWidth="1"/>
    <col min="18" max="259" width="9.33203125" style="25"/>
    <col min="260" max="260" width="19.5" style="25" customWidth="1"/>
    <col min="261" max="261" width="69.33203125" style="25" customWidth="1"/>
    <col min="262" max="262" width="21.5" style="25" customWidth="1"/>
    <col min="263" max="515" width="9.33203125" style="25"/>
    <col min="516" max="516" width="19.5" style="25" customWidth="1"/>
    <col min="517" max="517" width="69.33203125" style="25" customWidth="1"/>
    <col min="518" max="518" width="21.5" style="25" customWidth="1"/>
    <col min="519" max="771" width="9.33203125" style="25"/>
    <col min="772" max="772" width="19.5" style="25" customWidth="1"/>
    <col min="773" max="773" width="69.33203125" style="25" customWidth="1"/>
    <col min="774" max="774" width="21.5" style="25" customWidth="1"/>
    <col min="775" max="1027" width="9.33203125" style="25"/>
    <col min="1028" max="1028" width="19.5" style="25" customWidth="1"/>
    <col min="1029" max="1029" width="69.33203125" style="25" customWidth="1"/>
    <col min="1030" max="1030" width="21.5" style="25" customWidth="1"/>
    <col min="1031" max="1283" width="9.33203125" style="25"/>
    <col min="1284" max="1284" width="19.5" style="25" customWidth="1"/>
    <col min="1285" max="1285" width="69.33203125" style="25" customWidth="1"/>
    <col min="1286" max="1286" width="21.5" style="25" customWidth="1"/>
    <col min="1287" max="1539" width="9.33203125" style="25"/>
    <col min="1540" max="1540" width="19.5" style="25" customWidth="1"/>
    <col min="1541" max="1541" width="69.33203125" style="25" customWidth="1"/>
    <col min="1542" max="1542" width="21.5" style="25" customWidth="1"/>
    <col min="1543" max="1795" width="9.33203125" style="25"/>
    <col min="1796" max="1796" width="19.5" style="25" customWidth="1"/>
    <col min="1797" max="1797" width="69.33203125" style="25" customWidth="1"/>
    <col min="1798" max="1798" width="21.5" style="25" customWidth="1"/>
    <col min="1799" max="2051" width="9.33203125" style="25"/>
    <col min="2052" max="2052" width="19.5" style="25" customWidth="1"/>
    <col min="2053" max="2053" width="69.33203125" style="25" customWidth="1"/>
    <col min="2054" max="2054" width="21.5" style="25" customWidth="1"/>
    <col min="2055" max="2307" width="9.33203125" style="25"/>
    <col min="2308" max="2308" width="19.5" style="25" customWidth="1"/>
    <col min="2309" max="2309" width="69.33203125" style="25" customWidth="1"/>
    <col min="2310" max="2310" width="21.5" style="25" customWidth="1"/>
    <col min="2311" max="2563" width="9.33203125" style="25"/>
    <col min="2564" max="2564" width="19.5" style="25" customWidth="1"/>
    <col min="2565" max="2565" width="69.33203125" style="25" customWidth="1"/>
    <col min="2566" max="2566" width="21.5" style="25" customWidth="1"/>
    <col min="2567" max="2819" width="9.33203125" style="25"/>
    <col min="2820" max="2820" width="19.5" style="25" customWidth="1"/>
    <col min="2821" max="2821" width="69.33203125" style="25" customWidth="1"/>
    <col min="2822" max="2822" width="21.5" style="25" customWidth="1"/>
    <col min="2823" max="3075" width="9.33203125" style="25"/>
    <col min="3076" max="3076" width="19.5" style="25" customWidth="1"/>
    <col min="3077" max="3077" width="69.33203125" style="25" customWidth="1"/>
    <col min="3078" max="3078" width="21.5" style="25" customWidth="1"/>
    <col min="3079" max="3331" width="9.33203125" style="25"/>
    <col min="3332" max="3332" width="19.5" style="25" customWidth="1"/>
    <col min="3333" max="3333" width="69.33203125" style="25" customWidth="1"/>
    <col min="3334" max="3334" width="21.5" style="25" customWidth="1"/>
    <col min="3335" max="3587" width="9.33203125" style="25"/>
    <col min="3588" max="3588" width="19.5" style="25" customWidth="1"/>
    <col min="3589" max="3589" width="69.33203125" style="25" customWidth="1"/>
    <col min="3590" max="3590" width="21.5" style="25" customWidth="1"/>
    <col min="3591" max="3843" width="9.33203125" style="25"/>
    <col min="3844" max="3844" width="19.5" style="25" customWidth="1"/>
    <col min="3845" max="3845" width="69.33203125" style="25" customWidth="1"/>
    <col min="3846" max="3846" width="21.5" style="25" customWidth="1"/>
    <col min="3847" max="4099" width="9.33203125" style="25"/>
    <col min="4100" max="4100" width="19.5" style="25" customWidth="1"/>
    <col min="4101" max="4101" width="69.33203125" style="25" customWidth="1"/>
    <col min="4102" max="4102" width="21.5" style="25" customWidth="1"/>
    <col min="4103" max="4355" width="9.33203125" style="25"/>
    <col min="4356" max="4356" width="19.5" style="25" customWidth="1"/>
    <col min="4357" max="4357" width="69.33203125" style="25" customWidth="1"/>
    <col min="4358" max="4358" width="21.5" style="25" customWidth="1"/>
    <col min="4359" max="4611" width="9.33203125" style="25"/>
    <col min="4612" max="4612" width="19.5" style="25" customWidth="1"/>
    <col min="4613" max="4613" width="69.33203125" style="25" customWidth="1"/>
    <col min="4614" max="4614" width="21.5" style="25" customWidth="1"/>
    <col min="4615" max="4867" width="9.33203125" style="25"/>
    <col min="4868" max="4868" width="19.5" style="25" customWidth="1"/>
    <col min="4869" max="4869" width="69.33203125" style="25" customWidth="1"/>
    <col min="4870" max="4870" width="21.5" style="25" customWidth="1"/>
    <col min="4871" max="5123" width="9.33203125" style="25"/>
    <col min="5124" max="5124" width="19.5" style="25" customWidth="1"/>
    <col min="5125" max="5125" width="69.33203125" style="25" customWidth="1"/>
    <col min="5126" max="5126" width="21.5" style="25" customWidth="1"/>
    <col min="5127" max="5379" width="9.33203125" style="25"/>
    <col min="5380" max="5380" width="19.5" style="25" customWidth="1"/>
    <col min="5381" max="5381" width="69.33203125" style="25" customWidth="1"/>
    <col min="5382" max="5382" width="21.5" style="25" customWidth="1"/>
    <col min="5383" max="5635" width="9.33203125" style="25"/>
    <col min="5636" max="5636" width="19.5" style="25" customWidth="1"/>
    <col min="5637" max="5637" width="69.33203125" style="25" customWidth="1"/>
    <col min="5638" max="5638" width="21.5" style="25" customWidth="1"/>
    <col min="5639" max="5891" width="9.33203125" style="25"/>
    <col min="5892" max="5892" width="19.5" style="25" customWidth="1"/>
    <col min="5893" max="5893" width="69.33203125" style="25" customWidth="1"/>
    <col min="5894" max="5894" width="21.5" style="25" customWidth="1"/>
    <col min="5895" max="6147" width="9.33203125" style="25"/>
    <col min="6148" max="6148" width="19.5" style="25" customWidth="1"/>
    <col min="6149" max="6149" width="69.33203125" style="25" customWidth="1"/>
    <col min="6150" max="6150" width="21.5" style="25" customWidth="1"/>
    <col min="6151" max="6403" width="9.33203125" style="25"/>
    <col min="6404" max="6404" width="19.5" style="25" customWidth="1"/>
    <col min="6405" max="6405" width="69.33203125" style="25" customWidth="1"/>
    <col min="6406" max="6406" width="21.5" style="25" customWidth="1"/>
    <col min="6407" max="6659" width="9.33203125" style="25"/>
    <col min="6660" max="6660" width="19.5" style="25" customWidth="1"/>
    <col min="6661" max="6661" width="69.33203125" style="25" customWidth="1"/>
    <col min="6662" max="6662" width="21.5" style="25" customWidth="1"/>
    <col min="6663" max="6915" width="9.33203125" style="25"/>
    <col min="6916" max="6916" width="19.5" style="25" customWidth="1"/>
    <col min="6917" max="6917" width="69.33203125" style="25" customWidth="1"/>
    <col min="6918" max="6918" width="21.5" style="25" customWidth="1"/>
    <col min="6919" max="7171" width="9.33203125" style="25"/>
    <col min="7172" max="7172" width="19.5" style="25" customWidth="1"/>
    <col min="7173" max="7173" width="69.33203125" style="25" customWidth="1"/>
    <col min="7174" max="7174" width="21.5" style="25" customWidth="1"/>
    <col min="7175" max="7427" width="9.33203125" style="25"/>
    <col min="7428" max="7428" width="19.5" style="25" customWidth="1"/>
    <col min="7429" max="7429" width="69.33203125" style="25" customWidth="1"/>
    <col min="7430" max="7430" width="21.5" style="25" customWidth="1"/>
    <col min="7431" max="7683" width="9.33203125" style="25"/>
    <col min="7684" max="7684" width="19.5" style="25" customWidth="1"/>
    <col min="7685" max="7685" width="69.33203125" style="25" customWidth="1"/>
    <col min="7686" max="7686" width="21.5" style="25" customWidth="1"/>
    <col min="7687" max="7939" width="9.33203125" style="25"/>
    <col min="7940" max="7940" width="19.5" style="25" customWidth="1"/>
    <col min="7941" max="7941" width="69.33203125" style="25" customWidth="1"/>
    <col min="7942" max="7942" width="21.5" style="25" customWidth="1"/>
    <col min="7943" max="8195" width="9.33203125" style="25"/>
    <col min="8196" max="8196" width="19.5" style="25" customWidth="1"/>
    <col min="8197" max="8197" width="69.33203125" style="25" customWidth="1"/>
    <col min="8198" max="8198" width="21.5" style="25" customWidth="1"/>
    <col min="8199" max="8451" width="9.33203125" style="25"/>
    <col min="8452" max="8452" width="19.5" style="25" customWidth="1"/>
    <col min="8453" max="8453" width="69.33203125" style="25" customWidth="1"/>
    <col min="8454" max="8454" width="21.5" style="25" customWidth="1"/>
    <col min="8455" max="8707" width="9.33203125" style="25"/>
    <col min="8708" max="8708" width="19.5" style="25" customWidth="1"/>
    <col min="8709" max="8709" width="69.33203125" style="25" customWidth="1"/>
    <col min="8710" max="8710" width="21.5" style="25" customWidth="1"/>
    <col min="8711" max="8963" width="9.33203125" style="25"/>
    <col min="8964" max="8964" width="19.5" style="25" customWidth="1"/>
    <col min="8965" max="8965" width="69.33203125" style="25" customWidth="1"/>
    <col min="8966" max="8966" width="21.5" style="25" customWidth="1"/>
    <col min="8967" max="9219" width="9.33203125" style="25"/>
    <col min="9220" max="9220" width="19.5" style="25" customWidth="1"/>
    <col min="9221" max="9221" width="69.33203125" style="25" customWidth="1"/>
    <col min="9222" max="9222" width="21.5" style="25" customWidth="1"/>
    <col min="9223" max="9475" width="9.33203125" style="25"/>
    <col min="9476" max="9476" width="19.5" style="25" customWidth="1"/>
    <col min="9477" max="9477" width="69.33203125" style="25" customWidth="1"/>
    <col min="9478" max="9478" width="21.5" style="25" customWidth="1"/>
    <col min="9479" max="9731" width="9.33203125" style="25"/>
    <col min="9732" max="9732" width="19.5" style="25" customWidth="1"/>
    <col min="9733" max="9733" width="69.33203125" style="25" customWidth="1"/>
    <col min="9734" max="9734" width="21.5" style="25" customWidth="1"/>
    <col min="9735" max="9987" width="9.33203125" style="25"/>
    <col min="9988" max="9988" width="19.5" style="25" customWidth="1"/>
    <col min="9989" max="9989" width="69.33203125" style="25" customWidth="1"/>
    <col min="9990" max="9990" width="21.5" style="25" customWidth="1"/>
    <col min="9991" max="10243" width="9.33203125" style="25"/>
    <col min="10244" max="10244" width="19.5" style="25" customWidth="1"/>
    <col min="10245" max="10245" width="69.33203125" style="25" customWidth="1"/>
    <col min="10246" max="10246" width="21.5" style="25" customWidth="1"/>
    <col min="10247" max="10499" width="9.33203125" style="25"/>
    <col min="10500" max="10500" width="19.5" style="25" customWidth="1"/>
    <col min="10501" max="10501" width="69.33203125" style="25" customWidth="1"/>
    <col min="10502" max="10502" width="21.5" style="25" customWidth="1"/>
    <col min="10503" max="10755" width="9.33203125" style="25"/>
    <col min="10756" max="10756" width="19.5" style="25" customWidth="1"/>
    <col min="10757" max="10757" width="69.33203125" style="25" customWidth="1"/>
    <col min="10758" max="10758" width="21.5" style="25" customWidth="1"/>
    <col min="10759" max="11011" width="9.33203125" style="25"/>
    <col min="11012" max="11012" width="19.5" style="25" customWidth="1"/>
    <col min="11013" max="11013" width="69.33203125" style="25" customWidth="1"/>
    <col min="11014" max="11014" width="21.5" style="25" customWidth="1"/>
    <col min="11015" max="11267" width="9.33203125" style="25"/>
    <col min="11268" max="11268" width="19.5" style="25" customWidth="1"/>
    <col min="11269" max="11269" width="69.33203125" style="25" customWidth="1"/>
    <col min="11270" max="11270" width="21.5" style="25" customWidth="1"/>
    <col min="11271" max="11523" width="9.33203125" style="25"/>
    <col min="11524" max="11524" width="19.5" style="25" customWidth="1"/>
    <col min="11525" max="11525" width="69.33203125" style="25" customWidth="1"/>
    <col min="11526" max="11526" width="21.5" style="25" customWidth="1"/>
    <col min="11527" max="11779" width="9.33203125" style="25"/>
    <col min="11780" max="11780" width="19.5" style="25" customWidth="1"/>
    <col min="11781" max="11781" width="69.33203125" style="25" customWidth="1"/>
    <col min="11782" max="11782" width="21.5" style="25" customWidth="1"/>
    <col min="11783" max="12035" width="9.33203125" style="25"/>
    <col min="12036" max="12036" width="19.5" style="25" customWidth="1"/>
    <col min="12037" max="12037" width="69.33203125" style="25" customWidth="1"/>
    <col min="12038" max="12038" width="21.5" style="25" customWidth="1"/>
    <col min="12039" max="12291" width="9.33203125" style="25"/>
    <col min="12292" max="12292" width="19.5" style="25" customWidth="1"/>
    <col min="12293" max="12293" width="69.33203125" style="25" customWidth="1"/>
    <col min="12294" max="12294" width="21.5" style="25" customWidth="1"/>
    <col min="12295" max="12547" width="9.33203125" style="25"/>
    <col min="12548" max="12548" width="19.5" style="25" customWidth="1"/>
    <col min="12549" max="12549" width="69.33203125" style="25" customWidth="1"/>
    <col min="12550" max="12550" width="21.5" style="25" customWidth="1"/>
    <col min="12551" max="12803" width="9.33203125" style="25"/>
    <col min="12804" max="12804" width="19.5" style="25" customWidth="1"/>
    <col min="12805" max="12805" width="69.33203125" style="25" customWidth="1"/>
    <col min="12806" max="12806" width="21.5" style="25" customWidth="1"/>
    <col min="12807" max="13059" width="9.33203125" style="25"/>
    <col min="13060" max="13060" width="19.5" style="25" customWidth="1"/>
    <col min="13061" max="13061" width="69.33203125" style="25" customWidth="1"/>
    <col min="13062" max="13062" width="21.5" style="25" customWidth="1"/>
    <col min="13063" max="13315" width="9.33203125" style="25"/>
    <col min="13316" max="13316" width="19.5" style="25" customWidth="1"/>
    <col min="13317" max="13317" width="69.33203125" style="25" customWidth="1"/>
    <col min="13318" max="13318" width="21.5" style="25" customWidth="1"/>
    <col min="13319" max="13571" width="9.33203125" style="25"/>
    <col min="13572" max="13572" width="19.5" style="25" customWidth="1"/>
    <col min="13573" max="13573" width="69.33203125" style="25" customWidth="1"/>
    <col min="13574" max="13574" width="21.5" style="25" customWidth="1"/>
    <col min="13575" max="13827" width="9.33203125" style="25"/>
    <col min="13828" max="13828" width="19.5" style="25" customWidth="1"/>
    <col min="13829" max="13829" width="69.33203125" style="25" customWidth="1"/>
    <col min="13830" max="13830" width="21.5" style="25" customWidth="1"/>
    <col min="13831" max="14083" width="9.33203125" style="25"/>
    <col min="14084" max="14084" width="19.5" style="25" customWidth="1"/>
    <col min="14085" max="14085" width="69.33203125" style="25" customWidth="1"/>
    <col min="14086" max="14086" width="21.5" style="25" customWidth="1"/>
    <col min="14087" max="14339" width="9.33203125" style="25"/>
    <col min="14340" max="14340" width="19.5" style="25" customWidth="1"/>
    <col min="14341" max="14341" width="69.33203125" style="25" customWidth="1"/>
    <col min="14342" max="14342" width="21.5" style="25" customWidth="1"/>
    <col min="14343" max="14595" width="9.33203125" style="25"/>
    <col min="14596" max="14596" width="19.5" style="25" customWidth="1"/>
    <col min="14597" max="14597" width="69.33203125" style="25" customWidth="1"/>
    <col min="14598" max="14598" width="21.5" style="25" customWidth="1"/>
    <col min="14599" max="14851" width="9.33203125" style="25"/>
    <col min="14852" max="14852" width="19.5" style="25" customWidth="1"/>
    <col min="14853" max="14853" width="69.33203125" style="25" customWidth="1"/>
    <col min="14854" max="14854" width="21.5" style="25" customWidth="1"/>
    <col min="14855" max="15107" width="9.33203125" style="25"/>
    <col min="15108" max="15108" width="19.5" style="25" customWidth="1"/>
    <col min="15109" max="15109" width="69.33203125" style="25" customWidth="1"/>
    <col min="15110" max="15110" width="21.5" style="25" customWidth="1"/>
    <col min="15111" max="15363" width="9.33203125" style="25"/>
    <col min="15364" max="15364" width="19.5" style="25" customWidth="1"/>
    <col min="15365" max="15365" width="69.33203125" style="25" customWidth="1"/>
    <col min="15366" max="15366" width="21.5" style="25" customWidth="1"/>
    <col min="15367" max="15619" width="9.33203125" style="25"/>
    <col min="15620" max="15620" width="19.5" style="25" customWidth="1"/>
    <col min="15621" max="15621" width="69.33203125" style="25" customWidth="1"/>
    <col min="15622" max="15622" width="21.5" style="25" customWidth="1"/>
    <col min="15623" max="15875" width="9.33203125" style="25"/>
    <col min="15876" max="15876" width="19.5" style="25" customWidth="1"/>
    <col min="15877" max="15877" width="69.33203125" style="25" customWidth="1"/>
    <col min="15878" max="15878" width="21.5" style="25" customWidth="1"/>
    <col min="15879" max="16131" width="9.33203125" style="25"/>
    <col min="16132" max="16132" width="19.5" style="25" customWidth="1"/>
    <col min="16133" max="16133" width="69.33203125" style="25" customWidth="1"/>
    <col min="16134" max="16134" width="21.5" style="25" customWidth="1"/>
    <col min="16135" max="16384" width="9.33203125" style="25"/>
  </cols>
  <sheetData>
    <row r="1" spans="1:12" x14ac:dyDescent="0.2">
      <c r="A1" s="1774" t="s">
        <v>803</v>
      </c>
      <c r="B1" s="1774"/>
      <c r="C1" s="1774"/>
      <c r="D1" s="1774"/>
      <c r="E1" s="1774"/>
      <c r="F1" s="1774"/>
      <c r="G1" s="1774"/>
      <c r="H1" s="1774"/>
      <c r="I1" s="25"/>
      <c r="J1" s="25"/>
      <c r="K1" s="25"/>
      <c r="L1" s="25"/>
    </row>
    <row r="2" spans="1:12" x14ac:dyDescent="0.2">
      <c r="A2" s="1774" t="s">
        <v>724</v>
      </c>
      <c r="B2" s="1774"/>
      <c r="C2" s="1774"/>
      <c r="D2" s="1774"/>
      <c r="E2" s="1774"/>
      <c r="F2" s="1774"/>
      <c r="G2" s="1774"/>
      <c r="H2" s="1774"/>
      <c r="I2" s="25"/>
      <c r="J2" s="25"/>
      <c r="K2" s="25"/>
      <c r="L2" s="25"/>
    </row>
    <row r="3" spans="1:12" s="24" customFormat="1" ht="19.5" customHeight="1" x14ac:dyDescent="0.2">
      <c r="A3" s="169" t="s">
        <v>385</v>
      </c>
      <c r="B3" s="170"/>
      <c r="C3" s="167"/>
      <c r="D3" s="167"/>
      <c r="E3" s="167"/>
      <c r="F3" s="167"/>
      <c r="G3" s="167"/>
      <c r="H3" s="167"/>
      <c r="I3" s="167"/>
      <c r="J3" s="167"/>
      <c r="K3" s="167"/>
      <c r="L3" s="167"/>
    </row>
    <row r="4" spans="1:12" s="38" customFormat="1" ht="21.2" customHeight="1" x14ac:dyDescent="0.2">
      <c r="A4" s="1771" t="s">
        <v>232</v>
      </c>
      <c r="B4" s="1771"/>
      <c r="C4" s="1771"/>
      <c r="D4" s="1771"/>
      <c r="E4" s="1771"/>
      <c r="F4" s="1771"/>
      <c r="G4" s="1771"/>
      <c r="H4" s="1771"/>
    </row>
    <row r="5" spans="1:12" s="38" customFormat="1" ht="21.2" customHeight="1" x14ac:dyDescent="0.2">
      <c r="A5" s="1771" t="str">
        <f>'26._államig_össz_bev'!A5:C5</f>
        <v>2023. ÉVI KÖLTSÉGVETÉS</v>
      </c>
      <c r="B5" s="1771"/>
      <c r="C5" s="1771"/>
      <c r="D5" s="1771"/>
      <c r="E5" s="1771"/>
      <c r="F5" s="1771"/>
      <c r="G5" s="1771"/>
      <c r="H5" s="1771"/>
    </row>
    <row r="6" spans="1:12" s="38" customFormat="1" ht="21.2" customHeight="1" x14ac:dyDescent="0.2">
      <c r="A6" s="1771" t="s">
        <v>401</v>
      </c>
      <c r="B6" s="1771"/>
      <c r="C6" s="1771"/>
      <c r="D6" s="1771"/>
      <c r="E6" s="1771"/>
      <c r="F6" s="1771"/>
      <c r="G6" s="1771"/>
      <c r="H6" s="1771"/>
    </row>
    <row r="7" spans="1:12" s="38" customFormat="1" ht="15.75" x14ac:dyDescent="0.2">
      <c r="A7" s="168"/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</row>
    <row r="8" spans="1:12" ht="14.25" thickBot="1" x14ac:dyDescent="0.3">
      <c r="A8" s="1805" t="s">
        <v>385</v>
      </c>
      <c r="B8" s="1805"/>
      <c r="C8" s="1805"/>
      <c r="D8" s="1805"/>
      <c r="E8" s="171"/>
      <c r="F8" s="171"/>
      <c r="G8" s="171"/>
      <c r="H8" s="171" t="s">
        <v>362</v>
      </c>
      <c r="I8" s="171"/>
      <c r="J8" s="171"/>
      <c r="K8" s="171"/>
      <c r="L8" s="171"/>
    </row>
    <row r="9" spans="1:12" s="46" customFormat="1" ht="62.45" customHeight="1" thickBot="1" x14ac:dyDescent="0.25">
      <c r="A9" s="43" t="s">
        <v>129</v>
      </c>
      <c r="B9" s="642" t="s">
        <v>34</v>
      </c>
      <c r="C9" s="97" t="str">
        <f>'26._államig_össz_bev'!C9</f>
        <v>2023. évi eredeti előirányzat
2/2023. (II.14.)</v>
      </c>
      <c r="D9" s="181" t="str">
        <f>'26._államig_össz_bev'!D9</f>
        <v>Módosított előirányzat a 14/2023.  (VI.29.)  rendelet szerint</v>
      </c>
      <c r="E9" s="97" t="str">
        <f>'26._államig_össz_bev'!E9</f>
        <v>Módosított előirányzat a 18/2023. (IX.26.)  rendelet szerint</v>
      </c>
      <c r="F9" s="97" t="str">
        <f>'26._államig_össz_bev'!F9</f>
        <v>Módosított előirányzat 2023.09.30-án</v>
      </c>
      <c r="G9" s="97" t="str">
        <f>'26._államig_össz_bev'!G9</f>
        <v>Módosított előirányzat a …../2023. (II…..)  rendelet szerint</v>
      </c>
      <c r="H9" s="112" t="str">
        <f>'26._államig_össz_bev'!H9</f>
        <v>Változás a 14/2023. (VI.29.) rendelethez képest</v>
      </c>
      <c r="I9" s="181" t="str">
        <f>'26._államig_össz_bev'!I9</f>
        <v>2023. évi teljesítés              2023.06.30-ig</v>
      </c>
      <c r="J9" s="97" t="str">
        <f>'26._államig_össz_bev'!J9</f>
        <v>2023. évi teljesítés              2023.09.30-ig</v>
      </c>
      <c r="K9" s="97" t="str">
        <f>'26._államig_össz_bev'!K9</f>
        <v>2023. évi teljesítés              2023.12.31-ig</v>
      </c>
      <c r="L9" s="97" t="str">
        <f>'26._államig_össz_bev'!L9</f>
        <v>Teljesítés %-a</v>
      </c>
    </row>
    <row r="10" spans="1:12" s="46" customFormat="1" ht="14.25" customHeight="1" thickBot="1" x14ac:dyDescent="0.25">
      <c r="A10" s="43" t="s">
        <v>297</v>
      </c>
      <c r="B10" s="44" t="s">
        <v>298</v>
      </c>
      <c r="C10" s="44" t="s">
        <v>299</v>
      </c>
      <c r="D10" s="182" t="s">
        <v>300</v>
      </c>
      <c r="E10" s="565" t="s">
        <v>301</v>
      </c>
      <c r="F10" s="565"/>
      <c r="G10" s="565"/>
      <c r="H10" s="45" t="s">
        <v>388</v>
      </c>
      <c r="I10" s="180"/>
      <c r="J10" s="45"/>
      <c r="K10" s="45"/>
      <c r="L10" s="45"/>
    </row>
    <row r="11" spans="1:12" s="31" customFormat="1" ht="12.2" customHeight="1" thickBot="1" x14ac:dyDescent="0.25">
      <c r="A11" s="76" t="s">
        <v>12</v>
      </c>
      <c r="B11" s="815" t="s">
        <v>547</v>
      </c>
      <c r="C11" s="1021">
        <f>C12+C14+C15+C16+C17</f>
        <v>601850153</v>
      </c>
      <c r="D11" s="183">
        <f t="shared" ref="D11:K11" si="0">D12+D14+D15+D16+D17</f>
        <v>614718519</v>
      </c>
      <c r="E11" s="574">
        <f>E12+E14+E15+E16+E17</f>
        <v>691582447</v>
      </c>
      <c r="F11" s="574">
        <f t="shared" si="0"/>
        <v>691582447</v>
      </c>
      <c r="G11" s="574">
        <f t="shared" si="0"/>
        <v>2285982</v>
      </c>
      <c r="H11" s="77">
        <f>+E11-D11</f>
        <v>76863928</v>
      </c>
      <c r="I11" s="670">
        <f t="shared" si="0"/>
        <v>0</v>
      </c>
      <c r="J11" s="77">
        <f t="shared" si="0"/>
        <v>472145260</v>
      </c>
      <c r="K11" s="77">
        <f t="shared" si="0"/>
        <v>0</v>
      </c>
      <c r="L11" s="77" t="e">
        <f t="shared" ref="L11" si="1">L12+L14+L15+L16+L17+L24</f>
        <v>#VALUE!</v>
      </c>
    </row>
    <row r="12" spans="1:12" ht="12.2" customHeight="1" x14ac:dyDescent="0.2">
      <c r="A12" s="99" t="s">
        <v>91</v>
      </c>
      <c r="B12" s="50" t="s">
        <v>68</v>
      </c>
      <c r="C12" s="117">
        <f>'27._önkorm_államig'!C89+'29._Hivatal_államig'!C54</f>
        <v>391438179</v>
      </c>
      <c r="D12" s="184">
        <f>'27._önkorm_államig'!D89+'29._Hivatal_államig'!D54</f>
        <v>395165979</v>
      </c>
      <c r="E12" s="575">
        <f>'27._önkorm_államig'!E89+'29._Hivatal_államig'!E54</f>
        <v>460247407</v>
      </c>
      <c r="F12" s="575">
        <f>'27._önkorm_államig'!F89+'29._Hivatal_államig'!F54</f>
        <v>460247407</v>
      </c>
      <c r="G12" s="575">
        <f>'27._önkorm_államig'!G89+'29._Hivatal_államig'!G54</f>
        <v>0</v>
      </c>
      <c r="H12" s="78">
        <f t="shared" ref="H12:H57" si="2">+E12-D12</f>
        <v>65081428</v>
      </c>
      <c r="I12" s="671">
        <f>'27._önkorm_államig'!I89+'29._Hivatal_államig'!I54</f>
        <v>0</v>
      </c>
      <c r="J12" s="78">
        <f>'27._önkorm_államig'!J89+'29._Hivatal_államig'!J54</f>
        <v>324136905</v>
      </c>
      <c r="K12" s="78">
        <f>'27._önkorm_államig'!K89+'29._Hivatal_államig'!K54</f>
        <v>0</v>
      </c>
      <c r="L12" s="78">
        <f>'27._önkorm_államig'!L89+'29._Hivatal_államig'!L54</f>
        <v>70.426666195210089</v>
      </c>
    </row>
    <row r="13" spans="1:12" ht="12.2" customHeight="1" x14ac:dyDescent="0.2">
      <c r="A13" s="1003" t="s">
        <v>305</v>
      </c>
      <c r="B13" s="335" t="s">
        <v>270</v>
      </c>
      <c r="C13" s="114">
        <f>'27._önkorm_államig'!C90+'29._Hivatal_államig'!C55</f>
        <v>3000000</v>
      </c>
      <c r="D13" s="185">
        <f>'27._önkorm_államig'!D90+'29._Hivatal_államig'!D55</f>
        <v>3227800</v>
      </c>
      <c r="E13" s="567">
        <f>'27._önkorm_államig'!E90+'29._Hivatal_államig'!E55</f>
        <v>19977800</v>
      </c>
      <c r="F13" s="567">
        <f>'27._önkorm_államig'!F90+'29._Hivatal_államig'!F55</f>
        <v>19977800</v>
      </c>
      <c r="G13" s="567">
        <f>'27._önkorm_államig'!G90+'29._Hivatal_államig'!G55</f>
        <v>0</v>
      </c>
      <c r="H13" s="16">
        <f t="shared" si="2"/>
        <v>16750000</v>
      </c>
      <c r="I13" s="626">
        <f>'27._önkorm_államig'!I90+'29._Hivatal_államig'!I55</f>
        <v>0</v>
      </c>
      <c r="J13" s="16">
        <f>'27._önkorm_államig'!J90+'29._Hivatal_államig'!J55</f>
        <v>1147800</v>
      </c>
      <c r="K13" s="16">
        <f>'27._önkorm_államig'!K90+'29._Hivatal_államig'!K55</f>
        <v>0</v>
      </c>
      <c r="L13" s="16">
        <f>'27._önkorm_államig'!L90+'29._Hivatal_államig'!L55</f>
        <v>5.7453773688794563</v>
      </c>
    </row>
    <row r="14" spans="1:12" ht="12.2" customHeight="1" x14ac:dyDescent="0.2">
      <c r="A14" s="1003" t="s">
        <v>92</v>
      </c>
      <c r="B14" s="330" t="s">
        <v>87</v>
      </c>
      <c r="C14" s="401">
        <f>'27._önkorm_államig'!C91+'29._Hivatal_államig'!C56</f>
        <v>61678365</v>
      </c>
      <c r="D14" s="325">
        <f>'27._önkorm_államig'!D91+'29._Hivatal_államig'!D56</f>
        <v>62658365</v>
      </c>
      <c r="E14" s="568">
        <f>'27._önkorm_államig'!E91+'29._Hivatal_államig'!E56</f>
        <v>71975865</v>
      </c>
      <c r="F14" s="568">
        <f>'27._önkorm_államig'!F91+'29._Hivatal_államig'!F56</f>
        <v>71975865</v>
      </c>
      <c r="G14" s="568">
        <f>'27._önkorm_államig'!G91+'29._Hivatal_államig'!G56</f>
        <v>0</v>
      </c>
      <c r="H14" s="327">
        <f t="shared" si="2"/>
        <v>9317500</v>
      </c>
      <c r="I14" s="627">
        <f>'27._önkorm_államig'!I91+'29._Hivatal_államig'!I56</f>
        <v>0</v>
      </c>
      <c r="J14" s="327">
        <f>'27._önkorm_államig'!J91+'29._Hivatal_államig'!J56</f>
        <v>49792839</v>
      </c>
      <c r="K14" s="327">
        <f>'27._önkorm_államig'!K91+'29._Hivatal_államig'!K56</f>
        <v>0</v>
      </c>
      <c r="L14" s="327">
        <f>'27._önkorm_államig'!L91+'29._Hivatal_államig'!L56</f>
        <v>69.179910515837491</v>
      </c>
    </row>
    <row r="15" spans="1:12" ht="12.2" customHeight="1" x14ac:dyDescent="0.2">
      <c r="A15" s="1003" t="s">
        <v>93</v>
      </c>
      <c r="B15" s="330" t="s">
        <v>69</v>
      </c>
      <c r="C15" s="504">
        <f>'27._önkorm_államig'!C92+'29._Hivatal_államig'!C57</f>
        <v>146447629</v>
      </c>
      <c r="D15" s="625">
        <f>'27._önkorm_államig'!D92+'29._Hivatal_államig'!D57</f>
        <v>154608195</v>
      </c>
      <c r="E15" s="569">
        <f>'27._önkorm_államig'!E92+'29._Hivatal_államig'!E57</f>
        <v>157073195</v>
      </c>
      <c r="F15" s="569">
        <f>'27._önkorm_államig'!F92+'29._Hivatal_államig'!F57</f>
        <v>157073195</v>
      </c>
      <c r="G15" s="569">
        <f>'27._önkorm_államig'!G92+'29._Hivatal_államig'!G57</f>
        <v>0</v>
      </c>
      <c r="H15" s="525">
        <f t="shared" si="2"/>
        <v>2465000</v>
      </c>
      <c r="I15" s="629">
        <f>'27._önkorm_államig'!I92+'29._Hivatal_államig'!I57</f>
        <v>0</v>
      </c>
      <c r="J15" s="525">
        <f>'27._önkorm_államig'!J92+'29._Hivatal_államig'!J57</f>
        <v>98215516</v>
      </c>
      <c r="K15" s="525">
        <f>'27._önkorm_államig'!K92+'29._Hivatal_államig'!K57</f>
        <v>0</v>
      </c>
      <c r="L15" s="525">
        <f>'27._önkorm_államig'!L92+'29._Hivatal_államig'!L57</f>
        <v>62.528502078282678</v>
      </c>
    </row>
    <row r="16" spans="1:12" ht="12.2" customHeight="1" x14ac:dyDescent="0.2">
      <c r="A16" s="1003" t="s">
        <v>90</v>
      </c>
      <c r="B16" s="330" t="s">
        <v>80</v>
      </c>
      <c r="C16" s="504">
        <f>'27._önkorm_államig'!C93+'29._Hivatal_államig'!C58</f>
        <v>0</v>
      </c>
      <c r="D16" s="625">
        <f>'27._önkorm_államig'!D93+'29._Hivatal_államig'!D58</f>
        <v>0</v>
      </c>
      <c r="E16" s="569">
        <f>'27._önkorm_államig'!E93+'29._Hivatal_államig'!E58</f>
        <v>0</v>
      </c>
      <c r="F16" s="569">
        <f>'27._önkorm_államig'!F93+'29._Hivatal_államig'!F58</f>
        <v>0</v>
      </c>
      <c r="G16" s="569">
        <f>'27._önkorm_államig'!G93+'29._Hivatal_államig'!G58</f>
        <v>0</v>
      </c>
      <c r="H16" s="525">
        <f t="shared" si="2"/>
        <v>0</v>
      </c>
      <c r="I16" s="629">
        <f>'27._önkorm_államig'!I93+'29._Hivatal_államig'!I58</f>
        <v>0</v>
      </c>
      <c r="J16" s="525">
        <f>'27._önkorm_államig'!J93+'29._Hivatal_államig'!J58</f>
        <v>0</v>
      </c>
      <c r="K16" s="525">
        <f>'27._önkorm_államig'!K93+'29._Hivatal_államig'!K58</f>
        <v>0</v>
      </c>
      <c r="L16" s="525" t="e">
        <f>'27._önkorm_államig'!L93+'29._Hivatal_államig'!L58</f>
        <v>#VALUE!</v>
      </c>
    </row>
    <row r="17" spans="1:12" ht="12.2" customHeight="1" x14ac:dyDescent="0.2">
      <c r="A17" s="1003" t="s">
        <v>147</v>
      </c>
      <c r="B17" s="52" t="s">
        <v>88</v>
      </c>
      <c r="C17" s="504">
        <f>'27._önkorm_államig'!C94+'29._Hivatal_államig'!C59</f>
        <v>2285980</v>
      </c>
      <c r="D17" s="625">
        <f t="shared" ref="D17:K17" si="3">SUM(D18:D24)</f>
        <v>2285980</v>
      </c>
      <c r="E17" s="569">
        <f>'27._önkorm_államig'!E94+'29._Hivatal_államig'!E59</f>
        <v>2285980</v>
      </c>
      <c r="F17" s="569">
        <f t="shared" si="3"/>
        <v>2285980</v>
      </c>
      <c r="G17" s="569">
        <f t="shared" si="3"/>
        <v>2285982</v>
      </c>
      <c r="H17" s="525">
        <f t="shared" si="2"/>
        <v>0</v>
      </c>
      <c r="I17" s="629">
        <f t="shared" si="3"/>
        <v>0</v>
      </c>
      <c r="J17" s="525">
        <f t="shared" si="3"/>
        <v>0</v>
      </c>
      <c r="K17" s="525">
        <f t="shared" si="3"/>
        <v>0</v>
      </c>
      <c r="L17" s="525">
        <f t="shared" ref="L17" si="4">SUM(L18:L23)</f>
        <v>0</v>
      </c>
    </row>
    <row r="18" spans="1:12" ht="12.2" customHeight="1" x14ac:dyDescent="0.2">
      <c r="A18" s="1003" t="s">
        <v>306</v>
      </c>
      <c r="B18" s="693" t="s">
        <v>554</v>
      </c>
      <c r="C18" s="504"/>
      <c r="D18" s="625">
        <f>'27._önkorm_államig'!D95</f>
        <v>0</v>
      </c>
      <c r="E18" s="569">
        <f>'27._önkorm_államig'!E95</f>
        <v>0</v>
      </c>
      <c r="F18" s="569">
        <f>'27._önkorm_államig'!F95</f>
        <v>0</v>
      </c>
      <c r="G18" s="569">
        <f>'27._önkorm_államig'!G95</f>
        <v>0</v>
      </c>
      <c r="H18" s="525">
        <f t="shared" si="2"/>
        <v>0</v>
      </c>
      <c r="I18" s="629">
        <f>'27._önkorm_államig'!I95</f>
        <v>0</v>
      </c>
      <c r="J18" s="525">
        <f>'27._önkorm_államig'!J95</f>
        <v>0</v>
      </c>
      <c r="K18" s="525">
        <f>'27._önkorm_államig'!K95</f>
        <v>0</v>
      </c>
      <c r="L18" s="525">
        <f>'27._önkorm_államig'!L95</f>
        <v>0</v>
      </c>
    </row>
    <row r="19" spans="1:12" ht="12.2" customHeight="1" x14ac:dyDescent="0.2">
      <c r="A19" s="1003" t="s">
        <v>307</v>
      </c>
      <c r="B19" s="816" t="s">
        <v>647</v>
      </c>
      <c r="C19" s="504">
        <f>'27._önkorm_államig'!C96+'29._Hivatal_államig'!C61</f>
        <v>0</v>
      </c>
      <c r="D19" s="625">
        <f>'27._önkorm_államig'!D97</f>
        <v>0</v>
      </c>
      <c r="E19" s="569">
        <f>'27._önkorm_államig'!E96+'29._Hivatal_államig'!E61</f>
        <v>0</v>
      </c>
      <c r="F19" s="569">
        <f>'27._önkorm_államig'!F97</f>
        <v>0</v>
      </c>
      <c r="G19" s="569">
        <f>'27._önkorm_államig'!G97</f>
        <v>0</v>
      </c>
      <c r="H19" s="525">
        <f t="shared" si="2"/>
        <v>0</v>
      </c>
      <c r="I19" s="629">
        <f>'27._önkorm_államig'!I97</f>
        <v>0</v>
      </c>
      <c r="J19" s="525">
        <f>'27._önkorm_államig'!J97</f>
        <v>0</v>
      </c>
      <c r="K19" s="525">
        <f>'27._önkorm_államig'!K97</f>
        <v>0</v>
      </c>
      <c r="L19" s="525">
        <f>'27._önkorm_államig'!L97</f>
        <v>0</v>
      </c>
    </row>
    <row r="20" spans="1:12" ht="12.2" customHeight="1" x14ac:dyDescent="0.2">
      <c r="A20" s="1003" t="s">
        <v>308</v>
      </c>
      <c r="B20" s="816" t="s">
        <v>646</v>
      </c>
      <c r="C20" s="504"/>
      <c r="D20" s="625">
        <f>'27._önkorm_államig'!D98</f>
        <v>0</v>
      </c>
      <c r="E20" s="569"/>
      <c r="F20" s="569">
        <f>'27._önkorm_államig'!F98</f>
        <v>0</v>
      </c>
      <c r="G20" s="569">
        <f>'27._önkorm_államig'!G98</f>
        <v>0</v>
      </c>
      <c r="H20" s="525">
        <f t="shared" si="2"/>
        <v>0</v>
      </c>
      <c r="I20" s="629">
        <f>'27._önkorm_államig'!I98</f>
        <v>0</v>
      </c>
      <c r="J20" s="525">
        <f>'27._önkorm_államig'!J98</f>
        <v>0</v>
      </c>
      <c r="K20" s="525">
        <f>'27._önkorm_államig'!K98</f>
        <v>0</v>
      </c>
      <c r="L20" s="525">
        <f>'27._önkorm_államig'!L98</f>
        <v>0</v>
      </c>
    </row>
    <row r="21" spans="1:12" ht="12.2" customHeight="1" x14ac:dyDescent="0.2">
      <c r="A21" s="1003" t="s">
        <v>309</v>
      </c>
      <c r="B21" s="816" t="s">
        <v>645</v>
      </c>
      <c r="C21" s="504">
        <f>'27._önkorm_államig'!C95+'29._Hivatal_államig'!C60</f>
        <v>2285980</v>
      </c>
      <c r="D21" s="625">
        <f>'27._önkorm_államig'!D95+'29._Hivatal_államig'!D60</f>
        <v>2285980</v>
      </c>
      <c r="E21" s="569">
        <f>'27._önkorm_államig'!E95+'29._Hivatal_államig'!E60</f>
        <v>2285980</v>
      </c>
      <c r="F21" s="569">
        <f>'27._önkorm_államig'!F95+'29._Hivatal_államig'!F60</f>
        <v>2285980</v>
      </c>
      <c r="G21" s="569">
        <f>'27._önkorm_államig'!G95+'29._Hivatal_államig'!G60</f>
        <v>2285982</v>
      </c>
      <c r="H21" s="525">
        <f t="shared" si="2"/>
        <v>0</v>
      </c>
      <c r="I21" s="629">
        <f>'27._önkorm_államig'!I99</f>
        <v>0</v>
      </c>
      <c r="J21" s="525">
        <f>'27._önkorm_államig'!J99</f>
        <v>0</v>
      </c>
      <c r="K21" s="525">
        <f>'27._önkorm_államig'!K99</f>
        <v>0</v>
      </c>
      <c r="L21" s="525">
        <f>'27._önkorm_államig'!L99</f>
        <v>0</v>
      </c>
    </row>
    <row r="22" spans="1:12" ht="12.2" customHeight="1" x14ac:dyDescent="0.2">
      <c r="A22" s="1003" t="s">
        <v>310</v>
      </c>
      <c r="B22" s="816" t="s">
        <v>650</v>
      </c>
      <c r="C22" s="504">
        <f>'27._önkorm_államig'!C99+'29._Hivatal_államig'!C64</f>
        <v>0</v>
      </c>
      <c r="D22" s="625">
        <f>'27._önkorm_államig'!D100</f>
        <v>0</v>
      </c>
      <c r="E22" s="569">
        <f>'27._önkorm_államig'!E99+'29._Hivatal_államig'!E64</f>
        <v>0</v>
      </c>
      <c r="F22" s="569">
        <f>'27._önkorm_államig'!F100</f>
        <v>0</v>
      </c>
      <c r="G22" s="569">
        <f>'27._önkorm_államig'!G100</f>
        <v>0</v>
      </c>
      <c r="H22" s="525">
        <f t="shared" si="2"/>
        <v>0</v>
      </c>
      <c r="I22" s="629">
        <f>'27._önkorm_államig'!I100</f>
        <v>0</v>
      </c>
      <c r="J22" s="525">
        <f>'27._önkorm_államig'!J100</f>
        <v>0</v>
      </c>
      <c r="K22" s="525">
        <f>'27._önkorm_államig'!K100</f>
        <v>0</v>
      </c>
      <c r="L22" s="525">
        <f>'27._önkorm_államig'!L100</f>
        <v>0</v>
      </c>
    </row>
    <row r="23" spans="1:12" ht="12.2" customHeight="1" x14ac:dyDescent="0.2">
      <c r="A23" s="1003" t="s">
        <v>361</v>
      </c>
      <c r="B23" s="816" t="s">
        <v>644</v>
      </c>
      <c r="C23" s="504">
        <f>'27._önkorm_államig'!C100+'29._Hivatal_államig'!C65</f>
        <v>0</v>
      </c>
      <c r="D23" s="625">
        <f>'27._önkorm_államig'!D101</f>
        <v>0</v>
      </c>
      <c r="E23" s="569">
        <f>'27._önkorm_államig'!E100+'29._Hivatal_államig'!E65</f>
        <v>0</v>
      </c>
      <c r="F23" s="569">
        <f>'27._önkorm_államig'!F101</f>
        <v>0</v>
      </c>
      <c r="G23" s="569">
        <f>'27._önkorm_államig'!G101</f>
        <v>0</v>
      </c>
      <c r="H23" s="525">
        <f t="shared" si="2"/>
        <v>0</v>
      </c>
      <c r="I23" s="629">
        <f>'27._önkorm_államig'!I101</f>
        <v>0</v>
      </c>
      <c r="J23" s="525">
        <f>'27._önkorm_államig'!J101</f>
        <v>0</v>
      </c>
      <c r="K23" s="525">
        <f>'27._önkorm_államig'!K101</f>
        <v>0</v>
      </c>
      <c r="L23" s="525">
        <f>'27._önkorm_államig'!L101</f>
        <v>0</v>
      </c>
    </row>
    <row r="24" spans="1:12" ht="12.2" customHeight="1" x14ac:dyDescent="0.2">
      <c r="A24" s="1003" t="s">
        <v>615</v>
      </c>
      <c r="B24" s="817" t="s">
        <v>649</v>
      </c>
      <c r="C24" s="1028"/>
      <c r="D24" s="662">
        <f t="shared" ref="D24:K24" si="5">+D25+D26</f>
        <v>0</v>
      </c>
      <c r="E24" s="576">
        <f>'27._önkorm_államig'!E101+'29._Hivatal_államig'!E66</f>
        <v>0</v>
      </c>
      <c r="F24" s="576">
        <f t="shared" si="5"/>
        <v>0</v>
      </c>
      <c r="G24" s="576">
        <f t="shared" si="5"/>
        <v>0</v>
      </c>
      <c r="H24" s="527">
        <f t="shared" si="2"/>
        <v>0</v>
      </c>
      <c r="I24" s="826">
        <f t="shared" si="5"/>
        <v>0</v>
      </c>
      <c r="J24" s="527">
        <f t="shared" si="5"/>
        <v>0</v>
      </c>
      <c r="K24" s="527">
        <f t="shared" si="5"/>
        <v>0</v>
      </c>
      <c r="L24" s="527">
        <f t="shared" ref="L24" si="6">+L25+L26</f>
        <v>0</v>
      </c>
    </row>
    <row r="25" spans="1:12" ht="12.75" customHeight="1" x14ac:dyDescent="0.2">
      <c r="A25" s="12" t="s">
        <v>616</v>
      </c>
      <c r="B25" s="818" t="s">
        <v>617</v>
      </c>
      <c r="C25" s="114"/>
      <c r="D25" s="185">
        <f>'27._önkorm_államig'!D102</f>
        <v>0</v>
      </c>
      <c r="E25" s="567">
        <f>'27._önkorm_államig'!E102+'29._Hivatal_államig'!E67</f>
        <v>0</v>
      </c>
      <c r="F25" s="567">
        <f>'27._önkorm_államig'!F102</f>
        <v>0</v>
      </c>
      <c r="G25" s="567">
        <f>'27._önkorm_államig'!G102</f>
        <v>0</v>
      </c>
      <c r="H25" s="16">
        <f t="shared" si="2"/>
        <v>0</v>
      </c>
      <c r="I25" s="626">
        <f>'27._önkorm_államig'!I102</f>
        <v>0</v>
      </c>
      <c r="J25" s="16">
        <f>'27._önkorm_államig'!J102</f>
        <v>0</v>
      </c>
      <c r="K25" s="16">
        <f>'27._önkorm_államig'!K102</f>
        <v>0</v>
      </c>
      <c r="L25" s="16">
        <f>'27._önkorm_államig'!L102</f>
        <v>0</v>
      </c>
    </row>
    <row r="26" spans="1:12" ht="12.75" customHeight="1" x14ac:dyDescent="0.2">
      <c r="A26" s="1005" t="s">
        <v>618</v>
      </c>
      <c r="B26" s="819" t="s">
        <v>619</v>
      </c>
      <c r="C26" s="401"/>
      <c r="D26" s="325">
        <f t="shared" ref="D26:K26" si="7">SUM(D27:D28)</f>
        <v>0</v>
      </c>
      <c r="E26" s="568">
        <f>'27._önkorm_államig'!E103+'29._Hivatal_államig'!E68</f>
        <v>0</v>
      </c>
      <c r="F26" s="568">
        <f t="shared" si="7"/>
        <v>0</v>
      </c>
      <c r="G26" s="568">
        <f t="shared" si="7"/>
        <v>0</v>
      </c>
      <c r="H26" s="327">
        <f t="shared" si="2"/>
        <v>0</v>
      </c>
      <c r="I26" s="627">
        <f t="shared" si="7"/>
        <v>0</v>
      </c>
      <c r="J26" s="327">
        <f t="shared" si="7"/>
        <v>0</v>
      </c>
      <c r="K26" s="327">
        <f t="shared" si="7"/>
        <v>0</v>
      </c>
      <c r="L26" s="327">
        <f t="shared" ref="L26" si="8">SUM(L27:L28)</f>
        <v>0</v>
      </c>
    </row>
    <row r="27" spans="1:12" ht="12.75" customHeight="1" x14ac:dyDescent="0.2">
      <c r="A27" s="1005" t="s">
        <v>620</v>
      </c>
      <c r="B27" s="820" t="s">
        <v>648</v>
      </c>
      <c r="C27" s="401"/>
      <c r="D27" s="325">
        <f>'27._önkorm_államig'!D104</f>
        <v>0</v>
      </c>
      <c r="E27" s="568">
        <f>'27._önkorm_államig'!E104+'29._Hivatal_államig'!E69</f>
        <v>0</v>
      </c>
      <c r="F27" s="568">
        <f>'27._önkorm_államig'!F104</f>
        <v>0</v>
      </c>
      <c r="G27" s="568">
        <f>'27._önkorm_államig'!G104</f>
        <v>0</v>
      </c>
      <c r="H27" s="327">
        <f t="shared" si="2"/>
        <v>0</v>
      </c>
      <c r="I27" s="627">
        <f>'27._önkorm_államig'!I104</f>
        <v>0</v>
      </c>
      <c r="J27" s="327">
        <f>'27._önkorm_államig'!J104</f>
        <v>0</v>
      </c>
      <c r="K27" s="327">
        <f>'27._önkorm_államig'!K104</f>
        <v>0</v>
      </c>
      <c r="L27" s="327">
        <f>'27._önkorm_államig'!L104</f>
        <v>0</v>
      </c>
    </row>
    <row r="28" spans="1:12" ht="12.75" customHeight="1" thickBot="1" x14ac:dyDescent="0.25">
      <c r="A28" s="1005" t="s">
        <v>621</v>
      </c>
      <c r="B28" s="820" t="s">
        <v>636</v>
      </c>
      <c r="C28" s="401"/>
      <c r="D28" s="325">
        <f>'27._önkorm_államig'!D105</f>
        <v>0</v>
      </c>
      <c r="E28" s="568"/>
      <c r="F28" s="568">
        <f>'27._önkorm_államig'!F105</f>
        <v>0</v>
      </c>
      <c r="G28" s="568">
        <f>'27._önkorm_államig'!G105</f>
        <v>0</v>
      </c>
      <c r="H28" s="327">
        <f t="shared" si="2"/>
        <v>0</v>
      </c>
      <c r="I28" s="627">
        <f>'27._önkorm_államig'!I105</f>
        <v>0</v>
      </c>
      <c r="J28" s="327">
        <f>'27._önkorm_államig'!J105</f>
        <v>0</v>
      </c>
      <c r="K28" s="327">
        <f>'27._önkorm_államig'!K105</f>
        <v>0</v>
      </c>
      <c r="L28" s="327">
        <f>'27._önkorm_államig'!L105</f>
        <v>0</v>
      </c>
    </row>
    <row r="29" spans="1:12" ht="12.2" customHeight="1" thickBot="1" x14ac:dyDescent="0.25">
      <c r="A29" s="14" t="s">
        <v>13</v>
      </c>
      <c r="B29" s="100" t="s">
        <v>384</v>
      </c>
      <c r="C29" s="113">
        <f>+C30+C32+C34</f>
        <v>6051164</v>
      </c>
      <c r="D29" s="186">
        <f t="shared" ref="D29:K29" si="9">+D30+D32+D34</f>
        <v>9051164</v>
      </c>
      <c r="E29" s="566">
        <f t="shared" si="9"/>
        <v>9051164</v>
      </c>
      <c r="F29" s="566">
        <f t="shared" si="9"/>
        <v>0</v>
      </c>
      <c r="G29" s="566">
        <f t="shared" si="9"/>
        <v>0</v>
      </c>
      <c r="H29" s="28">
        <f t="shared" si="2"/>
        <v>0</v>
      </c>
      <c r="I29" s="628">
        <f t="shared" si="9"/>
        <v>0</v>
      </c>
      <c r="J29" s="28">
        <f t="shared" si="9"/>
        <v>0</v>
      </c>
      <c r="K29" s="28">
        <f t="shared" si="9"/>
        <v>0</v>
      </c>
      <c r="L29" s="28" t="e">
        <f t="shared" ref="L29" si="10">+L30+L32+L34</f>
        <v>#VALUE!</v>
      </c>
    </row>
    <row r="30" spans="1:12" ht="12.2" customHeight="1" x14ac:dyDescent="0.2">
      <c r="A30" s="12" t="s">
        <v>94</v>
      </c>
      <c r="B30" s="330" t="s">
        <v>119</v>
      </c>
      <c r="C30" s="114">
        <f>'27._önkorm_államig'!C107+'28._Int.össz_államig'!C62</f>
        <v>6051164</v>
      </c>
      <c r="D30" s="185">
        <f>'27._önkorm_államig'!D107+'28._Int.össz_államig'!D62</f>
        <v>9051164</v>
      </c>
      <c r="E30" s="567">
        <f>'27._önkorm_államig'!E107+'28._Int.össz_államig'!E62</f>
        <v>9051164</v>
      </c>
      <c r="F30" s="567">
        <f>'27._önkorm_államig'!F107+'28._Int.össz_államig'!F62</f>
        <v>0</v>
      </c>
      <c r="G30" s="567">
        <f>'27._önkorm_államig'!G107+'28._Int.össz_államig'!G62</f>
        <v>0</v>
      </c>
      <c r="H30" s="16">
        <f t="shared" si="2"/>
        <v>0</v>
      </c>
      <c r="I30" s="626">
        <f>'27._önkorm_államig'!I107+'28._Int.össz_államig'!I62</f>
        <v>0</v>
      </c>
      <c r="J30" s="16">
        <f>'27._önkorm_államig'!J107+'28._Int.össz_államig'!J62</f>
        <v>0</v>
      </c>
      <c r="K30" s="16">
        <f>'27._önkorm_államig'!K107+'28._Int.össz_államig'!K62</f>
        <v>0</v>
      </c>
      <c r="L30" s="16">
        <f>'27._önkorm_államig'!L107+'28._Int.össz_államig'!L62</f>
        <v>52.754618080061299</v>
      </c>
    </row>
    <row r="31" spans="1:12" ht="12.2" customHeight="1" x14ac:dyDescent="0.2">
      <c r="A31" s="12" t="s">
        <v>316</v>
      </c>
      <c r="B31" s="819" t="s">
        <v>225</v>
      </c>
      <c r="C31" s="114">
        <f>'27._önkorm_államig'!C108+'28._Int.össz_államig'!C63</f>
        <v>0</v>
      </c>
      <c r="D31" s="185">
        <f>'27._önkorm_államig'!D108+'28._Int.össz_államig'!D63</f>
        <v>0</v>
      </c>
      <c r="E31" s="567">
        <f>'27._önkorm_államig'!E108+'29._Hivatal_államig'!E73</f>
        <v>0</v>
      </c>
      <c r="F31" s="567">
        <f>'27._önkorm_államig'!F108+'28._Int.össz_államig'!F63</f>
        <v>0</v>
      </c>
      <c r="G31" s="567">
        <f>'27._önkorm_államig'!G108+'28._Int.össz_államig'!G63</f>
        <v>0</v>
      </c>
      <c r="H31" s="16">
        <f t="shared" si="2"/>
        <v>0</v>
      </c>
      <c r="I31" s="626">
        <f>'27._önkorm_államig'!I108+'28._Int.össz_államig'!I63</f>
        <v>0</v>
      </c>
      <c r="J31" s="16">
        <f>'27._önkorm_államig'!J108+'28._Int.össz_államig'!J63</f>
        <v>0</v>
      </c>
      <c r="K31" s="16">
        <f>'27._önkorm_államig'!K108+'28._Int.össz_államig'!K63</f>
        <v>0</v>
      </c>
      <c r="L31" s="16" t="e">
        <f>'27._önkorm_államig'!L108+'28._Int.össz_államig'!L63</f>
        <v>#VALUE!</v>
      </c>
    </row>
    <row r="32" spans="1:12" ht="12.2" customHeight="1" x14ac:dyDescent="0.2">
      <c r="A32" s="12" t="s">
        <v>95</v>
      </c>
      <c r="B32" s="354" t="s">
        <v>2</v>
      </c>
      <c r="C32" s="401">
        <f>'27._önkorm_államig'!C109+'28._Int.össz_államig'!C64</f>
        <v>0</v>
      </c>
      <c r="D32" s="325">
        <f>'27._önkorm_államig'!D109+'28._Int.össz_államig'!D64</f>
        <v>0</v>
      </c>
      <c r="E32" s="568">
        <f>'27._önkorm_államig'!E109+'29._Hivatal_államig'!E74</f>
        <v>0</v>
      </c>
      <c r="F32" s="568">
        <f>'27._önkorm_államig'!F109+'28._Int.össz_államig'!F64</f>
        <v>0</v>
      </c>
      <c r="G32" s="568">
        <f>'27._önkorm_államig'!G109+'28._Int.össz_államig'!G64</f>
        <v>0</v>
      </c>
      <c r="H32" s="327">
        <f t="shared" si="2"/>
        <v>0</v>
      </c>
      <c r="I32" s="627">
        <f>'27._önkorm_államig'!I109+'28._Int.össz_államig'!I64</f>
        <v>0</v>
      </c>
      <c r="J32" s="327">
        <f>'27._önkorm_államig'!J109+'28._Int.össz_államig'!J64</f>
        <v>0</v>
      </c>
      <c r="K32" s="327">
        <f>'27._önkorm_államig'!K109+'28._Int.össz_államig'!K64</f>
        <v>0</v>
      </c>
      <c r="L32" s="327" t="e">
        <f>'27._önkorm_államig'!L109+'28._Int.össz_államig'!L64</f>
        <v>#VALUE!</v>
      </c>
    </row>
    <row r="33" spans="1:19" ht="12.2" customHeight="1" x14ac:dyDescent="0.2">
      <c r="A33" s="12" t="s">
        <v>315</v>
      </c>
      <c r="B33" s="352" t="s">
        <v>553</v>
      </c>
      <c r="C33" s="401">
        <f>'27._önkorm_államig'!C110+'28._Int.össz_államig'!C65</f>
        <v>0</v>
      </c>
      <c r="D33" s="325">
        <f>'27._önkorm_államig'!D110+'28._Int.össz_államig'!D65</f>
        <v>0</v>
      </c>
      <c r="E33" s="568">
        <f>'27._önkorm_államig'!E110+'29._Hivatal_államig'!E75</f>
        <v>0</v>
      </c>
      <c r="F33" s="568">
        <f>'27._önkorm_államig'!F110+'28._Int.össz_államig'!F65</f>
        <v>0</v>
      </c>
      <c r="G33" s="568">
        <f>'27._önkorm_államig'!G110+'28._Int.össz_államig'!G65</f>
        <v>0</v>
      </c>
      <c r="H33" s="327">
        <f t="shared" si="2"/>
        <v>0</v>
      </c>
      <c r="I33" s="627">
        <f>'27._önkorm_államig'!I110+'28._Int.össz_államig'!I65</f>
        <v>0</v>
      </c>
      <c r="J33" s="327">
        <f>'27._önkorm_államig'!J110+'28._Int.össz_államig'!J65</f>
        <v>0</v>
      </c>
      <c r="K33" s="327">
        <f>'27._önkorm_államig'!K110+'28._Int.össz_államig'!K65</f>
        <v>0</v>
      </c>
      <c r="L33" s="327" t="e">
        <f>'27._önkorm_államig'!L110+'28._Int.össz_államig'!L65</f>
        <v>#VALUE!</v>
      </c>
    </row>
    <row r="34" spans="1:19" ht="12.2" customHeight="1" x14ac:dyDescent="0.2">
      <c r="A34" s="12" t="s">
        <v>96</v>
      </c>
      <c r="B34" s="496" t="s">
        <v>268</v>
      </c>
      <c r="C34" s="401">
        <f>'27._önkorm_államig'!C111+'28._Int.össz_államig'!C66</f>
        <v>0</v>
      </c>
      <c r="D34" s="325">
        <f t="shared" ref="D34:K34" si="11">SUM(D35:D38)</f>
        <v>0</v>
      </c>
      <c r="E34" s="568">
        <f>'27._önkorm_államig'!E111+'29._Hivatal_államig'!E76</f>
        <v>0</v>
      </c>
      <c r="F34" s="568">
        <f t="shared" si="11"/>
        <v>0</v>
      </c>
      <c r="G34" s="568">
        <f t="shared" si="11"/>
        <v>0</v>
      </c>
      <c r="H34" s="327">
        <f t="shared" si="2"/>
        <v>0</v>
      </c>
      <c r="I34" s="627">
        <f t="shared" si="11"/>
        <v>0</v>
      </c>
      <c r="J34" s="327">
        <f t="shared" si="11"/>
        <v>0</v>
      </c>
      <c r="K34" s="327">
        <f t="shared" si="11"/>
        <v>0</v>
      </c>
      <c r="L34" s="327" t="e">
        <f t="shared" ref="L34" si="12">SUM(L35:L38)</f>
        <v>#VALUE!</v>
      </c>
    </row>
    <row r="35" spans="1:19" ht="12.2" customHeight="1" x14ac:dyDescent="0.2">
      <c r="A35" s="12" t="s">
        <v>317</v>
      </c>
      <c r="B35" s="351" t="s">
        <v>226</v>
      </c>
      <c r="C35" s="401">
        <f>'27._önkorm_államig'!C112+'28._Int.össz_államig'!C67</f>
        <v>0</v>
      </c>
      <c r="D35" s="325">
        <f>'27._önkorm_államig'!D112</f>
        <v>0</v>
      </c>
      <c r="E35" s="568">
        <f>'27._önkorm_államig'!E112+'29._Hivatal_államig'!E77</f>
        <v>0</v>
      </c>
      <c r="F35" s="568">
        <f>'27._önkorm_államig'!F112</f>
        <v>0</v>
      </c>
      <c r="G35" s="568">
        <f>'27._önkorm_államig'!G112</f>
        <v>0</v>
      </c>
      <c r="H35" s="327">
        <f t="shared" si="2"/>
        <v>0</v>
      </c>
      <c r="I35" s="627">
        <f>'27._önkorm_államig'!I112</f>
        <v>0</v>
      </c>
      <c r="J35" s="327">
        <f>'27._önkorm_államig'!J112</f>
        <v>0</v>
      </c>
      <c r="K35" s="327">
        <f>'27._önkorm_államig'!K112</f>
        <v>0</v>
      </c>
      <c r="L35" s="327">
        <f>'27._önkorm_államig'!L112</f>
        <v>0</v>
      </c>
    </row>
    <row r="36" spans="1:19" ht="12.2" customHeight="1" x14ac:dyDescent="0.2">
      <c r="A36" s="12" t="s">
        <v>318</v>
      </c>
      <c r="B36" s="351" t="s">
        <v>227</v>
      </c>
      <c r="C36" s="401">
        <f>'27._önkorm_államig'!C113+'28._Int.össz_államig'!C68</f>
        <v>0</v>
      </c>
      <c r="D36" s="325">
        <f>'27._önkorm_államig'!D113+'28._Int.össz_államig'!D67</f>
        <v>0</v>
      </c>
      <c r="E36" s="568">
        <f>'27._önkorm_államig'!E113+'29._Hivatal_államig'!E78</f>
        <v>0</v>
      </c>
      <c r="F36" s="568">
        <f>'27._önkorm_államig'!F113+'28._Int.össz_államig'!F67</f>
        <v>0</v>
      </c>
      <c r="G36" s="568">
        <f>'27._önkorm_államig'!G113+'28._Int.össz_államig'!G67</f>
        <v>0</v>
      </c>
      <c r="H36" s="327">
        <f t="shared" si="2"/>
        <v>0</v>
      </c>
      <c r="I36" s="627">
        <f>'27._önkorm_államig'!I113+'28._Int.össz_államig'!I67</f>
        <v>0</v>
      </c>
      <c r="J36" s="327">
        <f>'27._önkorm_államig'!J113+'28._Int.össz_államig'!J67</f>
        <v>0</v>
      </c>
      <c r="K36" s="327">
        <f>'27._önkorm_államig'!K113+'28._Int.össz_államig'!K67</f>
        <v>0</v>
      </c>
      <c r="L36" s="327" t="e">
        <f>'27._önkorm_államig'!L113+'28._Int.össz_államig'!L67</f>
        <v>#VALUE!</v>
      </c>
    </row>
    <row r="37" spans="1:19" ht="12.2" customHeight="1" x14ac:dyDescent="0.2">
      <c r="A37" s="12" t="s">
        <v>319</v>
      </c>
      <c r="B37" s="351" t="s">
        <v>224</v>
      </c>
      <c r="C37" s="401"/>
      <c r="D37" s="325">
        <f>'27._önkorm_államig'!D114</f>
        <v>0</v>
      </c>
      <c r="E37" s="568">
        <f>'27._önkorm_államig'!E114+'29._Hivatal_államig'!E79</f>
        <v>0</v>
      </c>
      <c r="F37" s="568">
        <f>'27._önkorm_államig'!F114</f>
        <v>0</v>
      </c>
      <c r="G37" s="568">
        <f>'27._önkorm_államig'!G114</f>
        <v>0</v>
      </c>
      <c r="H37" s="327">
        <f t="shared" si="2"/>
        <v>0</v>
      </c>
      <c r="I37" s="627">
        <f>'27._önkorm_államig'!I114</f>
        <v>0</v>
      </c>
      <c r="J37" s="327">
        <f>'27._önkorm_államig'!J114</f>
        <v>0</v>
      </c>
      <c r="K37" s="327">
        <f>'27._önkorm_államig'!K114</f>
        <v>0</v>
      </c>
      <c r="L37" s="327">
        <f>'27._önkorm_államig'!L114</f>
        <v>0</v>
      </c>
    </row>
    <row r="38" spans="1:19" ht="12.2" customHeight="1" thickBot="1" x14ac:dyDescent="0.25">
      <c r="A38" s="12" t="s">
        <v>320</v>
      </c>
      <c r="B38" s="351" t="s">
        <v>228</v>
      </c>
      <c r="C38" s="401">
        <f>'27._önkorm_államig'!C115+'28._Int.össz_államig'!C70</f>
        <v>0</v>
      </c>
      <c r="D38" s="325">
        <f>'27._önkorm_államig'!D115+'28._Int.össz_államig'!D68</f>
        <v>0</v>
      </c>
      <c r="E38" s="568">
        <f>'27._önkorm_államig'!E115+'29._Hivatal_államig'!E80</f>
        <v>0</v>
      </c>
      <c r="F38" s="568">
        <f>'27._önkorm_államig'!F115+'28._Int.össz_államig'!F68</f>
        <v>0</v>
      </c>
      <c r="G38" s="568">
        <f>'27._önkorm_államig'!G115+'28._Int.össz_államig'!G68</f>
        <v>0</v>
      </c>
      <c r="H38" s="327">
        <f t="shared" si="2"/>
        <v>0</v>
      </c>
      <c r="I38" s="627">
        <f>'27._önkorm_államig'!I115+'28._Int.össz_államig'!I68</f>
        <v>0</v>
      </c>
      <c r="J38" s="327">
        <f>'27._önkorm_államig'!J115+'28._Int.össz_államig'!J68</f>
        <v>0</v>
      </c>
      <c r="K38" s="327">
        <f>'27._önkorm_államig'!K115+'28._Int.össz_államig'!K68</f>
        <v>0</v>
      </c>
      <c r="L38" s="327" t="e">
        <f>'27._önkorm_államig'!L115+'28._Int.össz_államig'!L68</f>
        <v>#VALUE!</v>
      </c>
    </row>
    <row r="39" spans="1:19" ht="12.2" customHeight="1" thickBot="1" x14ac:dyDescent="0.25">
      <c r="A39" s="14" t="s">
        <v>14</v>
      </c>
      <c r="B39" s="56" t="s">
        <v>540</v>
      </c>
      <c r="C39" s="1080">
        <f>C11+C29</f>
        <v>607901317</v>
      </c>
      <c r="D39" s="663">
        <f t="shared" ref="D39:K39" si="13">D11+D29</f>
        <v>623769683</v>
      </c>
      <c r="E39" s="577">
        <f t="shared" si="13"/>
        <v>700633611</v>
      </c>
      <c r="F39" s="577">
        <f t="shared" si="13"/>
        <v>691582447</v>
      </c>
      <c r="G39" s="577">
        <f t="shared" si="13"/>
        <v>2285982</v>
      </c>
      <c r="H39" s="272">
        <f t="shared" si="2"/>
        <v>76863928</v>
      </c>
      <c r="I39" s="1082">
        <f t="shared" si="13"/>
        <v>0</v>
      </c>
      <c r="J39" s="272">
        <f t="shared" si="13"/>
        <v>472145260</v>
      </c>
      <c r="K39" s="272">
        <f t="shared" si="13"/>
        <v>0</v>
      </c>
      <c r="L39" s="272" t="e">
        <f t="shared" ref="L39" si="14">L11+L29</f>
        <v>#VALUE!</v>
      </c>
    </row>
    <row r="40" spans="1:19" ht="12.2" customHeight="1" thickBot="1" x14ac:dyDescent="0.25">
      <c r="A40" s="14" t="s">
        <v>15</v>
      </c>
      <c r="B40" s="56" t="s">
        <v>541</v>
      </c>
      <c r="C40" s="113">
        <f>+C41+C42+C43</f>
        <v>0</v>
      </c>
      <c r="D40" s="186">
        <f t="shared" ref="D40:K40" si="15">+D41+D42+D43</f>
        <v>0</v>
      </c>
      <c r="E40" s="566">
        <f t="shared" si="15"/>
        <v>0</v>
      </c>
      <c r="F40" s="566">
        <f t="shared" si="15"/>
        <v>0</v>
      </c>
      <c r="G40" s="566">
        <f t="shared" si="15"/>
        <v>0</v>
      </c>
      <c r="H40" s="28">
        <f t="shared" si="2"/>
        <v>0</v>
      </c>
      <c r="I40" s="628">
        <f t="shared" si="15"/>
        <v>0</v>
      </c>
      <c r="J40" s="28">
        <f t="shared" si="15"/>
        <v>0</v>
      </c>
      <c r="K40" s="28">
        <f t="shared" si="15"/>
        <v>0</v>
      </c>
      <c r="L40" s="28">
        <f t="shared" ref="L40" si="16">+L41+L42+L43</f>
        <v>0</v>
      </c>
      <c r="P40" s="1380" t="s">
        <v>786</v>
      </c>
      <c r="Q40" s="25" t="s">
        <v>785</v>
      </c>
    </row>
    <row r="41" spans="1:19" s="31" customFormat="1" ht="12.2" customHeight="1" x14ac:dyDescent="0.2">
      <c r="A41" s="12" t="s">
        <v>100</v>
      </c>
      <c r="B41" s="17" t="s">
        <v>660</v>
      </c>
      <c r="C41" s="401">
        <f>'27._önkorm_államig'!C118</f>
        <v>0</v>
      </c>
      <c r="D41" s="325">
        <f>'27._önkorm_államig'!D118</f>
        <v>0</v>
      </c>
      <c r="E41" s="568">
        <f>'27._önkorm_államig'!E118</f>
        <v>0</v>
      </c>
      <c r="F41" s="568">
        <f>'27._önkorm_államig'!F118</f>
        <v>0</v>
      </c>
      <c r="G41" s="568">
        <f>'27._önkorm_államig'!G118</f>
        <v>0</v>
      </c>
      <c r="H41" s="327">
        <f t="shared" si="2"/>
        <v>0</v>
      </c>
      <c r="I41" s="627">
        <f>'27._önkorm_államig'!I118</f>
        <v>0</v>
      </c>
      <c r="J41" s="327">
        <f>'27._önkorm_államig'!J118</f>
        <v>0</v>
      </c>
      <c r="K41" s="327">
        <f>'27._önkorm_államig'!K118</f>
        <v>0</v>
      </c>
      <c r="L41" s="327">
        <f>'27._önkorm_államig'!L118</f>
        <v>0</v>
      </c>
      <c r="O41" s="25" t="s">
        <v>782</v>
      </c>
      <c r="P41" s="1379">
        <f>'26._önként_össz_bev'!H85</f>
        <v>392911856</v>
      </c>
      <c r="Q41" s="1379"/>
      <c r="R41" s="1379"/>
      <c r="S41" s="25"/>
    </row>
    <row r="42" spans="1:19" ht="12.2" customHeight="1" x14ac:dyDescent="0.2">
      <c r="A42" s="12" t="s">
        <v>101</v>
      </c>
      <c r="B42" s="17" t="s">
        <v>659</v>
      </c>
      <c r="C42" s="401">
        <f>'27._önkorm_államig'!C119</f>
        <v>0</v>
      </c>
      <c r="D42" s="325">
        <f>'27._önkorm_államig'!D119</f>
        <v>0</v>
      </c>
      <c r="E42" s="568">
        <f>'27._önkorm_államig'!E119</f>
        <v>0</v>
      </c>
      <c r="F42" s="568">
        <f>'27._önkorm_államig'!F119</f>
        <v>0</v>
      </c>
      <c r="G42" s="568">
        <f>'27._önkorm_államig'!G119</f>
        <v>0</v>
      </c>
      <c r="H42" s="327">
        <f t="shared" si="2"/>
        <v>0</v>
      </c>
      <c r="I42" s="627">
        <f>'27._önkorm_államig'!I119</f>
        <v>0</v>
      </c>
      <c r="J42" s="327">
        <f>'27._önkorm_államig'!J119</f>
        <v>0</v>
      </c>
      <c r="K42" s="327">
        <f>'27._önkorm_államig'!K119</f>
        <v>0</v>
      </c>
      <c r="L42" s="327">
        <f>'27._önkorm_államig'!L119</f>
        <v>0</v>
      </c>
      <c r="O42" s="25" t="s">
        <v>783</v>
      </c>
      <c r="P42" s="1379">
        <f>'26._köt_össz_bev'!H84</f>
        <v>2145247238</v>
      </c>
      <c r="Q42" s="1379"/>
      <c r="R42" s="1379"/>
    </row>
    <row r="43" spans="1:19" ht="12.2" customHeight="1" thickBot="1" x14ac:dyDescent="0.25">
      <c r="A43" s="13" t="s">
        <v>164</v>
      </c>
      <c r="B43" s="52" t="s">
        <v>658</v>
      </c>
      <c r="C43" s="401">
        <f>'27._önkorm_államig'!C120</f>
        <v>0</v>
      </c>
      <c r="D43" s="325">
        <f>'27._önkorm_államig'!D120</f>
        <v>0</v>
      </c>
      <c r="E43" s="568">
        <f>'27._önkorm_államig'!E120</f>
        <v>0</v>
      </c>
      <c r="F43" s="568">
        <f>'27._önkorm_államig'!F120</f>
        <v>0</v>
      </c>
      <c r="G43" s="568">
        <f>'27._önkorm_államig'!G120</f>
        <v>0</v>
      </c>
      <c r="H43" s="327">
        <f t="shared" si="2"/>
        <v>0</v>
      </c>
      <c r="I43" s="627">
        <f>'27._önkorm_államig'!I120</f>
        <v>0</v>
      </c>
      <c r="J43" s="327">
        <f>'27._önkorm_államig'!J120</f>
        <v>0</v>
      </c>
      <c r="K43" s="327">
        <f>'27._önkorm_államig'!K120</f>
        <v>0</v>
      </c>
      <c r="L43" s="327">
        <f>'27._önkorm_államig'!L120</f>
        <v>0</v>
      </c>
      <c r="O43" s="25" t="s">
        <v>784</v>
      </c>
      <c r="P43" s="1379">
        <f>'26._államig_össz_bev'!H84</f>
        <v>76863928</v>
      </c>
      <c r="Q43" s="1379"/>
      <c r="R43" s="1379"/>
    </row>
    <row r="44" spans="1:19" ht="12.2" customHeight="1" thickBot="1" x14ac:dyDescent="0.25">
      <c r="A44" s="14" t="s">
        <v>16</v>
      </c>
      <c r="B44" s="56" t="s">
        <v>545</v>
      </c>
      <c r="C44" s="113">
        <f>+C45+C47+C46</f>
        <v>0</v>
      </c>
      <c r="D44" s="186">
        <f t="shared" ref="D44:K44" si="17">+D45+D47+D46</f>
        <v>0</v>
      </c>
      <c r="E44" s="566">
        <f t="shared" si="17"/>
        <v>0</v>
      </c>
      <c r="F44" s="566">
        <f t="shared" si="17"/>
        <v>0</v>
      </c>
      <c r="G44" s="566">
        <f t="shared" si="17"/>
        <v>0</v>
      </c>
      <c r="H44" s="28">
        <f t="shared" si="2"/>
        <v>0</v>
      </c>
      <c r="I44" s="628">
        <f t="shared" si="17"/>
        <v>0</v>
      </c>
      <c r="J44" s="28">
        <f t="shared" si="17"/>
        <v>0</v>
      </c>
      <c r="K44" s="28">
        <f t="shared" si="17"/>
        <v>0</v>
      </c>
      <c r="L44" s="28">
        <f t="shared" ref="L44" si="18">+L45+L47</f>
        <v>0</v>
      </c>
      <c r="P44" s="1379">
        <f>SUM(P41:P43)</f>
        <v>2615023022</v>
      </c>
      <c r="Q44" s="1379">
        <f>'1. mell.bevétel_össz'!H83</f>
        <v>2615023022</v>
      </c>
      <c r="R44" s="1379" t="b">
        <f>P44=Q44</f>
        <v>1</v>
      </c>
    </row>
    <row r="45" spans="1:19" ht="12.2" customHeight="1" x14ac:dyDescent="0.2">
      <c r="A45" s="12" t="s">
        <v>89</v>
      </c>
      <c r="B45" s="17" t="s">
        <v>391</v>
      </c>
      <c r="C45" s="401">
        <f>'27._önkorm_államig'!C122</f>
        <v>0</v>
      </c>
      <c r="D45" s="325">
        <f>'27._önkorm_államig'!D122</f>
        <v>0</v>
      </c>
      <c r="E45" s="568">
        <f>'27._önkorm_államig'!E122</f>
        <v>0</v>
      </c>
      <c r="F45" s="568">
        <f>'27._önkorm_államig'!F122</f>
        <v>0</v>
      </c>
      <c r="G45" s="568">
        <f>'27._önkorm_államig'!G122</f>
        <v>0</v>
      </c>
      <c r="H45" s="327">
        <f t="shared" si="2"/>
        <v>0</v>
      </c>
      <c r="I45" s="627">
        <f>'27._önkorm_államig'!I122</f>
        <v>0</v>
      </c>
      <c r="J45" s="327">
        <f>'27._önkorm_államig'!J122</f>
        <v>0</v>
      </c>
      <c r="K45" s="327">
        <f>'27._önkorm_államig'!K122</f>
        <v>0</v>
      </c>
      <c r="L45" s="327">
        <f>'27._önkorm_államig'!L122</f>
        <v>0</v>
      </c>
    </row>
    <row r="46" spans="1:19" ht="12.2" customHeight="1" x14ac:dyDescent="0.2">
      <c r="A46" s="12" t="s">
        <v>102</v>
      </c>
      <c r="B46" s="17" t="s">
        <v>579</v>
      </c>
      <c r="C46" s="401">
        <f>'27._önkorm_államig'!C123</f>
        <v>0</v>
      </c>
      <c r="D46" s="325">
        <f>'27._önkorm_államig'!D123</f>
        <v>0</v>
      </c>
      <c r="E46" s="568">
        <f>'27._önkorm_államig'!E123</f>
        <v>0</v>
      </c>
      <c r="F46" s="568">
        <f>'27._önkorm_államig'!F123</f>
        <v>0</v>
      </c>
      <c r="G46" s="568">
        <f>'27._önkorm_államig'!G123</f>
        <v>0</v>
      </c>
      <c r="H46" s="327">
        <f t="shared" si="2"/>
        <v>0</v>
      </c>
      <c r="I46" s="627">
        <f>'27._önkorm_államig'!I123</f>
        <v>0</v>
      </c>
      <c r="J46" s="327">
        <f>'27._önkorm_államig'!J123</f>
        <v>0</v>
      </c>
      <c r="K46" s="327">
        <f>'27._önkorm_államig'!K123</f>
        <v>0</v>
      </c>
      <c r="L46" s="327">
        <f>'27._önkorm_államig'!L123</f>
        <v>0</v>
      </c>
    </row>
    <row r="47" spans="1:19" ht="12.2" customHeight="1" thickBot="1" x14ac:dyDescent="0.25">
      <c r="A47" s="12" t="s">
        <v>103</v>
      </c>
      <c r="B47" s="717" t="s">
        <v>580</v>
      </c>
      <c r="C47" s="401">
        <f>'27._önkorm_államig'!C124</f>
        <v>0</v>
      </c>
      <c r="D47" s="325">
        <f>'27._önkorm_államig'!D124</f>
        <v>0</v>
      </c>
      <c r="E47" s="568">
        <f>'27._önkorm_államig'!E124</f>
        <v>0</v>
      </c>
      <c r="F47" s="568">
        <f>'27._önkorm_államig'!F124</f>
        <v>0</v>
      </c>
      <c r="G47" s="568">
        <f>'27._önkorm_államig'!G124</f>
        <v>0</v>
      </c>
      <c r="H47" s="327">
        <f t="shared" si="2"/>
        <v>0</v>
      </c>
      <c r="I47" s="627">
        <f>'27._önkorm_államig'!I124</f>
        <v>0</v>
      </c>
      <c r="J47" s="327">
        <f>'27._önkorm_államig'!J124</f>
        <v>0</v>
      </c>
      <c r="K47" s="327">
        <f>'27._önkorm_államig'!K124</f>
        <v>0</v>
      </c>
      <c r="L47" s="327">
        <f>'27._önkorm_államig'!L124</f>
        <v>0</v>
      </c>
      <c r="P47" s="1380" t="s">
        <v>787</v>
      </c>
      <c r="Q47" s="25" t="s">
        <v>785</v>
      </c>
    </row>
    <row r="48" spans="1:19" ht="12.2" customHeight="1" thickBot="1" x14ac:dyDescent="0.25">
      <c r="A48" s="14" t="s">
        <v>17</v>
      </c>
      <c r="B48" s="56" t="s">
        <v>542</v>
      </c>
      <c r="C48" s="1023">
        <f>+C49+C50+C51+C52+C53</f>
        <v>0</v>
      </c>
      <c r="D48" s="187">
        <f t="shared" ref="D48:K48" si="19">+D49+D50+D51+D52+D53</f>
        <v>0</v>
      </c>
      <c r="E48" s="532">
        <f t="shared" si="19"/>
        <v>0</v>
      </c>
      <c r="F48" s="532">
        <f t="shared" si="19"/>
        <v>0</v>
      </c>
      <c r="G48" s="532">
        <f t="shared" si="19"/>
        <v>0</v>
      </c>
      <c r="H48" s="74">
        <f t="shared" si="2"/>
        <v>0</v>
      </c>
      <c r="I48" s="638">
        <f t="shared" si="19"/>
        <v>0</v>
      </c>
      <c r="J48" s="74">
        <f t="shared" si="19"/>
        <v>0</v>
      </c>
      <c r="K48" s="74">
        <f t="shared" si="19"/>
        <v>0</v>
      </c>
      <c r="L48" s="74">
        <f t="shared" ref="L48" si="20">+L49+L50+L51+L52+L53</f>
        <v>0</v>
      </c>
      <c r="O48" s="25" t="s">
        <v>782</v>
      </c>
      <c r="P48" s="1379">
        <f>'26._önként_össz_kiad'!H55</f>
        <v>392911856</v>
      </c>
      <c r="Q48" s="1379"/>
      <c r="R48" s="1379"/>
    </row>
    <row r="49" spans="1:19" x14ac:dyDescent="0.2">
      <c r="A49" s="12" t="s">
        <v>104</v>
      </c>
      <c r="B49" s="17" t="s">
        <v>240</v>
      </c>
      <c r="C49" s="401">
        <f>'27._önkorm_államig'!C126-'28._Int.össz_államig'!C46</f>
        <v>0</v>
      </c>
      <c r="D49" s="325">
        <f>'27._önkorm_államig'!D126-'28._Int.össz_államig'!D46</f>
        <v>0</v>
      </c>
      <c r="E49" s="568">
        <f>'27._önkorm_államig'!E126-'28._Int.össz_államig'!E46</f>
        <v>0</v>
      </c>
      <c r="F49" s="568">
        <f>'27._önkorm_államig'!F126-'28._Int.össz_államig'!F46</f>
        <v>0</v>
      </c>
      <c r="G49" s="568">
        <f>'27._önkorm_államig'!G126-'28._Int.össz_államig'!G46</f>
        <v>0</v>
      </c>
      <c r="H49" s="327">
        <f t="shared" si="2"/>
        <v>0</v>
      </c>
      <c r="I49" s="627">
        <f>'27._önkorm_államig'!I126-'28._Int.össz_államig'!I46</f>
        <v>0</v>
      </c>
      <c r="J49" s="327">
        <f>'27._önkorm_államig'!J126-'28._Int.össz_államig'!J46</f>
        <v>0</v>
      </c>
      <c r="K49" s="327">
        <f>'27._önkorm_államig'!K126-'28._Int.össz_államig'!K46</f>
        <v>0</v>
      </c>
      <c r="L49" s="327">
        <f>'27._önkorm_államig'!L126-'28._Int.össz_államig'!L46</f>
        <v>0</v>
      </c>
      <c r="O49" s="25" t="s">
        <v>783</v>
      </c>
      <c r="P49" s="1379">
        <f>'26._köt_össz_kiad'!H55</f>
        <v>2145247238</v>
      </c>
      <c r="Q49" s="1379"/>
      <c r="R49" s="1379"/>
    </row>
    <row r="50" spans="1:19" ht="12.2" customHeight="1" x14ac:dyDescent="0.2">
      <c r="A50" s="12" t="s">
        <v>105</v>
      </c>
      <c r="B50" s="17" t="s">
        <v>241</v>
      </c>
      <c r="C50" s="401">
        <f>'27._önkorm_államig'!C127-'28._Int.össz_államig'!C47</f>
        <v>0</v>
      </c>
      <c r="D50" s="325">
        <f>'27._önkorm_államig'!D127-'28._Int.össz_államig'!D47</f>
        <v>0</v>
      </c>
      <c r="E50" s="568">
        <f>'27._önkorm_államig'!E127-'28._Int.össz_államig'!E47</f>
        <v>0</v>
      </c>
      <c r="F50" s="568">
        <f>'27._önkorm_államig'!F127-'28._Int.össz_államig'!F47</f>
        <v>0</v>
      </c>
      <c r="G50" s="568">
        <f>'27._önkorm_államig'!G127-'28._Int.össz_államig'!G47</f>
        <v>0</v>
      </c>
      <c r="H50" s="327">
        <f t="shared" si="2"/>
        <v>0</v>
      </c>
      <c r="I50" s="627">
        <f>'27._önkorm_államig'!I127-'28._Int.össz_államig'!I47</f>
        <v>0</v>
      </c>
      <c r="J50" s="327">
        <f>'27._önkorm_államig'!J127-'28._Int.össz_államig'!J47</f>
        <v>0</v>
      </c>
      <c r="K50" s="327">
        <f>'27._önkorm_államig'!K127-'28._Int.össz_államig'!K47</f>
        <v>0</v>
      </c>
      <c r="L50" s="327">
        <f>'27._önkorm_államig'!L127-'28._Int.össz_államig'!L47</f>
        <v>0</v>
      </c>
      <c r="O50" s="25" t="s">
        <v>784</v>
      </c>
      <c r="P50" s="1379">
        <f>H55</f>
        <v>76863928</v>
      </c>
      <c r="Q50" s="1379"/>
      <c r="R50" s="1379"/>
    </row>
    <row r="51" spans="1:19" s="31" customFormat="1" ht="12.2" customHeight="1" x14ac:dyDescent="0.2">
      <c r="A51" s="12" t="s">
        <v>205</v>
      </c>
      <c r="B51" s="17" t="s">
        <v>398</v>
      </c>
      <c r="C51" s="401">
        <f>'27._önkorm_államig'!C128</f>
        <v>0</v>
      </c>
      <c r="D51" s="325">
        <f>'27._önkorm_államig'!D128</f>
        <v>0</v>
      </c>
      <c r="E51" s="568">
        <f>'27._önkorm_államig'!E128</f>
        <v>0</v>
      </c>
      <c r="F51" s="568">
        <f>'27._önkorm_államig'!F128</f>
        <v>0</v>
      </c>
      <c r="G51" s="568">
        <f>'27._önkorm_államig'!G128</f>
        <v>0</v>
      </c>
      <c r="H51" s="327">
        <f t="shared" si="2"/>
        <v>0</v>
      </c>
      <c r="I51" s="627">
        <f>'27._önkorm_államig'!I128</f>
        <v>0</v>
      </c>
      <c r="J51" s="327">
        <f>'27._önkorm_államig'!J128</f>
        <v>0</v>
      </c>
      <c r="K51" s="327">
        <f>'27._önkorm_államig'!K128</f>
        <v>0</v>
      </c>
      <c r="L51" s="327">
        <f>'27._önkorm_államig'!L128</f>
        <v>0</v>
      </c>
      <c r="O51" s="25"/>
      <c r="P51" s="1379">
        <f>SUM(P48:P50)</f>
        <v>2615023022</v>
      </c>
      <c r="Q51" s="1379">
        <f>'1.mell.kiadás_össz'!H54</f>
        <v>2615023022</v>
      </c>
      <c r="R51" s="1379" t="b">
        <f>P51=Q51</f>
        <v>1</v>
      </c>
      <c r="S51" s="25"/>
    </row>
    <row r="52" spans="1:19" s="31" customFormat="1" ht="12.2" customHeight="1" x14ac:dyDescent="0.2">
      <c r="A52" s="13" t="s">
        <v>206</v>
      </c>
      <c r="B52" s="52" t="s">
        <v>229</v>
      </c>
      <c r="C52" s="401">
        <f>'27._önkorm_államig'!C129</f>
        <v>0</v>
      </c>
      <c r="D52" s="325">
        <f>'27._önkorm_államig'!D129</f>
        <v>0</v>
      </c>
      <c r="E52" s="568">
        <f>'27._önkorm_államig'!E129</f>
        <v>0</v>
      </c>
      <c r="F52" s="568">
        <f>'27._önkorm_államig'!F129</f>
        <v>0</v>
      </c>
      <c r="G52" s="568">
        <f>'27._önkorm_államig'!G129</f>
        <v>0</v>
      </c>
      <c r="H52" s="327">
        <f t="shared" si="2"/>
        <v>0</v>
      </c>
      <c r="I52" s="627">
        <f>'27._önkorm_államig'!I129</f>
        <v>0</v>
      </c>
      <c r="J52" s="327">
        <f>'27._önkorm_államig'!J129</f>
        <v>0</v>
      </c>
      <c r="K52" s="327">
        <f>'27._önkorm_államig'!K129</f>
        <v>0</v>
      </c>
      <c r="L52" s="327">
        <f>'27._önkorm_államig'!L129</f>
        <v>0</v>
      </c>
      <c r="O52" s="25"/>
      <c r="P52" s="25"/>
      <c r="Q52" s="25"/>
      <c r="R52" s="25"/>
      <c r="S52" s="25"/>
    </row>
    <row r="53" spans="1:19" s="31" customFormat="1" ht="12.2" customHeight="1" thickBot="1" x14ac:dyDescent="0.25">
      <c r="A53" s="172" t="s">
        <v>208</v>
      </c>
      <c r="B53" s="173" t="s">
        <v>399</v>
      </c>
      <c r="C53" s="1081">
        <f>'27._önkorm_államig'!C130</f>
        <v>0</v>
      </c>
      <c r="D53" s="664">
        <f>'27._önkorm_államig'!D130</f>
        <v>0</v>
      </c>
      <c r="E53" s="578">
        <f>'27._önkorm_államig'!E130</f>
        <v>0</v>
      </c>
      <c r="F53" s="578">
        <f>'27._önkorm_államig'!F130</f>
        <v>0</v>
      </c>
      <c r="G53" s="578">
        <f>'27._önkorm_államig'!G130</f>
        <v>0</v>
      </c>
      <c r="H53" s="528">
        <f t="shared" si="2"/>
        <v>0</v>
      </c>
      <c r="I53" s="672">
        <f>'27._önkorm_államig'!I130</f>
        <v>0</v>
      </c>
      <c r="J53" s="528">
        <f>'27._önkorm_államig'!J130</f>
        <v>0</v>
      </c>
      <c r="K53" s="528">
        <f>'27._önkorm_államig'!K130</f>
        <v>0</v>
      </c>
      <c r="L53" s="528">
        <f>'27._önkorm_államig'!L130</f>
        <v>0</v>
      </c>
    </row>
    <row r="54" spans="1:19" ht="12.2" customHeight="1" thickBot="1" x14ac:dyDescent="0.25">
      <c r="A54" s="14" t="s">
        <v>18</v>
      </c>
      <c r="B54" s="56" t="s">
        <v>544</v>
      </c>
      <c r="C54" s="1083">
        <f>+C40+C44+C48</f>
        <v>0</v>
      </c>
      <c r="D54" s="665">
        <f t="shared" ref="D54:K54" si="21">+D40+D44+D48</f>
        <v>0</v>
      </c>
      <c r="E54" s="580">
        <f t="shared" si="21"/>
        <v>0</v>
      </c>
      <c r="F54" s="580">
        <f t="shared" si="21"/>
        <v>0</v>
      </c>
      <c r="G54" s="580">
        <f t="shared" si="21"/>
        <v>0</v>
      </c>
      <c r="H54" s="271">
        <f t="shared" si="2"/>
        <v>0</v>
      </c>
      <c r="I54" s="1084">
        <f t="shared" si="21"/>
        <v>0</v>
      </c>
      <c r="J54" s="271">
        <f t="shared" si="21"/>
        <v>0</v>
      </c>
      <c r="K54" s="271">
        <f t="shared" si="21"/>
        <v>0</v>
      </c>
      <c r="L54" s="271">
        <f t="shared" ref="L54" si="22">+L40+L44+L48</f>
        <v>0</v>
      </c>
    </row>
    <row r="55" spans="1:19" s="562" customFormat="1" ht="15" customHeight="1" thickBot="1" x14ac:dyDescent="0.25">
      <c r="A55" s="80" t="s">
        <v>19</v>
      </c>
      <c r="B55" s="561" t="s">
        <v>543</v>
      </c>
      <c r="C55" s="1024">
        <f>+C39+C54</f>
        <v>607901317</v>
      </c>
      <c r="D55" s="349">
        <f t="shared" ref="D55:K55" si="23">+D39+D54</f>
        <v>623769683</v>
      </c>
      <c r="E55" s="579">
        <f t="shared" si="23"/>
        <v>700633611</v>
      </c>
      <c r="F55" s="579">
        <f t="shared" si="23"/>
        <v>691582447</v>
      </c>
      <c r="G55" s="579">
        <f t="shared" si="23"/>
        <v>2285982</v>
      </c>
      <c r="H55" s="560">
        <f>+E55-D55</f>
        <v>76863928</v>
      </c>
      <c r="I55" s="673">
        <f t="shared" si="23"/>
        <v>0</v>
      </c>
      <c r="J55" s="560">
        <f t="shared" si="23"/>
        <v>472145260</v>
      </c>
      <c r="K55" s="560">
        <f t="shared" si="23"/>
        <v>0</v>
      </c>
      <c r="L55" s="560" t="e">
        <f t="shared" ref="L55" si="24">+L39+L54</f>
        <v>#VALUE!</v>
      </c>
      <c r="N55" s="562" t="b">
        <f>H55='26._államig_össz_bev'!H84</f>
        <v>1</v>
      </c>
      <c r="O55" s="1375">
        <f>H55-'26._államig_össz_bev'!H84</f>
        <v>0</v>
      </c>
    </row>
    <row r="56" spans="1:19" ht="13.5" thickBot="1" x14ac:dyDescent="0.25">
      <c r="A56" s="529"/>
      <c r="B56" s="530"/>
      <c r="C56" s="531"/>
      <c r="D56" s="594"/>
      <c r="E56" s="531"/>
      <c r="F56" s="531"/>
      <c r="G56" s="531"/>
      <c r="H56" s="594"/>
      <c r="I56" s="594"/>
      <c r="J56" s="594"/>
      <c r="K56" s="594"/>
      <c r="L56" s="594"/>
    </row>
    <row r="57" spans="1:19" ht="15.75" customHeight="1" thickBot="1" x14ac:dyDescent="0.25">
      <c r="A57" s="69" t="s">
        <v>292</v>
      </c>
      <c r="B57" s="533"/>
      <c r="C57" s="136">
        <f>'27._önkorm_államig'!C134+'28._Int.össz_államig'!C71</f>
        <v>70</v>
      </c>
      <c r="D57" s="635">
        <f>'27._önkorm_államig'!D134+'28._Int.össz_államig'!D71</f>
        <v>70</v>
      </c>
      <c r="E57" s="520">
        <f>'27._önkorm_államig'!E134+'28._Int.össz_államig'!E71</f>
        <v>70</v>
      </c>
      <c r="F57" s="520">
        <f>'27._önkorm_államig'!F134+'28._Int.össz_államig'!F71</f>
        <v>70</v>
      </c>
      <c r="G57" s="520">
        <f>'27._önkorm_államig'!G134+'28._Int.össz_államig'!G71</f>
        <v>0</v>
      </c>
      <c r="H57" s="174">
        <f t="shared" si="2"/>
        <v>0</v>
      </c>
      <c r="I57" s="174">
        <f>'27._önkorm_államig'!I134+'28._Int.össz_államig'!I71</f>
        <v>0</v>
      </c>
      <c r="J57" s="174">
        <f>'27._önkorm_államig'!J134+'28._Int.össz_államig'!J71</f>
        <v>64</v>
      </c>
      <c r="K57" s="174">
        <f>'27._önkorm_államig'!K134+'28._Int.össz_államig'!K71</f>
        <v>0</v>
      </c>
      <c r="L57" s="174">
        <f>'27._önkorm_államig'!L134+'28._Int.össz_államig'!L71</f>
        <v>91.428571428571431</v>
      </c>
    </row>
    <row r="58" spans="1:19" ht="14.25" hidden="1" customHeight="1" thickBot="1" x14ac:dyDescent="0.25">
      <c r="A58" s="69" t="s">
        <v>291</v>
      </c>
      <c r="B58" s="533"/>
      <c r="C58" s="609">
        <f>'27._önkorm_államig'!C135+'28._Int.össz_államig'!C72</f>
        <v>0</v>
      </c>
      <c r="D58" s="639">
        <f>'27._önkorm_államig'!D135+'28._Int.össz_államig'!D72</f>
        <v>0</v>
      </c>
      <c r="E58" s="607">
        <f>'27._önkorm_államig'!E135+'28._Int.össz_államig'!E72</f>
        <v>0</v>
      </c>
      <c r="F58" s="607">
        <f>'27._önkorm_államig'!F135+'28._Int.össz_államig'!F72</f>
        <v>0</v>
      </c>
      <c r="G58" s="607">
        <f>'27._önkorm_államig'!G135+'28._Int.össz_államig'!G72</f>
        <v>0</v>
      </c>
      <c r="H58" s="607">
        <f t="shared" ref="H58" si="25">+D58-C58</f>
        <v>0</v>
      </c>
      <c r="I58" s="609">
        <f>'27._önkorm_államig'!I135+'28._Int.össz_államig'!I72</f>
        <v>0</v>
      </c>
      <c r="J58" s="609">
        <f>'27._önkorm_államig'!J135+'28._Int.össz_államig'!J72</f>
        <v>0</v>
      </c>
      <c r="K58" s="609">
        <f>'27._önkorm_államig'!K135+'28._Int.össz_államig'!K72</f>
        <v>0</v>
      </c>
      <c r="L58" s="609">
        <f>'27._önkorm_államig'!L135+'28._Int.össz_államig'!L72</f>
        <v>0</v>
      </c>
    </row>
    <row r="59" spans="1:19" x14ac:dyDescent="0.2">
      <c r="H59" s="27" t="s">
        <v>734</v>
      </c>
      <c r="I59" s="27"/>
      <c r="J59" s="27"/>
      <c r="K59" s="27"/>
      <c r="L59" s="27"/>
    </row>
  </sheetData>
  <sheetProtection formatCells="0"/>
  <mergeCells count="6">
    <mergeCell ref="A8:D8"/>
    <mergeCell ref="A1:H1"/>
    <mergeCell ref="A2:H2"/>
    <mergeCell ref="A4:H4"/>
    <mergeCell ref="A5:H5"/>
    <mergeCell ref="A6:H6"/>
  </mergeCells>
  <printOptions horizontalCentered="1"/>
  <pageMargins left="0.39370078740157483" right="0.39370078740157483" top="0.78740157480314965" bottom="0.39370078740157483" header="0.78740157480314965" footer="0.78740157480314965"/>
  <pageSetup paperSize="9" scale="80" orientation="portrait" r:id="rId1"/>
  <headerFooter alignWithMargins="0"/>
  <colBreaks count="1" manualBreakCount="1">
    <brk id="8" max="58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137"/>
  <sheetViews>
    <sheetView view="pageBreakPreview" zoomScale="136" zoomScaleNormal="100" zoomScaleSheetLayoutView="136" workbookViewId="0">
      <selection activeCell="A2" sqref="A2:H2"/>
    </sheetView>
  </sheetViews>
  <sheetFormatPr defaultRowHeight="12.75" x14ac:dyDescent="0.2"/>
  <cols>
    <col min="1" max="1" width="14.1640625" style="81" customWidth="1"/>
    <col min="2" max="2" width="67.6640625" style="82" customWidth="1"/>
    <col min="3" max="3" width="15" style="83" customWidth="1"/>
    <col min="4" max="4" width="15.1640625" style="83" customWidth="1"/>
    <col min="5" max="5" width="15.33203125" style="83" customWidth="1"/>
    <col min="6" max="7" width="16.6640625" style="83" hidden="1" customWidth="1"/>
    <col min="8" max="8" width="14.83203125" style="83" customWidth="1"/>
    <col min="9" max="11" width="14.83203125" style="83" hidden="1" customWidth="1"/>
    <col min="12" max="12" width="16.33203125" style="83" hidden="1" customWidth="1"/>
    <col min="13" max="14" width="9.33203125" style="25"/>
    <col min="15" max="15" width="13" style="25" customWidth="1"/>
    <col min="16" max="16" width="15.6640625" style="25" customWidth="1"/>
    <col min="17" max="17" width="17.33203125" style="25" bestFit="1" customWidth="1"/>
    <col min="18" max="261" width="9.33203125" style="25"/>
    <col min="262" max="262" width="19.5" style="25" customWidth="1"/>
    <col min="263" max="263" width="71.33203125" style="25" customWidth="1"/>
    <col min="264" max="264" width="21.5" style="25" customWidth="1"/>
    <col min="265" max="265" width="9.33203125" style="25" customWidth="1"/>
    <col min="266" max="517" width="9.33203125" style="25"/>
    <col min="518" max="518" width="19.5" style="25" customWidth="1"/>
    <col min="519" max="519" width="71.33203125" style="25" customWidth="1"/>
    <col min="520" max="520" width="21.5" style="25" customWidth="1"/>
    <col min="521" max="521" width="9.33203125" style="25" customWidth="1"/>
    <col min="522" max="773" width="9.33203125" style="25"/>
    <col min="774" max="774" width="19.5" style="25" customWidth="1"/>
    <col min="775" max="775" width="71.33203125" style="25" customWidth="1"/>
    <col min="776" max="776" width="21.5" style="25" customWidth="1"/>
    <col min="777" max="777" width="9.33203125" style="25" customWidth="1"/>
    <col min="778" max="1029" width="9.33203125" style="25"/>
    <col min="1030" max="1030" width="19.5" style="25" customWidth="1"/>
    <col min="1031" max="1031" width="71.33203125" style="25" customWidth="1"/>
    <col min="1032" max="1032" width="21.5" style="25" customWidth="1"/>
    <col min="1033" max="1033" width="9.33203125" style="25" customWidth="1"/>
    <col min="1034" max="1285" width="9.33203125" style="25"/>
    <col min="1286" max="1286" width="19.5" style="25" customWidth="1"/>
    <col min="1287" max="1287" width="71.33203125" style="25" customWidth="1"/>
    <col min="1288" max="1288" width="21.5" style="25" customWidth="1"/>
    <col min="1289" max="1289" width="9.33203125" style="25" customWidth="1"/>
    <col min="1290" max="1541" width="9.33203125" style="25"/>
    <col min="1542" max="1542" width="19.5" style="25" customWidth="1"/>
    <col min="1543" max="1543" width="71.33203125" style="25" customWidth="1"/>
    <col min="1544" max="1544" width="21.5" style="25" customWidth="1"/>
    <col min="1545" max="1545" width="9.33203125" style="25" customWidth="1"/>
    <col min="1546" max="1797" width="9.33203125" style="25"/>
    <col min="1798" max="1798" width="19.5" style="25" customWidth="1"/>
    <col min="1799" max="1799" width="71.33203125" style="25" customWidth="1"/>
    <col min="1800" max="1800" width="21.5" style="25" customWidth="1"/>
    <col min="1801" max="1801" width="9.33203125" style="25" customWidth="1"/>
    <col min="1802" max="2053" width="9.33203125" style="25"/>
    <col min="2054" max="2054" width="19.5" style="25" customWidth="1"/>
    <col min="2055" max="2055" width="71.33203125" style="25" customWidth="1"/>
    <col min="2056" max="2056" width="21.5" style="25" customWidth="1"/>
    <col min="2057" max="2057" width="9.33203125" style="25" customWidth="1"/>
    <col min="2058" max="2309" width="9.33203125" style="25"/>
    <col min="2310" max="2310" width="19.5" style="25" customWidth="1"/>
    <col min="2311" max="2311" width="71.33203125" style="25" customWidth="1"/>
    <col min="2312" max="2312" width="21.5" style="25" customWidth="1"/>
    <col min="2313" max="2313" width="9.33203125" style="25" customWidth="1"/>
    <col min="2314" max="2565" width="9.33203125" style="25"/>
    <col min="2566" max="2566" width="19.5" style="25" customWidth="1"/>
    <col min="2567" max="2567" width="71.33203125" style="25" customWidth="1"/>
    <col min="2568" max="2568" width="21.5" style="25" customWidth="1"/>
    <col min="2569" max="2569" width="9.33203125" style="25" customWidth="1"/>
    <col min="2570" max="2821" width="9.33203125" style="25"/>
    <col min="2822" max="2822" width="19.5" style="25" customWidth="1"/>
    <col min="2823" max="2823" width="71.33203125" style="25" customWidth="1"/>
    <col min="2824" max="2824" width="21.5" style="25" customWidth="1"/>
    <col min="2825" max="2825" width="9.33203125" style="25" customWidth="1"/>
    <col min="2826" max="3077" width="9.33203125" style="25"/>
    <col min="3078" max="3078" width="19.5" style="25" customWidth="1"/>
    <col min="3079" max="3079" width="71.33203125" style="25" customWidth="1"/>
    <col min="3080" max="3080" width="21.5" style="25" customWidth="1"/>
    <col min="3081" max="3081" width="9.33203125" style="25" customWidth="1"/>
    <col min="3082" max="3333" width="9.33203125" style="25"/>
    <col min="3334" max="3334" width="19.5" style="25" customWidth="1"/>
    <col min="3335" max="3335" width="71.33203125" style="25" customWidth="1"/>
    <col min="3336" max="3336" width="21.5" style="25" customWidth="1"/>
    <col min="3337" max="3337" width="9.33203125" style="25" customWidth="1"/>
    <col min="3338" max="3589" width="9.33203125" style="25"/>
    <col min="3590" max="3590" width="19.5" style="25" customWidth="1"/>
    <col min="3591" max="3591" width="71.33203125" style="25" customWidth="1"/>
    <col min="3592" max="3592" width="21.5" style="25" customWidth="1"/>
    <col min="3593" max="3593" width="9.33203125" style="25" customWidth="1"/>
    <col min="3594" max="3845" width="9.33203125" style="25"/>
    <col min="3846" max="3846" width="19.5" style="25" customWidth="1"/>
    <col min="3847" max="3847" width="71.33203125" style="25" customWidth="1"/>
    <col min="3848" max="3848" width="21.5" style="25" customWidth="1"/>
    <col min="3849" max="3849" width="9.33203125" style="25" customWidth="1"/>
    <col min="3850" max="4101" width="9.33203125" style="25"/>
    <col min="4102" max="4102" width="19.5" style="25" customWidth="1"/>
    <col min="4103" max="4103" width="71.33203125" style="25" customWidth="1"/>
    <col min="4104" max="4104" width="21.5" style="25" customWidth="1"/>
    <col min="4105" max="4105" width="9.33203125" style="25" customWidth="1"/>
    <col min="4106" max="4357" width="9.33203125" style="25"/>
    <col min="4358" max="4358" width="19.5" style="25" customWidth="1"/>
    <col min="4359" max="4359" width="71.33203125" style="25" customWidth="1"/>
    <col min="4360" max="4360" width="21.5" style="25" customWidth="1"/>
    <col min="4361" max="4361" width="9.33203125" style="25" customWidth="1"/>
    <col min="4362" max="4613" width="9.33203125" style="25"/>
    <col min="4614" max="4614" width="19.5" style="25" customWidth="1"/>
    <col min="4615" max="4615" width="71.33203125" style="25" customWidth="1"/>
    <col min="4616" max="4616" width="21.5" style="25" customWidth="1"/>
    <col min="4617" max="4617" width="9.33203125" style="25" customWidth="1"/>
    <col min="4618" max="4869" width="9.33203125" style="25"/>
    <col min="4870" max="4870" width="19.5" style="25" customWidth="1"/>
    <col min="4871" max="4871" width="71.33203125" style="25" customWidth="1"/>
    <col min="4872" max="4872" width="21.5" style="25" customWidth="1"/>
    <col min="4873" max="4873" width="9.33203125" style="25" customWidth="1"/>
    <col min="4874" max="5125" width="9.33203125" style="25"/>
    <col min="5126" max="5126" width="19.5" style="25" customWidth="1"/>
    <col min="5127" max="5127" width="71.33203125" style="25" customWidth="1"/>
    <col min="5128" max="5128" width="21.5" style="25" customWidth="1"/>
    <col min="5129" max="5129" width="9.33203125" style="25" customWidth="1"/>
    <col min="5130" max="5381" width="9.33203125" style="25"/>
    <col min="5382" max="5382" width="19.5" style="25" customWidth="1"/>
    <col min="5383" max="5383" width="71.33203125" style="25" customWidth="1"/>
    <col min="5384" max="5384" width="21.5" style="25" customWidth="1"/>
    <col min="5385" max="5385" width="9.33203125" style="25" customWidth="1"/>
    <col min="5386" max="5637" width="9.33203125" style="25"/>
    <col min="5638" max="5638" width="19.5" style="25" customWidth="1"/>
    <col min="5639" max="5639" width="71.33203125" style="25" customWidth="1"/>
    <col min="5640" max="5640" width="21.5" style="25" customWidth="1"/>
    <col min="5641" max="5641" width="9.33203125" style="25" customWidth="1"/>
    <col min="5642" max="5893" width="9.33203125" style="25"/>
    <col min="5894" max="5894" width="19.5" style="25" customWidth="1"/>
    <col min="5895" max="5895" width="71.33203125" style="25" customWidth="1"/>
    <col min="5896" max="5896" width="21.5" style="25" customWidth="1"/>
    <col min="5897" max="5897" width="9.33203125" style="25" customWidth="1"/>
    <col min="5898" max="6149" width="9.33203125" style="25"/>
    <col min="6150" max="6150" width="19.5" style="25" customWidth="1"/>
    <col min="6151" max="6151" width="71.33203125" style="25" customWidth="1"/>
    <col min="6152" max="6152" width="21.5" style="25" customWidth="1"/>
    <col min="6153" max="6153" width="9.33203125" style="25" customWidth="1"/>
    <col min="6154" max="6405" width="9.33203125" style="25"/>
    <col min="6406" max="6406" width="19.5" style="25" customWidth="1"/>
    <col min="6407" max="6407" width="71.33203125" style="25" customWidth="1"/>
    <col min="6408" max="6408" width="21.5" style="25" customWidth="1"/>
    <col min="6409" max="6409" width="9.33203125" style="25" customWidth="1"/>
    <col min="6410" max="6661" width="9.33203125" style="25"/>
    <col min="6662" max="6662" width="19.5" style="25" customWidth="1"/>
    <col min="6663" max="6663" width="71.33203125" style="25" customWidth="1"/>
    <col min="6664" max="6664" width="21.5" style="25" customWidth="1"/>
    <col min="6665" max="6665" width="9.33203125" style="25" customWidth="1"/>
    <col min="6666" max="6917" width="9.33203125" style="25"/>
    <col min="6918" max="6918" width="19.5" style="25" customWidth="1"/>
    <col min="6919" max="6919" width="71.33203125" style="25" customWidth="1"/>
    <col min="6920" max="6920" width="21.5" style="25" customWidth="1"/>
    <col min="6921" max="6921" width="9.33203125" style="25" customWidth="1"/>
    <col min="6922" max="7173" width="9.33203125" style="25"/>
    <col min="7174" max="7174" width="19.5" style="25" customWidth="1"/>
    <col min="7175" max="7175" width="71.33203125" style="25" customWidth="1"/>
    <col min="7176" max="7176" width="21.5" style="25" customWidth="1"/>
    <col min="7177" max="7177" width="9.33203125" style="25" customWidth="1"/>
    <col min="7178" max="7429" width="9.33203125" style="25"/>
    <col min="7430" max="7430" width="19.5" style="25" customWidth="1"/>
    <col min="7431" max="7431" width="71.33203125" style="25" customWidth="1"/>
    <col min="7432" max="7432" width="21.5" style="25" customWidth="1"/>
    <col min="7433" max="7433" width="9.33203125" style="25" customWidth="1"/>
    <col min="7434" max="7685" width="9.33203125" style="25"/>
    <col min="7686" max="7686" width="19.5" style="25" customWidth="1"/>
    <col min="7687" max="7687" width="71.33203125" style="25" customWidth="1"/>
    <col min="7688" max="7688" width="21.5" style="25" customWidth="1"/>
    <col min="7689" max="7689" width="9.33203125" style="25" customWidth="1"/>
    <col min="7690" max="7941" width="9.33203125" style="25"/>
    <col min="7942" max="7942" width="19.5" style="25" customWidth="1"/>
    <col min="7943" max="7943" width="71.33203125" style="25" customWidth="1"/>
    <col min="7944" max="7944" width="21.5" style="25" customWidth="1"/>
    <col min="7945" max="7945" width="9.33203125" style="25" customWidth="1"/>
    <col min="7946" max="8197" width="9.33203125" style="25"/>
    <col min="8198" max="8198" width="19.5" style="25" customWidth="1"/>
    <col min="8199" max="8199" width="71.33203125" style="25" customWidth="1"/>
    <col min="8200" max="8200" width="21.5" style="25" customWidth="1"/>
    <col min="8201" max="8201" width="9.33203125" style="25" customWidth="1"/>
    <col min="8202" max="8453" width="9.33203125" style="25"/>
    <col min="8454" max="8454" width="19.5" style="25" customWidth="1"/>
    <col min="8455" max="8455" width="71.33203125" style="25" customWidth="1"/>
    <col min="8456" max="8456" width="21.5" style="25" customWidth="1"/>
    <col min="8457" max="8457" width="9.33203125" style="25" customWidth="1"/>
    <col min="8458" max="8709" width="9.33203125" style="25"/>
    <col min="8710" max="8710" width="19.5" style="25" customWidth="1"/>
    <col min="8711" max="8711" width="71.33203125" style="25" customWidth="1"/>
    <col min="8712" max="8712" width="21.5" style="25" customWidth="1"/>
    <col min="8713" max="8713" width="9.33203125" style="25" customWidth="1"/>
    <col min="8714" max="8965" width="9.33203125" style="25"/>
    <col min="8966" max="8966" width="19.5" style="25" customWidth="1"/>
    <col min="8967" max="8967" width="71.33203125" style="25" customWidth="1"/>
    <col min="8968" max="8968" width="21.5" style="25" customWidth="1"/>
    <col min="8969" max="8969" width="9.33203125" style="25" customWidth="1"/>
    <col min="8970" max="9221" width="9.33203125" style="25"/>
    <col min="9222" max="9222" width="19.5" style="25" customWidth="1"/>
    <col min="9223" max="9223" width="71.33203125" style="25" customWidth="1"/>
    <col min="9224" max="9224" width="21.5" style="25" customWidth="1"/>
    <col min="9225" max="9225" width="9.33203125" style="25" customWidth="1"/>
    <col min="9226" max="9477" width="9.33203125" style="25"/>
    <col min="9478" max="9478" width="19.5" style="25" customWidth="1"/>
    <col min="9479" max="9479" width="71.33203125" style="25" customWidth="1"/>
    <col min="9480" max="9480" width="21.5" style="25" customWidth="1"/>
    <col min="9481" max="9481" width="9.33203125" style="25" customWidth="1"/>
    <col min="9482" max="9733" width="9.33203125" style="25"/>
    <col min="9734" max="9734" width="19.5" style="25" customWidth="1"/>
    <col min="9735" max="9735" width="71.33203125" style="25" customWidth="1"/>
    <col min="9736" max="9736" width="21.5" style="25" customWidth="1"/>
    <col min="9737" max="9737" width="9.33203125" style="25" customWidth="1"/>
    <col min="9738" max="9989" width="9.33203125" style="25"/>
    <col min="9990" max="9990" width="19.5" style="25" customWidth="1"/>
    <col min="9991" max="9991" width="71.33203125" style="25" customWidth="1"/>
    <col min="9992" max="9992" width="21.5" style="25" customWidth="1"/>
    <col min="9993" max="9993" width="9.33203125" style="25" customWidth="1"/>
    <col min="9994" max="10245" width="9.33203125" style="25"/>
    <col min="10246" max="10246" width="19.5" style="25" customWidth="1"/>
    <col min="10247" max="10247" width="71.33203125" style="25" customWidth="1"/>
    <col min="10248" max="10248" width="21.5" style="25" customWidth="1"/>
    <col min="10249" max="10249" width="9.33203125" style="25" customWidth="1"/>
    <col min="10250" max="10501" width="9.33203125" style="25"/>
    <col min="10502" max="10502" width="19.5" style="25" customWidth="1"/>
    <col min="10503" max="10503" width="71.33203125" style="25" customWidth="1"/>
    <col min="10504" max="10504" width="21.5" style="25" customWidth="1"/>
    <col min="10505" max="10505" width="9.33203125" style="25" customWidth="1"/>
    <col min="10506" max="10757" width="9.33203125" style="25"/>
    <col min="10758" max="10758" width="19.5" style="25" customWidth="1"/>
    <col min="10759" max="10759" width="71.33203125" style="25" customWidth="1"/>
    <col min="10760" max="10760" width="21.5" style="25" customWidth="1"/>
    <col min="10761" max="10761" width="9.33203125" style="25" customWidth="1"/>
    <col min="10762" max="11013" width="9.33203125" style="25"/>
    <col min="11014" max="11014" width="19.5" style="25" customWidth="1"/>
    <col min="11015" max="11015" width="71.33203125" style="25" customWidth="1"/>
    <col min="11016" max="11016" width="21.5" style="25" customWidth="1"/>
    <col min="11017" max="11017" width="9.33203125" style="25" customWidth="1"/>
    <col min="11018" max="11269" width="9.33203125" style="25"/>
    <col min="11270" max="11270" width="19.5" style="25" customWidth="1"/>
    <col min="11271" max="11271" width="71.33203125" style="25" customWidth="1"/>
    <col min="11272" max="11272" width="21.5" style="25" customWidth="1"/>
    <col min="11273" max="11273" width="9.33203125" style="25" customWidth="1"/>
    <col min="11274" max="11525" width="9.33203125" style="25"/>
    <col min="11526" max="11526" width="19.5" style="25" customWidth="1"/>
    <col min="11527" max="11527" width="71.33203125" style="25" customWidth="1"/>
    <col min="11528" max="11528" width="21.5" style="25" customWidth="1"/>
    <col min="11529" max="11529" width="9.33203125" style="25" customWidth="1"/>
    <col min="11530" max="11781" width="9.33203125" style="25"/>
    <col min="11782" max="11782" width="19.5" style="25" customWidth="1"/>
    <col min="11783" max="11783" width="71.33203125" style="25" customWidth="1"/>
    <col min="11784" max="11784" width="21.5" style="25" customWidth="1"/>
    <col min="11785" max="11785" width="9.33203125" style="25" customWidth="1"/>
    <col min="11786" max="12037" width="9.33203125" style="25"/>
    <col min="12038" max="12038" width="19.5" style="25" customWidth="1"/>
    <col min="12039" max="12039" width="71.33203125" style="25" customWidth="1"/>
    <col min="12040" max="12040" width="21.5" style="25" customWidth="1"/>
    <col min="12041" max="12041" width="9.33203125" style="25" customWidth="1"/>
    <col min="12042" max="12293" width="9.33203125" style="25"/>
    <col min="12294" max="12294" width="19.5" style="25" customWidth="1"/>
    <col min="12295" max="12295" width="71.33203125" style="25" customWidth="1"/>
    <col min="12296" max="12296" width="21.5" style="25" customWidth="1"/>
    <col min="12297" max="12297" width="9.33203125" style="25" customWidth="1"/>
    <col min="12298" max="12549" width="9.33203125" style="25"/>
    <col min="12550" max="12550" width="19.5" style="25" customWidth="1"/>
    <col min="12551" max="12551" width="71.33203125" style="25" customWidth="1"/>
    <col min="12552" max="12552" width="21.5" style="25" customWidth="1"/>
    <col min="12553" max="12553" width="9.33203125" style="25" customWidth="1"/>
    <col min="12554" max="12805" width="9.33203125" style="25"/>
    <col min="12806" max="12806" width="19.5" style="25" customWidth="1"/>
    <col min="12807" max="12807" width="71.33203125" style="25" customWidth="1"/>
    <col min="12808" max="12808" width="21.5" style="25" customWidth="1"/>
    <col min="12809" max="12809" width="9.33203125" style="25" customWidth="1"/>
    <col min="12810" max="13061" width="9.33203125" style="25"/>
    <col min="13062" max="13062" width="19.5" style="25" customWidth="1"/>
    <col min="13063" max="13063" width="71.33203125" style="25" customWidth="1"/>
    <col min="13064" max="13064" width="21.5" style="25" customWidth="1"/>
    <col min="13065" max="13065" width="9.33203125" style="25" customWidth="1"/>
    <col min="13066" max="13317" width="9.33203125" style="25"/>
    <col min="13318" max="13318" width="19.5" style="25" customWidth="1"/>
    <col min="13319" max="13319" width="71.33203125" style="25" customWidth="1"/>
    <col min="13320" max="13320" width="21.5" style="25" customWidth="1"/>
    <col min="13321" max="13321" width="9.33203125" style="25" customWidth="1"/>
    <col min="13322" max="13573" width="9.33203125" style="25"/>
    <col min="13574" max="13574" width="19.5" style="25" customWidth="1"/>
    <col min="13575" max="13575" width="71.33203125" style="25" customWidth="1"/>
    <col min="13576" max="13576" width="21.5" style="25" customWidth="1"/>
    <col min="13577" max="13577" width="9.33203125" style="25" customWidth="1"/>
    <col min="13578" max="13829" width="9.33203125" style="25"/>
    <col min="13830" max="13830" width="19.5" style="25" customWidth="1"/>
    <col min="13831" max="13831" width="71.33203125" style="25" customWidth="1"/>
    <col min="13832" max="13832" width="21.5" style="25" customWidth="1"/>
    <col min="13833" max="13833" width="9.33203125" style="25" customWidth="1"/>
    <col min="13834" max="14085" width="9.33203125" style="25"/>
    <col min="14086" max="14086" width="19.5" style="25" customWidth="1"/>
    <col min="14087" max="14087" width="71.33203125" style="25" customWidth="1"/>
    <col min="14088" max="14088" width="21.5" style="25" customWidth="1"/>
    <col min="14089" max="14089" width="9.33203125" style="25" customWidth="1"/>
    <col min="14090" max="14341" width="9.33203125" style="25"/>
    <col min="14342" max="14342" width="19.5" style="25" customWidth="1"/>
    <col min="14343" max="14343" width="71.33203125" style="25" customWidth="1"/>
    <col min="14344" max="14344" width="21.5" style="25" customWidth="1"/>
    <col min="14345" max="14345" width="9.33203125" style="25" customWidth="1"/>
    <col min="14346" max="14597" width="9.33203125" style="25"/>
    <col min="14598" max="14598" width="19.5" style="25" customWidth="1"/>
    <col min="14599" max="14599" width="71.33203125" style="25" customWidth="1"/>
    <col min="14600" max="14600" width="21.5" style="25" customWidth="1"/>
    <col min="14601" max="14601" width="9.33203125" style="25" customWidth="1"/>
    <col min="14602" max="14853" width="9.33203125" style="25"/>
    <col min="14854" max="14854" width="19.5" style="25" customWidth="1"/>
    <col min="14855" max="14855" width="71.33203125" style="25" customWidth="1"/>
    <col min="14856" max="14856" width="21.5" style="25" customWidth="1"/>
    <col min="14857" max="14857" width="9.33203125" style="25" customWidth="1"/>
    <col min="14858" max="15109" width="9.33203125" style="25"/>
    <col min="15110" max="15110" width="19.5" style="25" customWidth="1"/>
    <col min="15111" max="15111" width="71.33203125" style="25" customWidth="1"/>
    <col min="15112" max="15112" width="21.5" style="25" customWidth="1"/>
    <col min="15113" max="15113" width="9.33203125" style="25" customWidth="1"/>
    <col min="15114" max="15365" width="9.33203125" style="25"/>
    <col min="15366" max="15366" width="19.5" style="25" customWidth="1"/>
    <col min="15367" max="15367" width="71.33203125" style="25" customWidth="1"/>
    <col min="15368" max="15368" width="21.5" style="25" customWidth="1"/>
    <col min="15369" max="15369" width="9.33203125" style="25" customWidth="1"/>
    <col min="15370" max="15621" width="9.33203125" style="25"/>
    <col min="15622" max="15622" width="19.5" style="25" customWidth="1"/>
    <col min="15623" max="15623" width="71.33203125" style="25" customWidth="1"/>
    <col min="15624" max="15624" width="21.5" style="25" customWidth="1"/>
    <col min="15625" max="15625" width="9.33203125" style="25" customWidth="1"/>
    <col min="15626" max="15877" width="9.33203125" style="25"/>
    <col min="15878" max="15878" width="19.5" style="25" customWidth="1"/>
    <col min="15879" max="15879" width="71.33203125" style="25" customWidth="1"/>
    <col min="15880" max="15880" width="21.5" style="25" customWidth="1"/>
    <col min="15881" max="15881" width="9.33203125" style="25" customWidth="1"/>
    <col min="15882" max="16133" width="9.33203125" style="25"/>
    <col min="16134" max="16134" width="19.5" style="25" customWidth="1"/>
    <col min="16135" max="16135" width="71.33203125" style="25" customWidth="1"/>
    <col min="16136" max="16136" width="21.5" style="25" customWidth="1"/>
    <col min="16137" max="16137" width="9.33203125" style="25" customWidth="1"/>
    <col min="16138" max="16384" width="9.33203125" style="25"/>
  </cols>
  <sheetData>
    <row r="1" spans="1:12" x14ac:dyDescent="0.2">
      <c r="A1" s="1774" t="s">
        <v>804</v>
      </c>
      <c r="B1" s="1774"/>
      <c r="C1" s="1774"/>
      <c r="D1" s="1774"/>
      <c r="E1" s="1774"/>
      <c r="F1" s="1774"/>
      <c r="G1" s="1774"/>
      <c r="H1" s="1774"/>
      <c r="I1" s="25"/>
      <c r="J1" s="25"/>
      <c r="K1" s="25"/>
      <c r="L1" s="25"/>
    </row>
    <row r="2" spans="1:12" x14ac:dyDescent="0.2">
      <c r="A2" s="1774" t="s">
        <v>739</v>
      </c>
      <c r="B2" s="1774"/>
      <c r="C2" s="1774"/>
      <c r="D2" s="1774"/>
      <c r="E2" s="1774"/>
      <c r="F2" s="1774"/>
      <c r="G2" s="1774"/>
      <c r="H2" s="1774"/>
      <c r="I2" s="25"/>
      <c r="J2" s="25"/>
      <c r="K2" s="25"/>
      <c r="L2" s="25"/>
    </row>
    <row r="3" spans="1:12" ht="13.5" thickBot="1" x14ac:dyDescent="0.25">
      <c r="C3" s="167"/>
      <c r="D3" s="167"/>
      <c r="E3" s="167"/>
      <c r="F3" s="167"/>
      <c r="G3" s="167"/>
      <c r="H3" s="167"/>
      <c r="I3" s="167"/>
      <c r="J3" s="167"/>
      <c r="K3" s="167"/>
      <c r="L3" s="167"/>
    </row>
    <row r="4" spans="1:12" s="38" customFormat="1" ht="21.2" customHeight="1" x14ac:dyDescent="0.2">
      <c r="A4" s="36" t="s">
        <v>84</v>
      </c>
      <c r="B4" s="37" t="s">
        <v>9</v>
      </c>
      <c r="C4" s="1913" t="s">
        <v>141</v>
      </c>
      <c r="D4" s="1914"/>
      <c r="E4" s="1914"/>
      <c r="F4" s="1914"/>
      <c r="G4" s="1914"/>
      <c r="H4" s="1915"/>
    </row>
    <row r="5" spans="1:12" s="38" customFormat="1" ht="24.75" thickBot="1" x14ac:dyDescent="0.25">
      <c r="A5" s="39" t="s">
        <v>578</v>
      </c>
      <c r="B5" s="40" t="s">
        <v>402</v>
      </c>
      <c r="C5" s="1916">
        <v>1</v>
      </c>
      <c r="D5" s="1917"/>
      <c r="E5" s="1917"/>
      <c r="F5" s="1917"/>
      <c r="G5" s="1917"/>
      <c r="H5" s="1918"/>
    </row>
    <row r="6" spans="1:12" s="270" customFormat="1" ht="15.95" customHeight="1" thickBot="1" x14ac:dyDescent="0.3">
      <c r="A6" s="1919" t="s">
        <v>362</v>
      </c>
      <c r="B6" s="1919"/>
      <c r="C6" s="1919"/>
      <c r="D6" s="1919"/>
      <c r="E6" s="1919"/>
      <c r="F6" s="1919"/>
      <c r="G6" s="1919"/>
      <c r="H6" s="1920"/>
    </row>
    <row r="7" spans="1:12" ht="67.7" customHeight="1" thickBot="1" x14ac:dyDescent="0.25">
      <c r="A7" s="641" t="s">
        <v>142</v>
      </c>
      <c r="B7" s="642" t="s">
        <v>36</v>
      </c>
      <c r="C7" s="642" t="str">
        <f>'26._köt_össz_bev'!C9</f>
        <v>2023. évi eredeti előirányzat
2/2023. (II.14.)</v>
      </c>
      <c r="D7" s="191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179" t="str">
        <f>'26._köt_össz_bev'!L9</f>
        <v>Teljesítés %-a</v>
      </c>
    </row>
    <row r="8" spans="1:12" s="46" customFormat="1" ht="14.25" customHeight="1" thickBot="1" x14ac:dyDescent="0.25">
      <c r="A8" s="43" t="s">
        <v>297</v>
      </c>
      <c r="B8" s="44" t="s">
        <v>298</v>
      </c>
      <c r="C8" s="44" t="s">
        <v>299</v>
      </c>
      <c r="D8" s="182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8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46" customFormat="1" ht="12.2" customHeight="1" thickBot="1" x14ac:dyDescent="0.25">
      <c r="A10" s="14" t="s">
        <v>12</v>
      </c>
      <c r="B10" s="72" t="s">
        <v>622</v>
      </c>
      <c r="C10" s="113">
        <f>+C18+C19+C20+C21+C22</f>
        <v>1325699056</v>
      </c>
      <c r="D10" s="186">
        <f t="shared" ref="D10:K10" si="0">+D18+D19+D20+D21+D22</f>
        <v>1548430832</v>
      </c>
      <c r="E10" s="186">
        <f t="shared" ref="E10" si="1">+E18+E19+E20+E21+E22</f>
        <v>1605476814</v>
      </c>
      <c r="F10" s="566">
        <f t="shared" si="0"/>
        <v>1614153526</v>
      </c>
      <c r="G10" s="566">
        <f t="shared" si="0"/>
        <v>0</v>
      </c>
      <c r="H10" s="28">
        <f>+E10-D10</f>
        <v>57045982</v>
      </c>
      <c r="I10" s="628">
        <f t="shared" si="0"/>
        <v>0</v>
      </c>
      <c r="J10" s="28">
        <f t="shared" si="0"/>
        <v>1247875332</v>
      </c>
      <c r="K10" s="28">
        <f t="shared" si="0"/>
        <v>0</v>
      </c>
      <c r="L10" s="28" t="e">
        <f t="shared" ref="L10" si="2">+L18+L19+L20+L21+L22</f>
        <v>#VALUE!</v>
      </c>
    </row>
    <row r="11" spans="1:12" s="26" customFormat="1" ht="12.2" customHeight="1" x14ac:dyDescent="0.2">
      <c r="A11" s="12" t="s">
        <v>91</v>
      </c>
      <c r="B11" s="73" t="s">
        <v>188</v>
      </c>
      <c r="C11" s="114">
        <f>'4. mell.Önkorm'!C13-'27._önkorm_önként'!C12</f>
        <v>347696168</v>
      </c>
      <c r="D11" s="185">
        <f>'4. mell.Önkorm'!D13-'27._önkorm_önként'!D12</f>
        <v>359573768</v>
      </c>
      <c r="E11" s="185">
        <f>'4. mell.Önkorm'!E13-'27._önkorm_önként'!E12-'27._önkorm_államig'!E12</f>
        <v>359573768</v>
      </c>
      <c r="F11" s="567">
        <f>'4. mell.Önkorm'!F13-'27._önkorm_önként'!F12</f>
        <v>359573768</v>
      </c>
      <c r="G11" s="567">
        <f>'4. mell.Önkorm'!G13-'27._önkorm_önként'!G12</f>
        <v>0</v>
      </c>
      <c r="H11" s="16">
        <f t="shared" ref="H11:H74" si="3">+E11-D11</f>
        <v>0</v>
      </c>
      <c r="I11" s="626">
        <f>'4. mell.Önkorm'!I13-'27._önkorm_önként'!I12</f>
        <v>0</v>
      </c>
      <c r="J11" s="16">
        <f>'4. mell.Önkorm'!J13-'27._önkorm_önként'!J12</f>
        <v>273276053</v>
      </c>
      <c r="K11" s="16">
        <f>'4. mell.Önkorm'!K13-'27._önkorm_önként'!K12</f>
        <v>0</v>
      </c>
      <c r="L11" s="16">
        <f>'4. mell.Önkorm'!L13-'27._önkorm_önként'!L12</f>
        <v>75.999997029816697</v>
      </c>
    </row>
    <row r="12" spans="1:12" s="54" customFormat="1" ht="12.2" customHeight="1" x14ac:dyDescent="0.2">
      <c r="A12" s="1003" t="s">
        <v>92</v>
      </c>
      <c r="B12" s="345" t="s">
        <v>532</v>
      </c>
      <c r="C12" s="401">
        <f>'4. mell.Önkorm'!C14-'27._önkorm_önként'!C13</f>
        <v>377696960</v>
      </c>
      <c r="D12" s="325">
        <f>'4. mell.Önkorm'!D14-'27._önkorm_önként'!D13</f>
        <v>424643546</v>
      </c>
      <c r="E12" s="325">
        <f>'4. mell.Önkorm'!E14-'27._önkorm_önként'!E13-'27._önkorm_államig'!E13</f>
        <v>416324777</v>
      </c>
      <c r="F12" s="568">
        <f>'4. mell.Önkorm'!F14-'27._önkorm_önként'!F13</f>
        <v>416324777</v>
      </c>
      <c r="G12" s="568">
        <f>'4. mell.Önkorm'!G14-'27._önkorm_önként'!G13</f>
        <v>0</v>
      </c>
      <c r="H12" s="327">
        <f t="shared" si="3"/>
        <v>-8318769</v>
      </c>
      <c r="I12" s="627">
        <f>'4. mell.Önkorm'!I14-'27._önkorm_önként'!I13</f>
        <v>0</v>
      </c>
      <c r="J12" s="327">
        <f>'4. mell.Önkorm'!J14-'27._önkorm_önként'!J13</f>
        <v>318569711</v>
      </c>
      <c r="K12" s="327">
        <f>'4. mell.Önkorm'!K14-'27._önkorm_önként'!K13</f>
        <v>0</v>
      </c>
      <c r="L12" s="327">
        <f>'4. mell.Önkorm'!L14-'27._önkorm_önként'!L13</f>
        <v>76.519517597675915</v>
      </c>
    </row>
    <row r="13" spans="1:12" s="54" customFormat="1" ht="12.2" customHeight="1" x14ac:dyDescent="0.2">
      <c r="A13" s="1003" t="s">
        <v>93</v>
      </c>
      <c r="B13" s="345" t="s">
        <v>533</v>
      </c>
      <c r="C13" s="401">
        <f>'4. mell.Önkorm'!C15-'27._önkorm_önként'!C14</f>
        <v>400034324</v>
      </c>
      <c r="D13" s="325">
        <f>'4. mell.Önkorm'!D15-'27._önkorm_önként'!D14</f>
        <v>508238691</v>
      </c>
      <c r="E13" s="325">
        <f>'4. mell.Önkorm'!E15-'27._önkorm_önként'!E14-'27._önkorm_államig'!E14</f>
        <v>546489046</v>
      </c>
      <c r="F13" s="568">
        <f>'4. mell.Önkorm'!F15-'27._önkorm_önként'!F14</f>
        <v>555165758</v>
      </c>
      <c r="G13" s="568">
        <f>'4. mell.Önkorm'!G15-'27._önkorm_önként'!G14</f>
        <v>0</v>
      </c>
      <c r="H13" s="327">
        <f t="shared" si="3"/>
        <v>38250355</v>
      </c>
      <c r="I13" s="627">
        <f>'4. mell.Önkorm'!I15-'27._önkorm_önként'!I14</f>
        <v>0</v>
      </c>
      <c r="J13" s="327">
        <f>'4. mell.Önkorm'!J15-'27._önkorm_önként'!J14</f>
        <v>434866984</v>
      </c>
      <c r="K13" s="327">
        <f>'4. mell.Önkorm'!K15-'27._önkorm_önként'!K14</f>
        <v>0</v>
      </c>
      <c r="L13" s="327">
        <f>'4. mell.Önkorm'!L15-'27._önkorm_önként'!L14</f>
        <v>78.331016950076389</v>
      </c>
    </row>
    <row r="14" spans="1:12" s="54" customFormat="1" ht="12.2" customHeight="1" x14ac:dyDescent="0.2">
      <c r="A14" s="1003" t="s">
        <v>90</v>
      </c>
      <c r="B14" s="345" t="s">
        <v>534</v>
      </c>
      <c r="C14" s="401">
        <f>'4. mell.Önkorm'!C16-'27._önkorm_önként'!C16</f>
        <v>142059812</v>
      </c>
      <c r="D14" s="325">
        <f>'4. mell.Önkorm'!D16-'27._önkorm_önként'!D16</f>
        <v>149375054</v>
      </c>
      <c r="E14" s="325">
        <f>'4. mell.Önkorm'!E16-'27._önkorm_önként'!E15-'27._önkorm_államig'!E15</f>
        <v>161469787</v>
      </c>
      <c r="F14" s="568">
        <f>'4. mell.Önkorm'!F16-'27._önkorm_önként'!F16</f>
        <v>161469787</v>
      </c>
      <c r="G14" s="568">
        <f>'4. mell.Önkorm'!G16-'27._önkorm_önként'!G16</f>
        <v>0</v>
      </c>
      <c r="H14" s="327">
        <f t="shared" si="3"/>
        <v>12094733</v>
      </c>
      <c r="I14" s="627">
        <f>'4. mell.Önkorm'!I16-'27._önkorm_önként'!I16</f>
        <v>0</v>
      </c>
      <c r="J14" s="327">
        <f>'4. mell.Önkorm'!J16-'27._önkorm_önként'!J16</f>
        <v>119572409</v>
      </c>
      <c r="K14" s="327">
        <f>'4. mell.Önkorm'!K16-'27._önkorm_önként'!K16</f>
        <v>0</v>
      </c>
      <c r="L14" s="327">
        <f>'4. mell.Önkorm'!L16-'27._önkorm_önként'!L16</f>
        <v>74.052496892189495</v>
      </c>
    </row>
    <row r="15" spans="1:12" s="54" customFormat="1" ht="12.2" customHeight="1" x14ac:dyDescent="0.2">
      <c r="A15" s="1003" t="s">
        <v>147</v>
      </c>
      <c r="B15" s="345" t="s">
        <v>189</v>
      </c>
      <c r="C15" s="401">
        <f>'4. mell.Önkorm'!C17-'27._önkorm_önként'!C17</f>
        <v>33741611</v>
      </c>
      <c r="D15" s="325">
        <f>'4. mell.Önkorm'!D17-'27._önkorm_önként'!D17</f>
        <v>65030355</v>
      </c>
      <c r="E15" s="325">
        <f>'4. mell.Önkorm'!E17-'27._önkorm_önként'!E16-'27._önkorm_államig'!E16</f>
        <v>65030355</v>
      </c>
      <c r="F15" s="568">
        <f>'4. mell.Önkorm'!F17-'27._önkorm_önként'!F17</f>
        <v>65030355</v>
      </c>
      <c r="G15" s="568">
        <f>'4. mell.Önkorm'!G17-'27._önkorm_önként'!G17</f>
        <v>0</v>
      </c>
      <c r="H15" s="327">
        <f t="shared" si="3"/>
        <v>0</v>
      </c>
      <c r="I15" s="627">
        <f>'4. mell.Önkorm'!I17-'27._önkorm_önként'!I17</f>
        <v>0</v>
      </c>
      <c r="J15" s="327">
        <f>'4. mell.Önkorm'!J17-'27._önkorm_önként'!J17</f>
        <v>49423075</v>
      </c>
      <c r="K15" s="327">
        <f>'4. mell.Önkorm'!K17-'27._önkorm_önként'!K17</f>
        <v>0</v>
      </c>
      <c r="L15" s="327">
        <f>'4. mell.Önkorm'!L17-'27._önkorm_önként'!L17</f>
        <v>76.000007996265737</v>
      </c>
    </row>
    <row r="16" spans="1:12" s="54" customFormat="1" ht="12.2" customHeight="1" x14ac:dyDescent="0.2">
      <c r="A16" s="1005" t="s">
        <v>149</v>
      </c>
      <c r="B16" s="345" t="s">
        <v>271</v>
      </c>
      <c r="C16" s="401">
        <f>'4. mell.Önkorm'!C18-'27._önkorm_önként'!C18</f>
        <v>0</v>
      </c>
      <c r="D16" s="325">
        <f>'4. mell.Önkorm'!D18-'27._önkorm_önként'!D18</f>
        <v>0</v>
      </c>
      <c r="E16" s="325">
        <f>'4. mell.Önkorm'!E18-'27._önkorm_önként'!E17-'27._önkorm_államig'!E17</f>
        <v>0</v>
      </c>
      <c r="F16" s="568">
        <f>'4. mell.Önkorm'!F18-'27._önkorm_önként'!F18</f>
        <v>0</v>
      </c>
      <c r="G16" s="568">
        <f>'4. mell.Önkorm'!G18-'27._önkorm_önként'!G18</f>
        <v>0</v>
      </c>
      <c r="H16" s="327">
        <f t="shared" si="3"/>
        <v>0</v>
      </c>
      <c r="I16" s="627">
        <f>'4. mell.Önkorm'!I18-'27._önkorm_önként'!I18</f>
        <v>0</v>
      </c>
      <c r="J16" s="327">
        <f>'4. mell.Önkorm'!J18-'27._önkorm_önként'!J18</f>
        <v>0</v>
      </c>
      <c r="K16" s="327">
        <f>'4. mell.Önkorm'!K18-'27._önkorm_önként'!K18</f>
        <v>0</v>
      </c>
      <c r="L16" s="327" t="e">
        <f>'4. mell.Önkorm'!L18-'27._önkorm_önként'!L18</f>
        <v>#VALUE!</v>
      </c>
    </row>
    <row r="17" spans="1:14" s="26" customFormat="1" ht="12.75" customHeight="1" x14ac:dyDescent="0.2">
      <c r="A17" s="1005" t="s">
        <v>151</v>
      </c>
      <c r="B17" s="717" t="s">
        <v>272</v>
      </c>
      <c r="C17" s="401">
        <f>'4. mell.Önkorm'!C19-'27._önkorm_önként'!C19</f>
        <v>0</v>
      </c>
      <c r="D17" s="625">
        <f>'4. mell.Önkorm'!D19-'27._önkorm_önként'!D19</f>
        <v>0</v>
      </c>
      <c r="E17" s="625">
        <f>'4. mell.Önkorm'!E19-'27._önkorm_önként'!E18-'27._önkorm_államig'!E18</f>
        <v>15019663</v>
      </c>
      <c r="F17" s="569">
        <f>'4. mell.Önkorm'!F19-'27._önkorm_önként'!F19</f>
        <v>15019663</v>
      </c>
      <c r="G17" s="569">
        <f>'4. mell.Önkorm'!G19-'27._önkorm_önként'!G19</f>
        <v>0</v>
      </c>
      <c r="H17" s="525">
        <f t="shared" si="3"/>
        <v>15019663</v>
      </c>
      <c r="I17" s="629">
        <f>'4. mell.Önkorm'!I19-'27._önkorm_önként'!I19</f>
        <v>0</v>
      </c>
      <c r="J17" s="525">
        <f>'4. mell.Önkorm'!J19-'27._önkorm_önként'!J19</f>
        <v>15019663</v>
      </c>
      <c r="K17" s="525">
        <f>'4. mell.Önkorm'!K19-'27._önkorm_önként'!K19</f>
        <v>0</v>
      </c>
      <c r="L17" s="525">
        <f>'4. mell.Önkorm'!L19-'27._önkorm_önként'!L19</f>
        <v>100</v>
      </c>
    </row>
    <row r="18" spans="1:14" s="26" customFormat="1" ht="12.2" customHeight="1" x14ac:dyDescent="0.2">
      <c r="A18" s="1010" t="s">
        <v>153</v>
      </c>
      <c r="B18" s="687" t="s">
        <v>623</v>
      </c>
      <c r="C18" s="1374">
        <f>SUM(C11:C17)</f>
        <v>1301228875</v>
      </c>
      <c r="D18" s="1325">
        <f t="shared" ref="D18:K18" si="4">SUM(D11:D17)</f>
        <v>1506861414</v>
      </c>
      <c r="E18" s="1325">
        <f>'4. mell.Önkorm'!E20-'27._önkorm_önként'!E19-'27._önkorm_államig'!E19</f>
        <v>1563907396</v>
      </c>
      <c r="F18" s="1328">
        <f t="shared" si="4"/>
        <v>1572584108</v>
      </c>
      <c r="G18" s="1328">
        <f t="shared" si="4"/>
        <v>0</v>
      </c>
      <c r="H18" s="1330">
        <f t="shared" si="3"/>
        <v>57045982</v>
      </c>
      <c r="I18" s="826">
        <f t="shared" si="4"/>
        <v>0</v>
      </c>
      <c r="J18" s="527">
        <f t="shared" si="4"/>
        <v>1210727895</v>
      </c>
      <c r="K18" s="527">
        <f t="shared" si="4"/>
        <v>0</v>
      </c>
      <c r="L18" s="527" t="e">
        <f t="shared" ref="L18" si="5">SUM(L11:L17)</f>
        <v>#VALUE!</v>
      </c>
    </row>
    <row r="19" spans="1:14" s="26" customFormat="1" ht="12.2" customHeight="1" x14ac:dyDescent="0.2">
      <c r="A19" s="12" t="s">
        <v>154</v>
      </c>
      <c r="B19" s="73" t="s">
        <v>159</v>
      </c>
      <c r="C19" s="114">
        <f>'4. mell.Önkorm'!C21-'27._önkorm_önként'!C20</f>
        <v>0</v>
      </c>
      <c r="D19" s="185">
        <f>'4. mell.Önkorm'!D21-'27._önkorm_önként'!D20</f>
        <v>0</v>
      </c>
      <c r="E19" s="185">
        <f>'4. mell.Önkorm'!E21-'27._önkorm_önként'!E20-'27._önkorm_államig'!E20</f>
        <v>0</v>
      </c>
      <c r="F19" s="567">
        <f>'4. mell.Önkorm'!F21-'27._önkorm_önként'!F20</f>
        <v>0</v>
      </c>
      <c r="G19" s="567">
        <f>'4. mell.Önkorm'!G21-'27._önkorm_önként'!G20</f>
        <v>0</v>
      </c>
      <c r="H19" s="16">
        <f t="shared" si="3"/>
        <v>0</v>
      </c>
      <c r="I19" s="626">
        <f>'4. mell.Önkorm'!I21-'27._önkorm_önként'!I20</f>
        <v>0</v>
      </c>
      <c r="J19" s="16">
        <f>'4. mell.Önkorm'!J21-'27._önkorm_önként'!J20</f>
        <v>0</v>
      </c>
      <c r="K19" s="16">
        <f>'4. mell.Önkorm'!K21-'27._önkorm_önként'!K20</f>
        <v>0</v>
      </c>
      <c r="L19" s="16" t="e">
        <f>'4. mell.Önkorm'!L21-'27._önkorm_önként'!L20</f>
        <v>#VALUE!</v>
      </c>
    </row>
    <row r="20" spans="1:14" s="26" customFormat="1" ht="12.2" customHeight="1" x14ac:dyDescent="0.2">
      <c r="A20" s="12" t="s">
        <v>156</v>
      </c>
      <c r="B20" s="345" t="s">
        <v>190</v>
      </c>
      <c r="C20" s="401">
        <f>'4. mell.Önkorm'!C22-'27._önkorm_önként'!C21</f>
        <v>0</v>
      </c>
      <c r="D20" s="325">
        <f>'4. mell.Önkorm'!D22-'27._önkorm_önként'!D21</f>
        <v>0</v>
      </c>
      <c r="E20" s="325">
        <f>'4. mell.Önkorm'!E22-'27._önkorm_önként'!E21-'27._önkorm_államig'!E21</f>
        <v>0</v>
      </c>
      <c r="F20" s="568">
        <f>'4. mell.Önkorm'!F22-'27._önkorm_önként'!F21</f>
        <v>0</v>
      </c>
      <c r="G20" s="568">
        <f>'4. mell.Önkorm'!G22-'27._önkorm_önként'!G21</f>
        <v>0</v>
      </c>
      <c r="H20" s="327">
        <f t="shared" si="3"/>
        <v>0</v>
      </c>
      <c r="I20" s="627">
        <f>'4. mell.Önkorm'!I22-'27._önkorm_önként'!I21</f>
        <v>0</v>
      </c>
      <c r="J20" s="327">
        <f>'4. mell.Önkorm'!J22-'27._önkorm_önként'!J21</f>
        <v>0</v>
      </c>
      <c r="K20" s="327">
        <f>'4. mell.Önkorm'!K22-'27._önkorm_önként'!K21</f>
        <v>0</v>
      </c>
      <c r="L20" s="327" t="e">
        <f>'4. mell.Önkorm'!L22-'27._önkorm_önként'!L21</f>
        <v>#VALUE!</v>
      </c>
    </row>
    <row r="21" spans="1:14" s="26" customFormat="1" ht="12.2" customHeight="1" x14ac:dyDescent="0.2">
      <c r="A21" s="12" t="s">
        <v>276</v>
      </c>
      <c r="B21" s="345" t="s">
        <v>191</v>
      </c>
      <c r="C21" s="401">
        <f>'4. mell.Önkorm'!C23-'27._önkorm_önként'!C22</f>
        <v>0</v>
      </c>
      <c r="D21" s="325">
        <f>'4. mell.Önkorm'!D23-'27._önkorm_önként'!D22</f>
        <v>0</v>
      </c>
      <c r="E21" s="325">
        <f>'4. mell.Önkorm'!E23-'27._önkorm_önként'!E22-'27._önkorm_államig'!E22</f>
        <v>0</v>
      </c>
      <c r="F21" s="568">
        <f>'4. mell.Önkorm'!F23-'27._önkorm_önként'!F22</f>
        <v>0</v>
      </c>
      <c r="G21" s="568">
        <f>'4. mell.Önkorm'!G23-'27._önkorm_önként'!G22</f>
        <v>0</v>
      </c>
      <c r="H21" s="327">
        <f t="shared" si="3"/>
        <v>0</v>
      </c>
      <c r="I21" s="627">
        <f>'4. mell.Önkorm'!I23-'27._önkorm_önként'!I22</f>
        <v>0</v>
      </c>
      <c r="J21" s="327">
        <f>'4. mell.Önkorm'!J23-'27._önkorm_önként'!J22</f>
        <v>0</v>
      </c>
      <c r="K21" s="327">
        <f>'4. mell.Önkorm'!K23-'27._önkorm_önként'!K22</f>
        <v>0</v>
      </c>
      <c r="L21" s="327" t="e">
        <f>'4. mell.Önkorm'!L23-'27._önkorm_önként'!L22</f>
        <v>#VALUE!</v>
      </c>
    </row>
    <row r="22" spans="1:14" s="26" customFormat="1" ht="12.2" customHeight="1" x14ac:dyDescent="0.2">
      <c r="A22" s="12" t="s">
        <v>595</v>
      </c>
      <c r="B22" s="345" t="s">
        <v>192</v>
      </c>
      <c r="C22" s="401">
        <f>'4. mell.Önkorm'!C24-'27._önkorm_önként'!C23</f>
        <v>24470181</v>
      </c>
      <c r="D22" s="325">
        <f>'4. mell.Önkorm'!D24-'27._önkorm_önként'!D23</f>
        <v>41569418</v>
      </c>
      <c r="E22" s="325">
        <f>'4. mell.Önkorm'!E24-'27._önkorm_önként'!E23-'27._önkorm_államig'!E23</f>
        <v>41569418</v>
      </c>
      <c r="F22" s="568">
        <f>'4. mell.Önkorm'!F24-'27._önkorm_önként'!F23</f>
        <v>41569418</v>
      </c>
      <c r="G22" s="568">
        <f>'4. mell.Önkorm'!G24-'27._önkorm_önként'!G23</f>
        <v>0</v>
      </c>
      <c r="H22" s="327">
        <f t="shared" si="3"/>
        <v>0</v>
      </c>
      <c r="I22" s="627">
        <f>'4. mell.Önkorm'!I24-'27._önkorm_önként'!I23</f>
        <v>0</v>
      </c>
      <c r="J22" s="327">
        <f>'4. mell.Önkorm'!J24-'27._önkorm_önként'!J23</f>
        <v>37147437</v>
      </c>
      <c r="K22" s="327">
        <f>'4. mell.Önkorm'!K24-'27._önkorm_önként'!K23</f>
        <v>0</v>
      </c>
      <c r="L22" s="327">
        <f>'4. mell.Önkorm'!L24-'27._önkorm_önként'!L23</f>
        <v>89.362417823602925</v>
      </c>
    </row>
    <row r="23" spans="1:14" s="54" customFormat="1" ht="12.2" customHeight="1" thickBot="1" x14ac:dyDescent="0.25">
      <c r="A23" s="12" t="s">
        <v>596</v>
      </c>
      <c r="B23" s="496" t="s">
        <v>643</v>
      </c>
      <c r="C23" s="504">
        <f>'4. mell.Önkorm'!C25-'27._önkorm_önként'!C24</f>
        <v>0</v>
      </c>
      <c r="D23" s="625">
        <f>'4. mell.Önkorm'!D25-'27._önkorm_önként'!D24</f>
        <v>16489854</v>
      </c>
      <c r="E23" s="625">
        <f>'4. mell.Önkorm'!E25-'27._önkorm_önként'!E24-'27._önkorm_államig'!E24</f>
        <v>16489854</v>
      </c>
      <c r="F23" s="569">
        <f>'4. mell.Önkorm'!F25-'27._önkorm_önként'!F24</f>
        <v>16489854</v>
      </c>
      <c r="G23" s="569">
        <f>'4. mell.Önkorm'!G25-'27._önkorm_önként'!G24</f>
        <v>0</v>
      </c>
      <c r="H23" s="525">
        <f t="shared" si="3"/>
        <v>0</v>
      </c>
      <c r="I23" s="629">
        <f>'4. mell.Önkorm'!I25-'27._önkorm_önként'!I24</f>
        <v>0</v>
      </c>
      <c r="J23" s="525">
        <f>'4. mell.Önkorm'!J25-'27._önkorm_önként'!J24</f>
        <v>16489854</v>
      </c>
      <c r="K23" s="525">
        <f>'4. mell.Önkorm'!K25-'27._önkorm_önként'!K24</f>
        <v>0</v>
      </c>
      <c r="L23" s="525">
        <f>'4. mell.Önkorm'!L25-'27._önkorm_önként'!L24</f>
        <v>100</v>
      </c>
    </row>
    <row r="24" spans="1:14" s="54" customFormat="1" ht="12.2" customHeight="1" thickBot="1" x14ac:dyDescent="0.25">
      <c r="A24" s="14" t="s">
        <v>13</v>
      </c>
      <c r="B24" s="72" t="s">
        <v>597</v>
      </c>
      <c r="C24" s="113">
        <f>+C25+C26+C27+C28</f>
        <v>0</v>
      </c>
      <c r="D24" s="186">
        <f t="shared" ref="D24:K24" si="6">+D25+D26+D27+D28</f>
        <v>229697587</v>
      </c>
      <c r="E24" s="186">
        <f t="shared" si="6"/>
        <v>229697587</v>
      </c>
      <c r="F24" s="566">
        <f t="shared" si="6"/>
        <v>229697587</v>
      </c>
      <c r="G24" s="566">
        <f t="shared" si="6"/>
        <v>0</v>
      </c>
      <c r="H24" s="28">
        <f t="shared" si="3"/>
        <v>0</v>
      </c>
      <c r="I24" s="628">
        <f t="shared" si="6"/>
        <v>0</v>
      </c>
      <c r="J24" s="28">
        <f t="shared" si="6"/>
        <v>229697587</v>
      </c>
      <c r="K24" s="28">
        <f t="shared" si="6"/>
        <v>0</v>
      </c>
      <c r="L24" s="28" t="e">
        <f t="shared" ref="L24" si="7">+L25+L26+L27+L28</f>
        <v>#VALUE!</v>
      </c>
    </row>
    <row r="25" spans="1:14" s="54" customFormat="1" ht="12.2" customHeight="1" x14ac:dyDescent="0.2">
      <c r="A25" s="12" t="s">
        <v>94</v>
      </c>
      <c r="B25" s="716" t="s">
        <v>193</v>
      </c>
      <c r="C25" s="114">
        <f>'4. mell.Önkorm'!C27-'27._önkorm_önként'!C26</f>
        <v>0</v>
      </c>
      <c r="D25" s="185">
        <f>'4. mell.Önkorm'!D27-'27._önkorm_önként'!D26</f>
        <v>0</v>
      </c>
      <c r="E25" s="185">
        <f>'4. mell.Önkorm'!E27-'27._önkorm_önként'!E26-'27._önkorm_államig'!E26</f>
        <v>0</v>
      </c>
      <c r="F25" s="567">
        <f>'4. mell.Önkorm'!F27-'27._önkorm_önként'!F26</f>
        <v>0</v>
      </c>
      <c r="G25" s="567">
        <f>'4. mell.Önkorm'!G27-'27._önkorm_önként'!G26</f>
        <v>0</v>
      </c>
      <c r="H25" s="16">
        <f t="shared" si="3"/>
        <v>0</v>
      </c>
      <c r="I25" s="626">
        <f>'4. mell.Önkorm'!I27-'27._önkorm_önként'!I26</f>
        <v>0</v>
      </c>
      <c r="J25" s="16">
        <f>'4. mell.Önkorm'!J27-'27._önkorm_önként'!J26</f>
        <v>0</v>
      </c>
      <c r="K25" s="16">
        <f>'4. mell.Önkorm'!K27-'27._önkorm_önként'!K26</f>
        <v>0</v>
      </c>
      <c r="L25" s="16" t="e">
        <f>'4. mell.Önkorm'!L27-'27._önkorm_önként'!L26</f>
        <v>#VALUE!</v>
      </c>
    </row>
    <row r="26" spans="1:14" s="54" customFormat="1" ht="12.2" customHeight="1" x14ac:dyDescent="0.2">
      <c r="A26" s="1003" t="s">
        <v>95</v>
      </c>
      <c r="B26" s="717" t="s">
        <v>194</v>
      </c>
      <c r="C26" s="401">
        <f>'4. mell.Önkorm'!C28-'27._önkorm_önként'!C27</f>
        <v>0</v>
      </c>
      <c r="D26" s="325">
        <f>'4. mell.Önkorm'!D28-'27._önkorm_önként'!D27</f>
        <v>0</v>
      </c>
      <c r="E26" s="325">
        <f>'4. mell.Önkorm'!E28-'27._önkorm_önként'!E27-'27._önkorm_államig'!E27</f>
        <v>0</v>
      </c>
      <c r="F26" s="568">
        <f>'4. mell.Önkorm'!F28-'27._önkorm_önként'!F27</f>
        <v>0</v>
      </c>
      <c r="G26" s="568">
        <f>'4. mell.Önkorm'!G28-'27._önkorm_önként'!G27</f>
        <v>0</v>
      </c>
      <c r="H26" s="327">
        <f t="shared" si="3"/>
        <v>0</v>
      </c>
      <c r="I26" s="627">
        <f>'4. mell.Önkorm'!I28-'27._önkorm_önként'!I27</f>
        <v>0</v>
      </c>
      <c r="J26" s="327">
        <f>'4. mell.Önkorm'!J28-'27._önkorm_önként'!J27</f>
        <v>0</v>
      </c>
      <c r="K26" s="327">
        <f>'4. mell.Önkorm'!K28-'27._önkorm_önként'!K27</f>
        <v>0</v>
      </c>
      <c r="L26" s="327" t="e">
        <f>'4. mell.Önkorm'!L28-'27._önkorm_önként'!L27</f>
        <v>#VALUE!</v>
      </c>
    </row>
    <row r="27" spans="1:14" s="54" customFormat="1" ht="12.2" customHeight="1" x14ac:dyDescent="0.2">
      <c r="A27" s="1003" t="s">
        <v>96</v>
      </c>
      <c r="B27" s="717" t="s">
        <v>196</v>
      </c>
      <c r="C27" s="401">
        <f>'4. mell.Önkorm'!C29-'27._önkorm_önként'!C28</f>
        <v>0</v>
      </c>
      <c r="D27" s="325">
        <f>'4. mell.Önkorm'!D29-'27._önkorm_önként'!D28</f>
        <v>0</v>
      </c>
      <c r="E27" s="325">
        <f>'4. mell.Önkorm'!E29-'27._önkorm_önként'!E28-'27._önkorm_államig'!E28</f>
        <v>0</v>
      </c>
      <c r="F27" s="568">
        <f>'4. mell.Önkorm'!F29-'27._önkorm_önként'!F28</f>
        <v>0</v>
      </c>
      <c r="G27" s="568">
        <f>'4. mell.Önkorm'!G29-'27._önkorm_önként'!G28</f>
        <v>0</v>
      </c>
      <c r="H27" s="327">
        <f t="shared" si="3"/>
        <v>0</v>
      </c>
      <c r="I27" s="627">
        <f>'4. mell.Önkorm'!I29-'27._önkorm_önként'!I28</f>
        <v>0</v>
      </c>
      <c r="J27" s="327">
        <f>'4. mell.Önkorm'!J29-'27._önkorm_önként'!J28</f>
        <v>0</v>
      </c>
      <c r="K27" s="327">
        <f>'4. mell.Önkorm'!K29-'27._önkorm_önként'!K28</f>
        <v>0</v>
      </c>
      <c r="L27" s="327" t="e">
        <f>'4. mell.Önkorm'!L29-'27._önkorm_önként'!L28</f>
        <v>#VALUE!</v>
      </c>
    </row>
    <row r="28" spans="1:14" s="54" customFormat="1" ht="12.2" customHeight="1" x14ac:dyDescent="0.2">
      <c r="A28" s="1003" t="s">
        <v>97</v>
      </c>
      <c r="B28" s="717" t="s">
        <v>197</v>
      </c>
      <c r="C28" s="401">
        <f>'4. mell.Önkorm'!C30-'27._önkorm_önként'!C29</f>
        <v>0</v>
      </c>
      <c r="D28" s="325">
        <f>'4. mell.Önkorm'!D30-'27._önkorm_önként'!D29</f>
        <v>229697587</v>
      </c>
      <c r="E28" s="325">
        <f>'4. mell.Önkorm'!E30-'27._önkorm_önként'!E29-'27._önkorm_államig'!E29</f>
        <v>229697587</v>
      </c>
      <c r="F28" s="568">
        <f>'4. mell.Önkorm'!F30-'27._önkorm_önként'!F29</f>
        <v>229697587</v>
      </c>
      <c r="G28" s="568">
        <f>'4. mell.Önkorm'!G30-'27._önkorm_önként'!G29</f>
        <v>0</v>
      </c>
      <c r="H28" s="327">
        <f t="shared" si="3"/>
        <v>0</v>
      </c>
      <c r="I28" s="627">
        <f>'4. mell.Önkorm'!I30-'27._önkorm_önként'!I29</f>
        <v>0</v>
      </c>
      <c r="J28" s="327">
        <f>'4. mell.Önkorm'!J30-'27._önkorm_önként'!J29</f>
        <v>229697587</v>
      </c>
      <c r="K28" s="327">
        <f>'4. mell.Önkorm'!K30-'27._önkorm_önként'!K29</f>
        <v>0</v>
      </c>
      <c r="L28" s="327">
        <f>'4. mell.Önkorm'!L30-'27._önkorm_önként'!L29</f>
        <v>100</v>
      </c>
    </row>
    <row r="29" spans="1:14" s="54" customFormat="1" ht="12.2" customHeight="1" thickBot="1" x14ac:dyDescent="0.25">
      <c r="A29" s="1005" t="s">
        <v>321</v>
      </c>
      <c r="B29" s="496" t="s">
        <v>273</v>
      </c>
      <c r="C29" s="504">
        <f>'4. mell.Önkorm'!C31-'27._önkorm_önként'!C30</f>
        <v>0</v>
      </c>
      <c r="D29" s="625">
        <f>'4. mell.Önkorm'!D31-'27._önkorm_önként'!D30</f>
        <v>229697587</v>
      </c>
      <c r="E29" s="625">
        <f>'4. mell.Önkorm'!E31-'27._önkorm_önként'!E30-'27._önkorm_államig'!E30</f>
        <v>229697587</v>
      </c>
      <c r="F29" s="569">
        <f>'4. mell.Önkorm'!F31-'27._önkorm_önként'!F30</f>
        <v>229697587</v>
      </c>
      <c r="G29" s="569">
        <f>'4. mell.Önkorm'!G31-'27._önkorm_önként'!G30</f>
        <v>0</v>
      </c>
      <c r="H29" s="525">
        <f t="shared" si="3"/>
        <v>0</v>
      </c>
      <c r="I29" s="629">
        <f>'4. mell.Önkorm'!I31-'27._önkorm_önként'!I30</f>
        <v>0</v>
      </c>
      <c r="J29" s="525">
        <f>'4. mell.Önkorm'!J31-'27._önkorm_önként'!J30</f>
        <v>229697587</v>
      </c>
      <c r="K29" s="525">
        <f>'4. mell.Önkorm'!K31-'27._önkorm_önként'!K30</f>
        <v>0</v>
      </c>
      <c r="L29" s="525">
        <f>'4. mell.Önkorm'!L31-'27._önkorm_önként'!L30</f>
        <v>100</v>
      </c>
    </row>
    <row r="30" spans="1:14" s="54" customFormat="1" ht="12.2" customHeight="1" thickBot="1" x14ac:dyDescent="0.25">
      <c r="A30" s="14" t="s">
        <v>625</v>
      </c>
      <c r="B30" s="72" t="s">
        <v>598</v>
      </c>
      <c r="C30" s="1023">
        <f>C31+C33+C35+C36+C39</f>
        <v>988284785</v>
      </c>
      <c r="D30" s="187">
        <f t="shared" ref="D30:K30" si="8">D31+D33+D35+D36+D39</f>
        <v>1182367293</v>
      </c>
      <c r="E30" s="187">
        <f t="shared" si="8"/>
        <v>2215387937</v>
      </c>
      <c r="F30" s="532">
        <f t="shared" si="8"/>
        <v>5377000000</v>
      </c>
      <c r="G30" s="532">
        <f t="shared" si="8"/>
        <v>0</v>
      </c>
      <c r="H30" s="74">
        <f t="shared" si="3"/>
        <v>1033020644</v>
      </c>
      <c r="I30" s="638">
        <f t="shared" si="8"/>
        <v>0</v>
      </c>
      <c r="J30" s="74">
        <f t="shared" si="8"/>
        <v>5896649464</v>
      </c>
      <c r="K30" s="74">
        <f t="shared" si="8"/>
        <v>0</v>
      </c>
      <c r="L30" s="74" t="e">
        <f t="shared" ref="L30" si="9">L31+L33+L35+L36+L39</f>
        <v>#VALUE!</v>
      </c>
      <c r="N30" s="54" t="s">
        <v>385</v>
      </c>
    </row>
    <row r="31" spans="1:14" s="54" customFormat="1" ht="12.2" customHeight="1" x14ac:dyDescent="0.2">
      <c r="A31" s="12" t="s">
        <v>98</v>
      </c>
      <c r="B31" s="716" t="s">
        <v>278</v>
      </c>
      <c r="C31" s="115">
        <f>'4. mell.Önkorm'!C33-'27._önkorm_önként'!C32</f>
        <v>0</v>
      </c>
      <c r="D31" s="200">
        <f>'4. mell.Önkorm'!D33-'27._önkorm_önként'!D32</f>
        <v>0</v>
      </c>
      <c r="E31" s="200">
        <f>'4. mell.Önkorm'!E33-'27._önkorm_önként'!E32-'27._önkorm_államig'!E32</f>
        <v>0</v>
      </c>
      <c r="F31" s="570">
        <f>'4. mell.Önkorm'!F33-'27._önkorm_önként'!F32</f>
        <v>650000000</v>
      </c>
      <c r="G31" s="570">
        <f>'4. mell.Önkorm'!G33-'27._önkorm_önként'!G32</f>
        <v>0</v>
      </c>
      <c r="H31" s="75">
        <f t="shared" si="3"/>
        <v>0</v>
      </c>
      <c r="I31" s="637">
        <f>'4. mell.Önkorm'!I33-'27._önkorm_önként'!I32</f>
        <v>0</v>
      </c>
      <c r="J31" s="75">
        <f>'4. mell.Önkorm'!J33-'27._önkorm_önként'!J32</f>
        <v>667954053</v>
      </c>
      <c r="K31" s="75">
        <f>'4. mell.Önkorm'!K33-'27._önkorm_önként'!K32</f>
        <v>0</v>
      </c>
      <c r="L31" s="75">
        <f>'4. mell.Önkorm'!L33-'27._önkorm_önként'!L32</f>
        <v>102.76216199999999</v>
      </c>
    </row>
    <row r="32" spans="1:14" s="54" customFormat="1" ht="12.2" customHeight="1" x14ac:dyDescent="0.2">
      <c r="A32" s="1003" t="s">
        <v>599</v>
      </c>
      <c r="B32" s="717" t="s">
        <v>230</v>
      </c>
      <c r="C32" s="401">
        <f>'4. mell.Önkorm'!C34-'27._önkorm_önként'!C33</f>
        <v>0</v>
      </c>
      <c r="D32" s="325">
        <f>'4. mell.Önkorm'!D34-'27._önkorm_önként'!D33</f>
        <v>0</v>
      </c>
      <c r="E32" s="325">
        <f>'4. mell.Önkorm'!E34-'27._önkorm_önként'!E33-'27._önkorm_államig'!E33</f>
        <v>0</v>
      </c>
      <c r="F32" s="568">
        <f>'4. mell.Önkorm'!F34-'27._önkorm_önként'!F33</f>
        <v>650000000</v>
      </c>
      <c r="G32" s="568">
        <f>'4. mell.Önkorm'!G34-'27._önkorm_önként'!G33</f>
        <v>0</v>
      </c>
      <c r="H32" s="327">
        <f t="shared" si="3"/>
        <v>0</v>
      </c>
      <c r="I32" s="627">
        <f>'4. mell.Önkorm'!I34-'27._önkorm_önként'!I33</f>
        <v>0</v>
      </c>
      <c r="J32" s="327">
        <f>'4. mell.Önkorm'!J34-'27._önkorm_önként'!J33</f>
        <v>667954053</v>
      </c>
      <c r="K32" s="327">
        <f>'4. mell.Önkorm'!K34-'27._önkorm_önként'!K33</f>
        <v>0</v>
      </c>
      <c r="L32" s="327">
        <f>'4. mell.Önkorm'!L34-'27._önkorm_önként'!L33</f>
        <v>102.76216199999999</v>
      </c>
    </row>
    <row r="33" spans="1:12" s="54" customFormat="1" ht="12.2" customHeight="1" x14ac:dyDescent="0.2">
      <c r="A33" s="1003" t="s">
        <v>99</v>
      </c>
      <c r="B33" s="716" t="s">
        <v>279</v>
      </c>
      <c r="C33" s="401">
        <f>'4. mell.Önkorm'!C35-'27._önkorm_önként'!C34-'27._önkorm_államig'!C34</f>
        <v>988284785</v>
      </c>
      <c r="D33" s="325">
        <f>'4. mell.Önkorm'!D35-'27._önkorm_önként'!D34-'27._önkorm_államig'!D34</f>
        <v>1182367293</v>
      </c>
      <c r="E33" s="325">
        <f>'4. mell.Önkorm'!E35-'27._önkorm_önként'!E34-'27._önkorm_államig'!E34</f>
        <v>2215387937</v>
      </c>
      <c r="F33" s="568">
        <f>'4. mell.Önkorm'!F35-'27._önkorm_önként'!F34</f>
        <v>4700000000</v>
      </c>
      <c r="G33" s="568">
        <f>'4. mell.Önkorm'!G35-'27._önkorm_önként'!G34</f>
        <v>0</v>
      </c>
      <c r="H33" s="327">
        <f t="shared" si="3"/>
        <v>1033020644</v>
      </c>
      <c r="I33" s="627">
        <f>'4. mell.Önkorm'!I35-'27._önkorm_önként'!I34</f>
        <v>0</v>
      </c>
      <c r="J33" s="327">
        <f>'4. mell.Önkorm'!J35-'27._önkorm_önként'!J34</f>
        <v>5199156612</v>
      </c>
      <c r="K33" s="327">
        <f>'4. mell.Önkorm'!K35-'27._önkorm_önként'!K34</f>
        <v>0</v>
      </c>
      <c r="L33" s="327">
        <f>'4. mell.Önkorm'!L35-'27._önkorm_önként'!L34</f>
        <v>110.62035344680852</v>
      </c>
    </row>
    <row r="34" spans="1:12" s="54" customFormat="1" ht="12.2" customHeight="1" x14ac:dyDescent="0.2">
      <c r="A34" s="1003" t="s">
        <v>600</v>
      </c>
      <c r="B34" s="717" t="s">
        <v>280</v>
      </c>
      <c r="C34" s="401">
        <f>'4. mell.Önkorm'!C36-'27._önkorm_önként'!C35-'27._önkorm_államig'!C35</f>
        <v>988284785</v>
      </c>
      <c r="D34" s="325">
        <f>'4. mell.Önkorm'!D36-'27._önkorm_önként'!D35-'27._önkorm_államig'!D35</f>
        <v>1182367293</v>
      </c>
      <c r="E34" s="325">
        <f>'4. mell.Önkorm'!E36-'27._önkorm_önként'!E35-'27._önkorm_államig'!E35</f>
        <v>2215387937</v>
      </c>
      <c r="F34" s="568">
        <f>'4. mell.Önkorm'!F36-'27._önkorm_önként'!F35-'27._önkorm_államig'!F35</f>
        <v>4700000000</v>
      </c>
      <c r="G34" s="568">
        <f>'4. mell.Önkorm'!G36-'27._önkorm_önként'!G35-'27._önkorm_államig'!G35</f>
        <v>0</v>
      </c>
      <c r="H34" s="327">
        <f t="shared" si="3"/>
        <v>1033020644</v>
      </c>
      <c r="I34" s="627">
        <f>'4. mell.Önkorm'!I36-'27._önkorm_önként'!I35-'27._önkorm_államig'!I35</f>
        <v>0</v>
      </c>
      <c r="J34" s="327">
        <f>'4. mell.Önkorm'!J36-'27._önkorm_önként'!J35-'27._önkorm_államig'!J35</f>
        <v>5199156612</v>
      </c>
      <c r="K34" s="327">
        <f>'4. mell.Önkorm'!K36-'27._önkorm_önként'!K35-'27._önkorm_államig'!K35</f>
        <v>0</v>
      </c>
      <c r="L34" s="327">
        <f>'4. mell.Önkorm'!L36-'27._önkorm_önként'!L35-'27._önkorm_államig'!L35</f>
        <v>110.62035344680852</v>
      </c>
    </row>
    <row r="35" spans="1:12" s="54" customFormat="1" ht="12.2" customHeight="1" x14ac:dyDescent="0.2">
      <c r="A35" s="1003" t="s">
        <v>106</v>
      </c>
      <c r="B35" s="717" t="s">
        <v>198</v>
      </c>
      <c r="C35" s="401">
        <f>'4. mell.Önkorm'!C37-'27._önkorm_önként'!C36</f>
        <v>0</v>
      </c>
      <c r="D35" s="325">
        <f>'4. mell.Önkorm'!D37-'27._önkorm_önként'!D36</f>
        <v>0</v>
      </c>
      <c r="E35" s="325">
        <f>'4. mell.Önkorm'!E37-'27._önkorm_önként'!E36-'27._önkorm_államig'!E36</f>
        <v>0</v>
      </c>
      <c r="F35" s="568">
        <f>'4. mell.Önkorm'!F37-'27._önkorm_önként'!F36</f>
        <v>0</v>
      </c>
      <c r="G35" s="568">
        <f>'4. mell.Önkorm'!G37-'27._önkorm_önként'!G36</f>
        <v>0</v>
      </c>
      <c r="H35" s="327">
        <f t="shared" si="3"/>
        <v>0</v>
      </c>
      <c r="I35" s="627">
        <f>'4. mell.Önkorm'!I37-'27._önkorm_önként'!I36</f>
        <v>0</v>
      </c>
      <c r="J35" s="327">
        <f>'4. mell.Önkorm'!J37-'27._önkorm_önként'!J36</f>
        <v>0</v>
      </c>
      <c r="K35" s="327">
        <f>'4. mell.Önkorm'!K37-'27._önkorm_önként'!K36</f>
        <v>0</v>
      </c>
      <c r="L35" s="327" t="e">
        <f>'4. mell.Önkorm'!L37-'27._önkorm_önként'!L36</f>
        <v>#VALUE!</v>
      </c>
    </row>
    <row r="36" spans="1:12" s="54" customFormat="1" ht="12.2" customHeight="1" x14ac:dyDescent="0.2">
      <c r="A36" s="1003" t="s">
        <v>195</v>
      </c>
      <c r="B36" s="717" t="s">
        <v>199</v>
      </c>
      <c r="C36" s="401">
        <f>'4. mell.Önkorm'!C38-'27._önkorm_önként'!C37</f>
        <v>0</v>
      </c>
      <c r="D36" s="325">
        <f>'4. mell.Önkorm'!D38-'27._önkorm_önként'!D37</f>
        <v>0</v>
      </c>
      <c r="E36" s="325">
        <f>'4. mell.Önkorm'!E38-'27._önkorm_önként'!E37-'27._önkorm_államig'!E37</f>
        <v>0</v>
      </c>
      <c r="F36" s="568">
        <f>'4. mell.Önkorm'!F38-'27._önkorm_önként'!F37</f>
        <v>12000000</v>
      </c>
      <c r="G36" s="568">
        <f>'4. mell.Önkorm'!G38-'27._önkorm_önként'!G37</f>
        <v>0</v>
      </c>
      <c r="H36" s="327">
        <f t="shared" si="3"/>
        <v>0</v>
      </c>
      <c r="I36" s="627">
        <f>'4. mell.Önkorm'!I38-'27._önkorm_önként'!I37</f>
        <v>0</v>
      </c>
      <c r="J36" s="327">
        <f>'4. mell.Önkorm'!J38-'27._önkorm_önként'!J37</f>
        <v>12566010</v>
      </c>
      <c r="K36" s="327">
        <f>'4. mell.Önkorm'!K38-'27._önkorm_önként'!K37</f>
        <v>0</v>
      </c>
      <c r="L36" s="327">
        <f>'4. mell.Önkorm'!L38-'27._önkorm_önként'!L37</f>
        <v>104.71675</v>
      </c>
    </row>
    <row r="37" spans="1:12" s="54" customFormat="1" ht="12.2" customHeight="1" x14ac:dyDescent="0.2">
      <c r="A37" s="1005" t="s">
        <v>322</v>
      </c>
      <c r="B37" s="717" t="s">
        <v>231</v>
      </c>
      <c r="C37" s="504">
        <f>'4. mell.Önkorm'!C39-'27._önkorm_önként'!C38</f>
        <v>0</v>
      </c>
      <c r="D37" s="625">
        <f>'4. mell.Önkorm'!D39-'27._önkorm_önként'!D38</f>
        <v>0</v>
      </c>
      <c r="E37" s="625">
        <f>'4. mell.Önkorm'!E39-'27._önkorm_önként'!E38-'27._önkorm_államig'!E38</f>
        <v>0</v>
      </c>
      <c r="F37" s="569">
        <f>'4. mell.Önkorm'!F39-'27._önkorm_önként'!F38</f>
        <v>12000000</v>
      </c>
      <c r="G37" s="569">
        <f>'4. mell.Önkorm'!G39-'27._önkorm_önként'!G38</f>
        <v>0</v>
      </c>
      <c r="H37" s="525">
        <f t="shared" si="3"/>
        <v>0</v>
      </c>
      <c r="I37" s="629">
        <f>'4. mell.Önkorm'!I39-'27._önkorm_önként'!I38</f>
        <v>0</v>
      </c>
      <c r="J37" s="525">
        <f>'4. mell.Önkorm'!J39-'27._önkorm_önként'!J38</f>
        <v>12566010</v>
      </c>
      <c r="K37" s="525">
        <f>'4. mell.Önkorm'!K39-'27._önkorm_önként'!K38</f>
        <v>0</v>
      </c>
      <c r="L37" s="525">
        <f>'4. mell.Önkorm'!L39-'27._önkorm_önként'!L38</f>
        <v>104.71675</v>
      </c>
    </row>
    <row r="38" spans="1:12" s="54" customFormat="1" ht="12.2" customHeight="1" x14ac:dyDescent="0.2">
      <c r="A38" s="1005" t="s">
        <v>601</v>
      </c>
      <c r="B38" s="717" t="s">
        <v>792</v>
      </c>
      <c r="C38" s="504">
        <f>'4. mell.Önkorm'!C40-'27._önkorm_önként'!C39</f>
        <v>0</v>
      </c>
      <c r="D38" s="625">
        <f>'4. mell.Önkorm'!D40-'27._önkorm_önként'!D39</f>
        <v>0</v>
      </c>
      <c r="E38" s="625">
        <f>'4. mell.Önkorm'!E40-'27._önkorm_önként'!E39-'27._önkorm_államig'!E39</f>
        <v>0</v>
      </c>
      <c r="F38" s="569">
        <f>'4. mell.Önkorm'!F40-'27._önkorm_önként'!F39</f>
        <v>0</v>
      </c>
      <c r="G38" s="569">
        <f>'4. mell.Önkorm'!G40-'27._önkorm_önként'!G39</f>
        <v>0</v>
      </c>
      <c r="H38" s="525">
        <f t="shared" si="3"/>
        <v>0</v>
      </c>
      <c r="I38" s="629">
        <f>'4. mell.Önkorm'!I40-'27._önkorm_önként'!I39</f>
        <v>0</v>
      </c>
      <c r="J38" s="525">
        <f>'4. mell.Önkorm'!J40-'27._önkorm_önként'!J39</f>
        <v>0</v>
      </c>
      <c r="K38" s="525">
        <f>'4. mell.Önkorm'!K40-'27._önkorm_önként'!K39</f>
        <v>0</v>
      </c>
      <c r="L38" s="525" t="e">
        <f>'4. mell.Önkorm'!L40-'27._önkorm_önként'!L39</f>
        <v>#VALUE!</v>
      </c>
    </row>
    <row r="39" spans="1:12" s="54" customFormat="1" ht="12.2" customHeight="1" thickBot="1" x14ac:dyDescent="0.25">
      <c r="A39" s="1005" t="s">
        <v>602</v>
      </c>
      <c r="B39" s="496" t="s">
        <v>118</v>
      </c>
      <c r="C39" s="504">
        <f>'4. mell.Önkorm'!C41-'27._önkorm_önként'!C40</f>
        <v>0</v>
      </c>
      <c r="D39" s="625">
        <f>'4. mell.Önkorm'!D41-'27._önkorm_önként'!D40</f>
        <v>0</v>
      </c>
      <c r="E39" s="625">
        <f>'4. mell.Önkorm'!E41-'27._önkorm_önként'!E40-'27._önkorm_államig'!E40</f>
        <v>0</v>
      </c>
      <c r="F39" s="569">
        <f>'4. mell.Önkorm'!F41-'27._önkorm_önként'!F40</f>
        <v>15000000</v>
      </c>
      <c r="G39" s="569">
        <f>'4. mell.Önkorm'!G41-'27._önkorm_önként'!G40</f>
        <v>0</v>
      </c>
      <c r="H39" s="525">
        <f t="shared" si="3"/>
        <v>0</v>
      </c>
      <c r="I39" s="629">
        <f>'4. mell.Önkorm'!I41-'27._önkorm_önként'!I40</f>
        <v>0</v>
      </c>
      <c r="J39" s="525">
        <f>'4. mell.Önkorm'!J41-'27._önkorm_önként'!J40</f>
        <v>16972789</v>
      </c>
      <c r="K39" s="525">
        <f>'4. mell.Önkorm'!K41-'27._önkorm_önként'!K40</f>
        <v>0</v>
      </c>
      <c r="L39" s="525">
        <f>'4. mell.Önkorm'!L41-'27._önkorm_önként'!L40</f>
        <v>113.15192666666667</v>
      </c>
    </row>
    <row r="40" spans="1:12" s="54" customFormat="1" ht="12.2" customHeight="1" thickBot="1" x14ac:dyDescent="0.25">
      <c r="A40" s="14" t="s">
        <v>15</v>
      </c>
      <c r="B40" s="72" t="s">
        <v>626</v>
      </c>
      <c r="C40" s="113">
        <f>SUM(C41:C51)</f>
        <v>422833371</v>
      </c>
      <c r="D40" s="186">
        <f t="shared" ref="D40:K40" si="10">SUM(D41:D51)</f>
        <v>422833371</v>
      </c>
      <c r="E40" s="186">
        <f t="shared" si="10"/>
        <v>672833371</v>
      </c>
      <c r="F40" s="566">
        <f t="shared" si="10"/>
        <v>672833371</v>
      </c>
      <c r="G40" s="566">
        <f t="shared" si="10"/>
        <v>0</v>
      </c>
      <c r="H40" s="28">
        <f t="shared" si="3"/>
        <v>250000000</v>
      </c>
      <c r="I40" s="628">
        <f t="shared" si="10"/>
        <v>0</v>
      </c>
      <c r="J40" s="28">
        <f t="shared" si="10"/>
        <v>651797854</v>
      </c>
      <c r="K40" s="28">
        <f t="shared" si="10"/>
        <v>0</v>
      </c>
      <c r="L40" s="28" t="e">
        <f t="shared" ref="L40" si="11">SUM(L41:L51)</f>
        <v>#VALUE!</v>
      </c>
    </row>
    <row r="41" spans="1:12" s="54" customFormat="1" ht="12.2" customHeight="1" x14ac:dyDescent="0.2">
      <c r="A41" s="12" t="s">
        <v>100</v>
      </c>
      <c r="B41" s="716" t="s">
        <v>143</v>
      </c>
      <c r="C41" s="114">
        <f>'4. mell.Önkorm'!C43-'27._önkorm_önként'!C42</f>
        <v>0</v>
      </c>
      <c r="D41" s="185">
        <f>'4. mell.Önkorm'!D43-'27._önkorm_önként'!D42</f>
        <v>0</v>
      </c>
      <c r="E41" s="185">
        <f>'4. mell.Önkorm'!E43-'27._önkorm_önként'!E42-'27._önkorm_államig'!E42</f>
        <v>0</v>
      </c>
      <c r="F41" s="567">
        <f>'4. mell.Önkorm'!F43-'27._önkorm_önként'!F42</f>
        <v>0</v>
      </c>
      <c r="G41" s="567">
        <f>'4. mell.Önkorm'!G43-'27._önkorm_önként'!G42</f>
        <v>0</v>
      </c>
      <c r="H41" s="16">
        <f t="shared" si="3"/>
        <v>0</v>
      </c>
      <c r="I41" s="626">
        <f>'4. mell.Önkorm'!I43-'27._önkorm_önként'!I42</f>
        <v>0</v>
      </c>
      <c r="J41" s="16">
        <f>'4. mell.Önkorm'!J43-'27._önkorm_önként'!J42</f>
        <v>0</v>
      </c>
      <c r="K41" s="16">
        <f>'4. mell.Önkorm'!K43-'27._önkorm_önként'!K42</f>
        <v>0</v>
      </c>
      <c r="L41" s="16" t="e">
        <f>'4. mell.Önkorm'!L43-'27._önkorm_önként'!L42</f>
        <v>#VALUE!</v>
      </c>
    </row>
    <row r="42" spans="1:12" s="54" customFormat="1" ht="12.2" customHeight="1" x14ac:dyDescent="0.2">
      <c r="A42" s="1003" t="s">
        <v>101</v>
      </c>
      <c r="B42" s="717" t="s">
        <v>144</v>
      </c>
      <c r="C42" s="401">
        <f>'4. mell.Önkorm'!C44-'27._önkorm_önként'!C43</f>
        <v>18846800</v>
      </c>
      <c r="D42" s="325">
        <f>'4. mell.Önkorm'!D44-'27._önkorm_önként'!D43</f>
        <v>18846800</v>
      </c>
      <c r="E42" s="325">
        <f>'4. mell.Önkorm'!E44-'27._önkorm_önként'!E43-'27._önkorm_államig'!E43</f>
        <v>18846800</v>
      </c>
      <c r="F42" s="568">
        <f>'4. mell.Önkorm'!F44-'27._önkorm_önként'!F43</f>
        <v>18846800</v>
      </c>
      <c r="G42" s="568">
        <f>'4. mell.Önkorm'!G44-'27._önkorm_önként'!G43</f>
        <v>0</v>
      </c>
      <c r="H42" s="327">
        <f t="shared" si="3"/>
        <v>0</v>
      </c>
      <c r="I42" s="627">
        <f>'4. mell.Önkorm'!I44-'27._önkorm_önként'!I43</f>
        <v>0</v>
      </c>
      <c r="J42" s="327">
        <f>'4. mell.Önkorm'!J44-'27._önkorm_önként'!J43</f>
        <v>10313564</v>
      </c>
      <c r="K42" s="327">
        <f>'4. mell.Önkorm'!K44-'27._önkorm_önként'!K43</f>
        <v>0</v>
      </c>
      <c r="L42" s="327">
        <f>'4. mell.Önkorm'!L44-'27._önkorm_önként'!L43</f>
        <v>54.723157246853582</v>
      </c>
    </row>
    <row r="43" spans="1:12" s="54" customFormat="1" ht="12.2" customHeight="1" x14ac:dyDescent="0.2">
      <c r="A43" s="1003" t="s">
        <v>164</v>
      </c>
      <c r="B43" s="717" t="s">
        <v>274</v>
      </c>
      <c r="C43" s="401">
        <f>'4. mell.Önkorm'!C45-'27._önkorm_önként'!C44</f>
        <v>2349696</v>
      </c>
      <c r="D43" s="325">
        <f>'4. mell.Önkorm'!D45-'27._önkorm_önként'!D44</f>
        <v>2349696</v>
      </c>
      <c r="E43" s="325">
        <f>'4. mell.Önkorm'!E45-'27._önkorm_önként'!E44-'27._önkorm_államig'!E44</f>
        <v>2349696</v>
      </c>
      <c r="F43" s="568">
        <f>'4. mell.Önkorm'!F45-'27._önkorm_önként'!F44</f>
        <v>2349696</v>
      </c>
      <c r="G43" s="568">
        <f>'4. mell.Önkorm'!G45-'27._önkorm_önként'!G44</f>
        <v>0</v>
      </c>
      <c r="H43" s="327">
        <f t="shared" si="3"/>
        <v>0</v>
      </c>
      <c r="I43" s="627">
        <f>'4. mell.Önkorm'!I45-'27._önkorm_önként'!I44</f>
        <v>0</v>
      </c>
      <c r="J43" s="327">
        <f>'4. mell.Önkorm'!J45-'27._önkorm_önként'!J44</f>
        <v>1958429</v>
      </c>
      <c r="K43" s="327">
        <f>'4. mell.Önkorm'!K45-'27._önkorm_önként'!K44</f>
        <v>0</v>
      </c>
      <c r="L43" s="327">
        <f>'4. mell.Önkorm'!L45-'27._önkorm_önként'!L44</f>
        <v>83.348186318570569</v>
      </c>
    </row>
    <row r="44" spans="1:12" s="54" customFormat="1" ht="12.2" customHeight="1" x14ac:dyDescent="0.2">
      <c r="A44" s="1003" t="s">
        <v>200</v>
      </c>
      <c r="B44" s="717" t="s">
        <v>146</v>
      </c>
      <c r="C44" s="401">
        <f>'4. mell.Önkorm'!C46-'27._önkorm_önként'!C45</f>
        <v>78517110</v>
      </c>
      <c r="D44" s="325">
        <f>'4. mell.Önkorm'!D46-'27._önkorm_önként'!D45</f>
        <v>78517110</v>
      </c>
      <c r="E44" s="325">
        <f>'4. mell.Önkorm'!E46-'27._önkorm_önként'!E45-'27._önkorm_államig'!E45</f>
        <v>78517110</v>
      </c>
      <c r="F44" s="568">
        <f>'4. mell.Önkorm'!F46-'27._önkorm_önként'!F45</f>
        <v>78517110</v>
      </c>
      <c r="G44" s="568">
        <f>'4. mell.Önkorm'!G46-'27._önkorm_önként'!G45</f>
        <v>0</v>
      </c>
      <c r="H44" s="327">
        <f t="shared" si="3"/>
        <v>0</v>
      </c>
      <c r="I44" s="627">
        <f>'4. mell.Önkorm'!I46-'27._önkorm_önként'!I45</f>
        <v>0</v>
      </c>
      <c r="J44" s="327">
        <f>'4. mell.Önkorm'!J46-'27._önkorm_önként'!J45</f>
        <v>28556024</v>
      </c>
      <c r="K44" s="327">
        <f>'4. mell.Önkorm'!K46-'27._önkorm_önként'!K45</f>
        <v>0</v>
      </c>
      <c r="L44" s="327">
        <f>'4. mell.Önkorm'!L46-'27._önkorm_önként'!L45</f>
        <v>36.36917354701415</v>
      </c>
    </row>
    <row r="45" spans="1:12" s="54" customFormat="1" ht="12.2" customHeight="1" x14ac:dyDescent="0.2">
      <c r="A45" s="1003" t="s">
        <v>282</v>
      </c>
      <c r="B45" s="717" t="s">
        <v>148</v>
      </c>
      <c r="C45" s="401">
        <f>'4. mell.Önkorm'!C47-'27._önkorm_önként'!C46</f>
        <v>0</v>
      </c>
      <c r="D45" s="325">
        <f>'4. mell.Önkorm'!D47-'27._önkorm_önként'!D46</f>
        <v>0</v>
      </c>
      <c r="E45" s="325">
        <f>'4. mell.Önkorm'!E47-'27._önkorm_önként'!E46-'27._önkorm_államig'!E46</f>
        <v>0</v>
      </c>
      <c r="F45" s="568">
        <f>'4. mell.Önkorm'!F47-'27._önkorm_önként'!F46</f>
        <v>0</v>
      </c>
      <c r="G45" s="568">
        <f>'4. mell.Önkorm'!G47-'27._önkorm_önként'!G46</f>
        <v>0</v>
      </c>
      <c r="H45" s="327">
        <f t="shared" si="3"/>
        <v>0</v>
      </c>
      <c r="I45" s="627">
        <f>'4. mell.Önkorm'!I47-'27._önkorm_önként'!I46</f>
        <v>0</v>
      </c>
      <c r="J45" s="327">
        <f>'4. mell.Önkorm'!J47-'27._önkorm_önként'!J46</f>
        <v>0</v>
      </c>
      <c r="K45" s="327">
        <f>'4. mell.Önkorm'!K47-'27._önkorm_önként'!K46</f>
        <v>0</v>
      </c>
      <c r="L45" s="327" t="e">
        <f>'4. mell.Önkorm'!L47-'27._önkorm_önként'!L46</f>
        <v>#VALUE!</v>
      </c>
    </row>
    <row r="46" spans="1:12" s="54" customFormat="1" ht="12.2" customHeight="1" x14ac:dyDescent="0.2">
      <c r="A46" s="1003" t="s">
        <v>603</v>
      </c>
      <c r="B46" s="717" t="s">
        <v>203</v>
      </c>
      <c r="C46" s="401">
        <f>'4. mell.Önkorm'!C48-'27._önkorm_önként'!C47</f>
        <v>41077765</v>
      </c>
      <c r="D46" s="325">
        <f>'4. mell.Önkorm'!D48-'27._önkorm_önként'!D47</f>
        <v>41077765</v>
      </c>
      <c r="E46" s="325">
        <f>'4. mell.Önkorm'!E48-'27._önkorm_önként'!E47-'27._önkorm_államig'!E47</f>
        <v>41077765</v>
      </c>
      <c r="F46" s="568">
        <f>'4. mell.Önkorm'!F48-'27._önkorm_önként'!F47</f>
        <v>41077765</v>
      </c>
      <c r="G46" s="568">
        <f>'4. mell.Önkorm'!G48-'27._önkorm_önként'!G47</f>
        <v>0</v>
      </c>
      <c r="H46" s="327">
        <f t="shared" si="3"/>
        <v>0</v>
      </c>
      <c r="I46" s="627">
        <f>'4. mell.Önkorm'!I48-'27._önkorm_önként'!I47</f>
        <v>0</v>
      </c>
      <c r="J46" s="327">
        <f>'4. mell.Önkorm'!J48-'27._önkorm_önként'!J47</f>
        <v>20271354</v>
      </c>
      <c r="K46" s="327">
        <f>'4. mell.Önkorm'!K48-'27._önkorm_önként'!K47</f>
        <v>0</v>
      </c>
      <c r="L46" s="327">
        <f>'4. mell.Önkorm'!L48-'27._önkorm_önként'!L47</f>
        <v>49.348726738175749</v>
      </c>
    </row>
    <row r="47" spans="1:12" s="54" customFormat="1" ht="12.2" customHeight="1" x14ac:dyDescent="0.2">
      <c r="A47" s="1003" t="s">
        <v>604</v>
      </c>
      <c r="B47" s="717" t="s">
        <v>204</v>
      </c>
      <c r="C47" s="401">
        <f>'4. mell.Önkorm'!C49-'27._önkorm_önként'!C48</f>
        <v>0</v>
      </c>
      <c r="D47" s="325">
        <f>'4. mell.Önkorm'!D49-'27._önkorm_önként'!D48</f>
        <v>0</v>
      </c>
      <c r="E47" s="325">
        <f>'4. mell.Önkorm'!E49-'27._önkorm_önként'!E48-'27._önkorm_államig'!E48</f>
        <v>0</v>
      </c>
      <c r="F47" s="568">
        <f>'4. mell.Önkorm'!F49-'27._önkorm_önként'!F48</f>
        <v>0</v>
      </c>
      <c r="G47" s="568">
        <f>'4. mell.Önkorm'!G49-'27._önkorm_önként'!G48</f>
        <v>0</v>
      </c>
      <c r="H47" s="327">
        <f t="shared" si="3"/>
        <v>0</v>
      </c>
      <c r="I47" s="627">
        <f>'4. mell.Önkorm'!I49-'27._önkorm_önként'!I48</f>
        <v>0</v>
      </c>
      <c r="J47" s="327">
        <f>'4. mell.Önkorm'!J49-'27._önkorm_önként'!J48</f>
        <v>0</v>
      </c>
      <c r="K47" s="327">
        <f>'4. mell.Önkorm'!K49-'27._önkorm_önként'!K48</f>
        <v>0</v>
      </c>
      <c r="L47" s="327" t="e">
        <f>'4. mell.Önkorm'!L49-'27._önkorm_önként'!L48</f>
        <v>#VALUE!</v>
      </c>
    </row>
    <row r="48" spans="1:12" s="54" customFormat="1" ht="12.2" customHeight="1" x14ac:dyDescent="0.2">
      <c r="A48" s="1003" t="s">
        <v>605</v>
      </c>
      <c r="B48" s="717" t="s">
        <v>302</v>
      </c>
      <c r="C48" s="401">
        <f>'4. mell.Önkorm'!C50-'27._önkorm_önként'!C49</f>
        <v>280630000</v>
      </c>
      <c r="D48" s="325">
        <f>'4. mell.Önkorm'!D50-'27._önkorm_önként'!D49</f>
        <v>280630000</v>
      </c>
      <c r="E48" s="325">
        <f>'4. mell.Önkorm'!E50-'27._önkorm_önként'!E49-'27._önkorm_államig'!E49</f>
        <v>530630000</v>
      </c>
      <c r="F48" s="568">
        <f>'4. mell.Önkorm'!F50-'27._önkorm_önként'!F49</f>
        <v>530630000</v>
      </c>
      <c r="G48" s="568">
        <f>'4. mell.Önkorm'!G50-'27._önkorm_önként'!G49</f>
        <v>0</v>
      </c>
      <c r="H48" s="327">
        <f t="shared" si="3"/>
        <v>250000000</v>
      </c>
      <c r="I48" s="627">
        <f>'4. mell.Önkorm'!I50-'27._önkorm_önként'!I49</f>
        <v>0</v>
      </c>
      <c r="J48" s="327">
        <f>'4. mell.Önkorm'!J50-'27._önkorm_önként'!J49</f>
        <v>579356154</v>
      </c>
      <c r="K48" s="327">
        <f>'4. mell.Önkorm'!K50-'27._önkorm_önként'!K49</f>
        <v>0</v>
      </c>
      <c r="L48" s="327">
        <f>'4. mell.Önkorm'!L50-'27._önkorm_önként'!L49</f>
        <v>109.18269867892883</v>
      </c>
    </row>
    <row r="49" spans="1:12" s="54" customFormat="1" ht="12.2" customHeight="1" x14ac:dyDescent="0.2">
      <c r="A49" s="1003" t="s">
        <v>606</v>
      </c>
      <c r="B49" s="717" t="s">
        <v>155</v>
      </c>
      <c r="C49" s="402">
        <f>'4. mell.Önkorm'!C51-'27._önkorm_önként'!C50</f>
        <v>0</v>
      </c>
      <c r="D49" s="326">
        <f>'4. mell.Önkorm'!D51-'27._önkorm_önként'!D50</f>
        <v>0</v>
      </c>
      <c r="E49" s="326">
        <f>'4. mell.Önkorm'!E51-'27._önkorm_önként'!E50-'27._önkorm_államig'!E50</f>
        <v>0</v>
      </c>
      <c r="F49" s="573">
        <f>'4. mell.Önkorm'!F51-'27._önkorm_önként'!F50</f>
        <v>0</v>
      </c>
      <c r="G49" s="573">
        <f>'4. mell.Önkorm'!G51-'27._önkorm_önként'!G50</f>
        <v>0</v>
      </c>
      <c r="H49" s="328">
        <f t="shared" si="3"/>
        <v>0</v>
      </c>
      <c r="I49" s="666">
        <f>'4. mell.Önkorm'!I51-'27._önkorm_önként'!I50</f>
        <v>0</v>
      </c>
      <c r="J49" s="328">
        <f>'4. mell.Önkorm'!J51-'27._önkorm_önként'!J50</f>
        <v>0</v>
      </c>
      <c r="K49" s="328">
        <f>'4. mell.Önkorm'!K51-'27._önkorm_önként'!K50</f>
        <v>0</v>
      </c>
      <c r="L49" s="328" t="e">
        <f>'4. mell.Önkorm'!L51-'27._önkorm_önként'!L50</f>
        <v>#VALUE!</v>
      </c>
    </row>
    <row r="50" spans="1:12" s="54" customFormat="1" ht="12.2" customHeight="1" x14ac:dyDescent="0.2">
      <c r="A50" s="1005" t="s">
        <v>607</v>
      </c>
      <c r="B50" s="496" t="s">
        <v>275</v>
      </c>
      <c r="C50" s="1029">
        <f>'4. mell.Önkorm'!C52-'27._önkorm_önként'!C51</f>
        <v>0</v>
      </c>
      <c r="D50" s="661">
        <f>'4. mell.Önkorm'!D52-'27._önkorm_önként'!D51</f>
        <v>0</v>
      </c>
      <c r="E50" s="661">
        <f>'4. mell.Önkorm'!E52-'27._önkorm_önként'!E51-'27._önkorm_államig'!E51</f>
        <v>0</v>
      </c>
      <c r="F50" s="571">
        <f>'4. mell.Önkorm'!F52-'27._önkorm_önként'!F51</f>
        <v>0</v>
      </c>
      <c r="G50" s="571">
        <f>'4. mell.Önkorm'!G52-'27._önkorm_önként'!G51</f>
        <v>0</v>
      </c>
      <c r="H50" s="526">
        <f t="shared" si="3"/>
        <v>0</v>
      </c>
      <c r="I50" s="667">
        <f>'4. mell.Önkorm'!I52-'27._önkorm_önként'!I51</f>
        <v>0</v>
      </c>
      <c r="J50" s="526">
        <f>'4. mell.Önkorm'!J52-'27._önkorm_önként'!J51</f>
        <v>0</v>
      </c>
      <c r="K50" s="526">
        <f>'4. mell.Önkorm'!K52-'27._önkorm_önként'!K51</f>
        <v>0</v>
      </c>
      <c r="L50" s="526" t="e">
        <f>'4. mell.Önkorm'!L52-'27._önkorm_önként'!L51</f>
        <v>#VALUE!</v>
      </c>
    </row>
    <row r="51" spans="1:12" s="54" customFormat="1" ht="12.2" customHeight="1" thickBot="1" x14ac:dyDescent="0.25">
      <c r="A51" s="1005" t="s">
        <v>608</v>
      </c>
      <c r="B51" s="496" t="s">
        <v>157</v>
      </c>
      <c r="C51" s="1029">
        <f>'4. mell.Önkorm'!C53-'27._önkorm_önként'!C52</f>
        <v>1412000</v>
      </c>
      <c r="D51" s="661">
        <f>'4. mell.Önkorm'!D53-'27._önkorm_önként'!D52</f>
        <v>1412000</v>
      </c>
      <c r="E51" s="661">
        <f>'4. mell.Önkorm'!E53-'27._önkorm_önként'!E52-'27._önkorm_államig'!E52</f>
        <v>1412000</v>
      </c>
      <c r="F51" s="571">
        <f>'4. mell.Önkorm'!F53-'27._önkorm_önként'!F52</f>
        <v>1412000</v>
      </c>
      <c r="G51" s="571">
        <f>'4. mell.Önkorm'!G53-'27._önkorm_önként'!G52</f>
        <v>0</v>
      </c>
      <c r="H51" s="526">
        <f t="shared" si="3"/>
        <v>0</v>
      </c>
      <c r="I51" s="667">
        <f>'4. mell.Önkorm'!I53-'27._önkorm_önként'!I52</f>
        <v>0</v>
      </c>
      <c r="J51" s="526">
        <f>'4. mell.Önkorm'!J53-'27._önkorm_önként'!J52</f>
        <v>11342329</v>
      </c>
      <c r="K51" s="526">
        <f>'4. mell.Önkorm'!K53-'27._önkorm_önként'!K52</f>
        <v>0</v>
      </c>
      <c r="L51" s="526">
        <f>'4. mell.Önkorm'!L53-'27._önkorm_önként'!L52</f>
        <v>803.28109065155809</v>
      </c>
    </row>
    <row r="52" spans="1:12" s="54" customFormat="1" ht="12.2" customHeight="1" thickBot="1" x14ac:dyDescent="0.25">
      <c r="A52" s="14" t="s">
        <v>16</v>
      </c>
      <c r="B52" s="72" t="s">
        <v>609</v>
      </c>
      <c r="C52" s="113">
        <f>SUM(C53:C57)</f>
        <v>57720000</v>
      </c>
      <c r="D52" s="186">
        <f t="shared" ref="D52:K52" si="12">SUM(D53:D57)</f>
        <v>57720000</v>
      </c>
      <c r="E52" s="186">
        <f t="shared" si="12"/>
        <v>57720000</v>
      </c>
      <c r="F52" s="566">
        <f t="shared" si="12"/>
        <v>57720000</v>
      </c>
      <c r="G52" s="566">
        <f t="shared" si="12"/>
        <v>0</v>
      </c>
      <c r="H52" s="28">
        <f t="shared" si="3"/>
        <v>0</v>
      </c>
      <c r="I52" s="628">
        <f t="shared" si="12"/>
        <v>0</v>
      </c>
      <c r="J52" s="28">
        <f t="shared" si="12"/>
        <v>41066134</v>
      </c>
      <c r="K52" s="28">
        <f t="shared" si="12"/>
        <v>0</v>
      </c>
      <c r="L52" s="28" t="e">
        <f t="shared" ref="L52" si="13">SUM(L53:L57)</f>
        <v>#VALUE!</v>
      </c>
    </row>
    <row r="53" spans="1:12" s="54" customFormat="1" ht="12.2" customHeight="1" x14ac:dyDescent="0.2">
      <c r="A53" s="12" t="s">
        <v>89</v>
      </c>
      <c r="B53" s="716" t="s">
        <v>167</v>
      </c>
      <c r="C53" s="116">
        <f>'4. mell.Önkorm'!C55-'27._önkorm_önként'!C54</f>
        <v>0</v>
      </c>
      <c r="D53" s="201">
        <f>'4. mell.Önkorm'!D55-'27._önkorm_önként'!D54</f>
        <v>0</v>
      </c>
      <c r="E53" s="201">
        <f>'4. mell.Önkorm'!E55-'27._önkorm_önként'!E54-'27._önkorm_államig'!E54</f>
        <v>0</v>
      </c>
      <c r="F53" s="572">
        <f>'4. mell.Önkorm'!F55-'27._önkorm_önként'!F54</f>
        <v>0</v>
      </c>
      <c r="G53" s="572">
        <f>'4. mell.Önkorm'!G55-'27._önkorm_önként'!G54</f>
        <v>0</v>
      </c>
      <c r="H53" s="23">
        <f t="shared" si="3"/>
        <v>0</v>
      </c>
      <c r="I53" s="668">
        <f>'4. mell.Önkorm'!I55-'27._önkorm_önként'!I54</f>
        <v>0</v>
      </c>
      <c r="J53" s="23">
        <f>'4. mell.Önkorm'!J55-'27._önkorm_önként'!J54</f>
        <v>0</v>
      </c>
      <c r="K53" s="23">
        <f>'4. mell.Önkorm'!K55-'27._önkorm_önként'!K54</f>
        <v>0</v>
      </c>
      <c r="L53" s="23" t="e">
        <f>'4. mell.Önkorm'!L55-'27._önkorm_önként'!L54</f>
        <v>#VALUE!</v>
      </c>
    </row>
    <row r="54" spans="1:12" s="54" customFormat="1" ht="12.2" customHeight="1" x14ac:dyDescent="0.2">
      <c r="A54" s="1003" t="s">
        <v>102</v>
      </c>
      <c r="B54" s="717" t="s">
        <v>168</v>
      </c>
      <c r="C54" s="402">
        <f>'4. mell.Önkorm'!C56-'27._önkorm_önként'!C55</f>
        <v>57720000</v>
      </c>
      <c r="D54" s="326">
        <f>'4. mell.Önkorm'!D56-'27._önkorm_önként'!D55</f>
        <v>57720000</v>
      </c>
      <c r="E54" s="326">
        <f>'4. mell.Önkorm'!E56-'27._önkorm_önként'!E55-'27._önkorm_államig'!E55</f>
        <v>57720000</v>
      </c>
      <c r="F54" s="573">
        <f>'4. mell.Önkorm'!F56-'27._önkorm_önként'!F55</f>
        <v>57720000</v>
      </c>
      <c r="G54" s="573">
        <f>'4. mell.Önkorm'!G56-'27._önkorm_önként'!G55</f>
        <v>0</v>
      </c>
      <c r="H54" s="328">
        <f t="shared" si="3"/>
        <v>0</v>
      </c>
      <c r="I54" s="666">
        <f>'4. mell.Önkorm'!I56-'27._önkorm_önként'!I55</f>
        <v>0</v>
      </c>
      <c r="J54" s="328">
        <f>'4. mell.Önkorm'!J56-'27._önkorm_önként'!J55</f>
        <v>41066134</v>
      </c>
      <c r="K54" s="328">
        <f>'4. mell.Önkorm'!K56-'27._önkorm_önként'!K55</f>
        <v>0</v>
      </c>
      <c r="L54" s="328">
        <f>'4. mell.Önkorm'!L56-'27._önkorm_önként'!L55</f>
        <v>71.147148302148295</v>
      </c>
    </row>
    <row r="55" spans="1:12" s="54" customFormat="1" ht="12.2" customHeight="1" x14ac:dyDescent="0.2">
      <c r="A55" s="1003" t="s">
        <v>103</v>
      </c>
      <c r="B55" s="717" t="s">
        <v>169</v>
      </c>
      <c r="C55" s="402">
        <f>'4. mell.Önkorm'!C57-'27._önkorm_önként'!C56</f>
        <v>0</v>
      </c>
      <c r="D55" s="326">
        <f>'4. mell.Önkorm'!D57-'27._önkorm_önként'!D56</f>
        <v>0</v>
      </c>
      <c r="E55" s="326">
        <f>'4. mell.Önkorm'!E57-'27._önkorm_önként'!E56-'27._önkorm_államig'!E56</f>
        <v>0</v>
      </c>
      <c r="F55" s="573">
        <f>'4. mell.Önkorm'!F57-'27._önkorm_önként'!F56</f>
        <v>0</v>
      </c>
      <c r="G55" s="573">
        <f>'4. mell.Önkorm'!G57-'27._önkorm_önként'!G56</f>
        <v>0</v>
      </c>
      <c r="H55" s="328">
        <f t="shared" si="3"/>
        <v>0</v>
      </c>
      <c r="I55" s="666">
        <f>'4. mell.Önkorm'!I57-'27._önkorm_önként'!I56</f>
        <v>0</v>
      </c>
      <c r="J55" s="328">
        <f>'4. mell.Önkorm'!J57-'27._önkorm_önként'!J56</f>
        <v>0</v>
      </c>
      <c r="K55" s="328">
        <f>'4. mell.Önkorm'!K57-'27._önkorm_önként'!K56</f>
        <v>0</v>
      </c>
      <c r="L55" s="328" t="e">
        <f>'4. mell.Önkorm'!L57-'27._önkorm_önként'!L56</f>
        <v>#VALUE!</v>
      </c>
    </row>
    <row r="56" spans="1:12" s="54" customFormat="1" ht="12.2" customHeight="1" x14ac:dyDescent="0.2">
      <c r="A56" s="1003" t="s">
        <v>201</v>
      </c>
      <c r="B56" s="717" t="s">
        <v>207</v>
      </c>
      <c r="C56" s="402">
        <f>'4. mell.Önkorm'!C58-'27._önkorm_önként'!C57</f>
        <v>0</v>
      </c>
      <c r="D56" s="326">
        <f>'4. mell.Önkorm'!D58-'27._önkorm_önként'!D57</f>
        <v>0</v>
      </c>
      <c r="E56" s="326">
        <f>'4. mell.Önkorm'!E58-'27._önkorm_önként'!E57-'27._önkorm_államig'!E57</f>
        <v>0</v>
      </c>
      <c r="F56" s="573">
        <f>'4. mell.Önkorm'!F58-'27._önkorm_önként'!F57</f>
        <v>0</v>
      </c>
      <c r="G56" s="573">
        <f>'4. mell.Önkorm'!G58-'27._önkorm_önként'!G57</f>
        <v>0</v>
      </c>
      <c r="H56" s="328">
        <f t="shared" si="3"/>
        <v>0</v>
      </c>
      <c r="I56" s="666">
        <f>'4. mell.Önkorm'!I58-'27._önkorm_önként'!I57</f>
        <v>0</v>
      </c>
      <c r="J56" s="328">
        <f>'4. mell.Önkorm'!J58-'27._önkorm_önként'!J57</f>
        <v>0</v>
      </c>
      <c r="K56" s="328">
        <f>'4. mell.Önkorm'!K58-'27._önkorm_önként'!K57</f>
        <v>0</v>
      </c>
      <c r="L56" s="328" t="e">
        <f>'4. mell.Önkorm'!L58-'27._önkorm_önként'!L57</f>
        <v>#VALUE!</v>
      </c>
    </row>
    <row r="57" spans="1:12" s="54" customFormat="1" ht="12.2" customHeight="1" thickBot="1" x14ac:dyDescent="0.25">
      <c r="A57" s="1005" t="s">
        <v>202</v>
      </c>
      <c r="B57" s="496" t="s">
        <v>209</v>
      </c>
      <c r="C57" s="1029">
        <f>'4. mell.Önkorm'!C59-'27._önkorm_önként'!C58</f>
        <v>0</v>
      </c>
      <c r="D57" s="661">
        <f>'4. mell.Önkorm'!D59-'27._önkorm_önként'!D58</f>
        <v>0</v>
      </c>
      <c r="E57" s="661">
        <f>'4. mell.Önkorm'!E59-'27._önkorm_önként'!E58-'27._önkorm_államig'!E58</f>
        <v>0</v>
      </c>
      <c r="F57" s="571">
        <f>'4. mell.Önkorm'!F59-'27._önkorm_önként'!F58</f>
        <v>0</v>
      </c>
      <c r="G57" s="571">
        <f>'4. mell.Önkorm'!G59-'27._önkorm_önként'!G58</f>
        <v>0</v>
      </c>
      <c r="H57" s="526">
        <f t="shared" si="3"/>
        <v>0</v>
      </c>
      <c r="I57" s="667">
        <f>'4. mell.Önkorm'!I59-'27._önkorm_önként'!I58</f>
        <v>0</v>
      </c>
      <c r="J57" s="526">
        <f>'4. mell.Önkorm'!J59-'27._önkorm_önként'!J58</f>
        <v>0</v>
      </c>
      <c r="K57" s="526">
        <f>'4. mell.Önkorm'!K59-'27._önkorm_önként'!K58</f>
        <v>0</v>
      </c>
      <c r="L57" s="526" t="e">
        <f>'4. mell.Önkorm'!L59-'27._önkorm_önként'!L58</f>
        <v>#VALUE!</v>
      </c>
    </row>
    <row r="58" spans="1:12" s="54" customFormat="1" ht="12.2" customHeight="1" thickBot="1" x14ac:dyDescent="0.25">
      <c r="A58" s="14" t="s">
        <v>17</v>
      </c>
      <c r="B58" s="72" t="s">
        <v>627</v>
      </c>
      <c r="C58" s="113">
        <f>SUM(C59:C60)</f>
        <v>500000</v>
      </c>
      <c r="D58" s="186">
        <f t="shared" ref="D58:K58" si="14">SUM(D59:D60)</f>
        <v>500000</v>
      </c>
      <c r="E58" s="186">
        <f t="shared" si="14"/>
        <v>500000</v>
      </c>
      <c r="F58" s="566">
        <f t="shared" si="14"/>
        <v>500000</v>
      </c>
      <c r="G58" s="566">
        <f t="shared" si="14"/>
        <v>0</v>
      </c>
      <c r="H58" s="28">
        <f t="shared" si="3"/>
        <v>0</v>
      </c>
      <c r="I58" s="628">
        <f t="shared" si="14"/>
        <v>0</v>
      </c>
      <c r="J58" s="28">
        <f t="shared" si="14"/>
        <v>13636313</v>
      </c>
      <c r="K58" s="28">
        <f t="shared" si="14"/>
        <v>0</v>
      </c>
      <c r="L58" s="28" t="e">
        <f t="shared" ref="L58" si="15">SUM(L59:L60)</f>
        <v>#VALUE!</v>
      </c>
    </row>
    <row r="59" spans="1:12" s="54" customFormat="1" ht="12.2" customHeight="1" x14ac:dyDescent="0.2">
      <c r="A59" s="1003" t="s">
        <v>104</v>
      </c>
      <c r="B59" s="717" t="s">
        <v>210</v>
      </c>
      <c r="C59" s="401">
        <f>'4. mell.Önkorm'!C61-'27._önkorm_önként'!C60</f>
        <v>0</v>
      </c>
      <c r="D59" s="325">
        <f>'4. mell.Önkorm'!D61-'27._önkorm_önként'!D60</f>
        <v>0</v>
      </c>
      <c r="E59" s="325">
        <f>'4. mell.Önkorm'!E61-'27._önkorm_önként'!E60-'27._önkorm_államig'!E60</f>
        <v>0</v>
      </c>
      <c r="F59" s="568">
        <f>'4. mell.Önkorm'!F61-'27._önkorm_önként'!F60</f>
        <v>0</v>
      </c>
      <c r="G59" s="568">
        <f>'4. mell.Önkorm'!G61-'27._önkorm_önként'!G60</f>
        <v>0</v>
      </c>
      <c r="H59" s="327">
        <f t="shared" si="3"/>
        <v>0</v>
      </c>
      <c r="I59" s="627">
        <f>'4. mell.Önkorm'!I61-'27._önkorm_önként'!I60</f>
        <v>0</v>
      </c>
      <c r="J59" s="327">
        <f>'4. mell.Önkorm'!J61-'27._önkorm_önként'!J60</f>
        <v>0</v>
      </c>
      <c r="K59" s="327">
        <f>'4. mell.Önkorm'!K61-'27._önkorm_önként'!K60</f>
        <v>0</v>
      </c>
      <c r="L59" s="327" t="e">
        <f>'4. mell.Önkorm'!L61-'27._önkorm_önként'!L60</f>
        <v>#VALUE!</v>
      </c>
    </row>
    <row r="60" spans="1:12" s="54" customFormat="1" ht="12.2" customHeight="1" x14ac:dyDescent="0.2">
      <c r="A60" s="1003" t="s">
        <v>105</v>
      </c>
      <c r="B60" s="717" t="s">
        <v>211</v>
      </c>
      <c r="C60" s="401">
        <f>'4. mell.Önkorm'!C62-'27._önkorm_önként'!C61</f>
        <v>500000</v>
      </c>
      <c r="D60" s="325">
        <f>'4. mell.Önkorm'!D62-'27._önkorm_önként'!D61</f>
        <v>500000</v>
      </c>
      <c r="E60" s="325">
        <f>'4. mell.Önkorm'!E62-'27._önkorm_önként'!E61-'27._önkorm_államig'!E61</f>
        <v>500000</v>
      </c>
      <c r="F60" s="568">
        <f>'4. mell.Önkorm'!F62-'27._önkorm_önként'!F61</f>
        <v>500000</v>
      </c>
      <c r="G60" s="568">
        <f>'4. mell.Önkorm'!G62-'27._önkorm_önként'!G61</f>
        <v>0</v>
      </c>
      <c r="H60" s="327">
        <f t="shared" si="3"/>
        <v>0</v>
      </c>
      <c r="I60" s="627">
        <f>'4. mell.Önkorm'!I62-'27._önkorm_önként'!I61</f>
        <v>0</v>
      </c>
      <c r="J60" s="327">
        <f>'4. mell.Önkorm'!J62-'27._önkorm_önként'!J61</f>
        <v>13636313</v>
      </c>
      <c r="K60" s="327">
        <f>'4. mell.Önkorm'!K62-'27._önkorm_önként'!K61</f>
        <v>0</v>
      </c>
      <c r="L60" s="327">
        <f>'4. mell.Önkorm'!L62-'27._önkorm_önként'!L61</f>
        <v>2727.2626</v>
      </c>
    </row>
    <row r="61" spans="1:12" s="54" customFormat="1" ht="12.2" customHeight="1" thickBot="1" x14ac:dyDescent="0.25">
      <c r="A61" s="1005" t="s">
        <v>610</v>
      </c>
      <c r="B61" s="496" t="s">
        <v>642</v>
      </c>
      <c r="C61" s="504">
        <f>'4. mell.Önkorm'!C63-'27._önkorm_önként'!C62</f>
        <v>0</v>
      </c>
      <c r="D61" s="625">
        <f>'4. mell.Önkorm'!D63-'27._önkorm_önként'!D62</f>
        <v>0</v>
      </c>
      <c r="E61" s="625">
        <f>'4. mell.Önkorm'!E63-'27._önkorm_önként'!E62-'27._önkorm_államig'!E62</f>
        <v>0</v>
      </c>
      <c r="F61" s="569">
        <f>'4. mell.Önkorm'!F63-'27._önkorm_önként'!F62</f>
        <v>0</v>
      </c>
      <c r="G61" s="569">
        <f>'4. mell.Önkorm'!G63-'27._önkorm_önként'!G62</f>
        <v>0</v>
      </c>
      <c r="H61" s="525">
        <f t="shared" si="3"/>
        <v>0</v>
      </c>
      <c r="I61" s="629">
        <f>'4. mell.Önkorm'!I63-'27._önkorm_önként'!I62</f>
        <v>0</v>
      </c>
      <c r="J61" s="525">
        <f>'4. mell.Önkorm'!J63-'27._önkorm_önként'!J62</f>
        <v>0</v>
      </c>
      <c r="K61" s="525">
        <f>'4. mell.Önkorm'!K63-'27._önkorm_önként'!K62</f>
        <v>0</v>
      </c>
      <c r="L61" s="525" t="e">
        <f>'4. mell.Önkorm'!L63-'27._önkorm_önként'!L62</f>
        <v>#VALUE!</v>
      </c>
    </row>
    <row r="62" spans="1:12" s="54" customFormat="1" ht="12.2" customHeight="1" thickBot="1" x14ac:dyDescent="0.25">
      <c r="A62" s="14" t="s">
        <v>18</v>
      </c>
      <c r="B62" s="347" t="s">
        <v>380</v>
      </c>
      <c r="C62" s="113">
        <f>SUM(C63:C64)</f>
        <v>22141000</v>
      </c>
      <c r="D62" s="186">
        <f t="shared" ref="D62:K62" si="16">SUM(D63:D64)</f>
        <v>22141000</v>
      </c>
      <c r="E62" s="186">
        <f t="shared" si="16"/>
        <v>22141000</v>
      </c>
      <c r="F62" s="566">
        <f t="shared" si="16"/>
        <v>22141000</v>
      </c>
      <c r="G62" s="566">
        <f t="shared" si="16"/>
        <v>0</v>
      </c>
      <c r="H62" s="28">
        <f t="shared" si="3"/>
        <v>0</v>
      </c>
      <c r="I62" s="628">
        <f t="shared" si="16"/>
        <v>0</v>
      </c>
      <c r="J62" s="28">
        <f t="shared" si="16"/>
        <v>22377406</v>
      </c>
      <c r="K62" s="28">
        <f t="shared" si="16"/>
        <v>0</v>
      </c>
      <c r="L62" s="28" t="e">
        <f t="shared" ref="L62" si="17">SUM(L63:L64)</f>
        <v>#VALUE!</v>
      </c>
    </row>
    <row r="63" spans="1:12" s="54" customFormat="1" ht="12.2" customHeight="1" x14ac:dyDescent="0.2">
      <c r="A63" s="12" t="s">
        <v>107</v>
      </c>
      <c r="B63" s="717" t="s">
        <v>212</v>
      </c>
      <c r="C63" s="402">
        <f>'4. mell.Önkorm'!C65-'27._önkorm_önként'!C64</f>
        <v>22141000</v>
      </c>
      <c r="D63" s="326">
        <f>'4. mell.Önkorm'!D65-'27._önkorm_önként'!D64</f>
        <v>22141000</v>
      </c>
      <c r="E63" s="326">
        <f>'4. mell.Önkorm'!E65-'27._önkorm_önként'!E64-'27._önkorm_államig'!E64</f>
        <v>22141000</v>
      </c>
      <c r="F63" s="573">
        <f>'4. mell.Önkorm'!F65-'27._önkorm_önként'!F64</f>
        <v>22141000</v>
      </c>
      <c r="G63" s="573">
        <f>'4. mell.Önkorm'!G65-'27._önkorm_önként'!G64</f>
        <v>0</v>
      </c>
      <c r="H63" s="328">
        <f t="shared" si="3"/>
        <v>0</v>
      </c>
      <c r="I63" s="666">
        <f>'4. mell.Önkorm'!I65-'27._önkorm_önként'!I64</f>
        <v>0</v>
      </c>
      <c r="J63" s="328">
        <f>'4. mell.Önkorm'!J65-'27._önkorm_önként'!J64</f>
        <v>22047644</v>
      </c>
      <c r="K63" s="328">
        <f>'4. mell.Önkorm'!K65-'27._önkorm_önként'!K64</f>
        <v>0</v>
      </c>
      <c r="L63" s="328">
        <f>'4. mell.Önkorm'!L65-'27._önkorm_önként'!L64</f>
        <v>99.578356894449215</v>
      </c>
    </row>
    <row r="64" spans="1:12" s="54" customFormat="1" ht="12.2" customHeight="1" x14ac:dyDescent="0.2">
      <c r="A64" s="1003" t="s">
        <v>108</v>
      </c>
      <c r="B64" s="717" t="s">
        <v>213</v>
      </c>
      <c r="C64" s="402">
        <f>'4. mell.Önkorm'!C66-'27._önkorm_önként'!C65</f>
        <v>0</v>
      </c>
      <c r="D64" s="326">
        <f>'4. mell.Önkorm'!D66-'27._önkorm_önként'!D65</f>
        <v>0</v>
      </c>
      <c r="E64" s="326">
        <f>'4. mell.Önkorm'!E66-'27._önkorm_önként'!E65-'27._önkorm_államig'!E65</f>
        <v>0</v>
      </c>
      <c r="F64" s="573">
        <f>'4. mell.Önkorm'!F66-'27._önkorm_önként'!F65</f>
        <v>0</v>
      </c>
      <c r="G64" s="573">
        <f>'4. mell.Önkorm'!G66-'27._önkorm_önként'!G65</f>
        <v>0</v>
      </c>
      <c r="H64" s="328">
        <f t="shared" si="3"/>
        <v>0</v>
      </c>
      <c r="I64" s="666">
        <f>'4. mell.Önkorm'!I66-'27._önkorm_önként'!I65</f>
        <v>0</v>
      </c>
      <c r="J64" s="328">
        <f>'4. mell.Önkorm'!J66-'27._önkorm_önként'!J65</f>
        <v>329762</v>
      </c>
      <c r="K64" s="328">
        <f>'4. mell.Önkorm'!K66-'27._önkorm_önként'!K65</f>
        <v>0</v>
      </c>
      <c r="L64" s="328" t="e">
        <f>'4. mell.Önkorm'!L66-'27._önkorm_önként'!L65</f>
        <v>#VALUE!</v>
      </c>
    </row>
    <row r="65" spans="1:12" s="54" customFormat="1" ht="12.2" customHeight="1" thickBot="1" x14ac:dyDescent="0.25">
      <c r="A65" s="172" t="s">
        <v>323</v>
      </c>
      <c r="B65" s="718" t="s">
        <v>368</v>
      </c>
      <c r="C65" s="402">
        <f>'4. mell.Önkorm'!C67-'27._önkorm_önként'!C66</f>
        <v>0</v>
      </c>
      <c r="D65" s="326">
        <f>'4. mell.Önkorm'!D67-'27._önkorm_önként'!D66</f>
        <v>0</v>
      </c>
      <c r="E65" s="326">
        <f>'4. mell.Önkorm'!E67-'27._önkorm_önként'!E66-'27._önkorm_államig'!E66</f>
        <v>0</v>
      </c>
      <c r="F65" s="573">
        <f>'4. mell.Önkorm'!F67-'27._önkorm_önként'!F66</f>
        <v>0</v>
      </c>
      <c r="G65" s="573">
        <f>'4. mell.Önkorm'!G67-'27._önkorm_önként'!G66</f>
        <v>0</v>
      </c>
      <c r="H65" s="328">
        <f t="shared" si="3"/>
        <v>0</v>
      </c>
      <c r="I65" s="666">
        <f>'4. mell.Önkorm'!I67-'27._önkorm_önként'!I66</f>
        <v>0</v>
      </c>
      <c r="J65" s="328">
        <f>'4. mell.Önkorm'!J67-'27._önkorm_önként'!J66</f>
        <v>0</v>
      </c>
      <c r="K65" s="328">
        <f>'4. mell.Önkorm'!K67-'27._önkorm_önként'!K66</f>
        <v>0</v>
      </c>
      <c r="L65" s="328" t="e">
        <f>'4. mell.Önkorm'!L67-'27._önkorm_önként'!L66</f>
        <v>#VALUE!</v>
      </c>
    </row>
    <row r="66" spans="1:12" s="54" customFormat="1" ht="12.2" customHeight="1" thickBot="1" x14ac:dyDescent="0.25">
      <c r="A66" s="348" t="s">
        <v>19</v>
      </c>
      <c r="B66" s="719" t="s">
        <v>628</v>
      </c>
      <c r="C66" s="1023">
        <f>+C10+C24+C30+C40+C52+C58+C62</f>
        <v>2817178212</v>
      </c>
      <c r="D66" s="187">
        <f>+D10+D24+D30+D40+D52+D58+D62</f>
        <v>3463690083</v>
      </c>
      <c r="E66" s="187">
        <f>+E10+E24+E30+E40+E52+E58+E62</f>
        <v>4803756709</v>
      </c>
      <c r="F66" s="532">
        <f t="shared" ref="F66:K66" si="18">+F10+F24+F30+F40+F52+F58+F62</f>
        <v>7974045484</v>
      </c>
      <c r="G66" s="532">
        <f t="shared" si="18"/>
        <v>0</v>
      </c>
      <c r="H66" s="74">
        <f t="shared" si="3"/>
        <v>1340066626</v>
      </c>
      <c r="I66" s="638">
        <f t="shared" si="18"/>
        <v>0</v>
      </c>
      <c r="J66" s="74">
        <f t="shared" si="18"/>
        <v>8103100090</v>
      </c>
      <c r="K66" s="74">
        <f t="shared" si="18"/>
        <v>0</v>
      </c>
      <c r="L66" s="74" t="e">
        <f t="shared" ref="L66" si="19">+L10+L24+L30+L40+L52+L58+L62</f>
        <v>#VALUE!</v>
      </c>
    </row>
    <row r="67" spans="1:12" s="54" customFormat="1" ht="12.2" customHeight="1" thickBot="1" x14ac:dyDescent="0.25">
      <c r="A67" s="63" t="s">
        <v>20</v>
      </c>
      <c r="B67" s="347" t="s">
        <v>629</v>
      </c>
      <c r="C67" s="113">
        <f>SUM(C68:C70)</f>
        <v>0</v>
      </c>
      <c r="D67" s="186">
        <f t="shared" ref="D67:K67" si="20">SUM(D68:D70)</f>
        <v>0</v>
      </c>
      <c r="E67" s="186">
        <f>'4. mell.Önkorm'!E69-'27._önkorm_önként'!E68-'27._önkorm_államig'!E68</f>
        <v>0</v>
      </c>
      <c r="F67" s="566">
        <f t="shared" si="20"/>
        <v>0</v>
      </c>
      <c r="G67" s="566">
        <f t="shared" si="20"/>
        <v>0</v>
      </c>
      <c r="H67" s="28">
        <f t="shared" si="3"/>
        <v>0</v>
      </c>
      <c r="I67" s="628">
        <f t="shared" si="20"/>
        <v>0</v>
      </c>
      <c r="J67" s="28">
        <f t="shared" si="20"/>
        <v>0</v>
      </c>
      <c r="K67" s="28">
        <f t="shared" si="20"/>
        <v>0</v>
      </c>
      <c r="L67" s="28" t="e">
        <f t="shared" ref="L67" si="21">SUM(L68:L70)</f>
        <v>#VALUE!</v>
      </c>
    </row>
    <row r="68" spans="1:12" s="54" customFormat="1" ht="12.2" customHeight="1" x14ac:dyDescent="0.2">
      <c r="A68" s="12" t="s">
        <v>171</v>
      </c>
      <c r="B68" s="716" t="s">
        <v>215</v>
      </c>
      <c r="C68" s="402">
        <f>'4. mell.Önkorm'!C70-'27._önkorm_önként'!C69</f>
        <v>0</v>
      </c>
      <c r="D68" s="326">
        <f>'4. mell.Önkorm'!D70-'27._önkorm_önként'!D69</f>
        <v>0</v>
      </c>
      <c r="E68" s="326">
        <f>'4. mell.Önkorm'!E70-'27._önkorm_önként'!E69-'27._önkorm_államig'!E69</f>
        <v>0</v>
      </c>
      <c r="F68" s="573">
        <f>'4. mell.Önkorm'!F70-'27._önkorm_önként'!F69</f>
        <v>0</v>
      </c>
      <c r="G68" s="573">
        <f>'4. mell.Önkorm'!G70-'27._önkorm_önként'!G69</f>
        <v>0</v>
      </c>
      <c r="H68" s="328">
        <f t="shared" si="3"/>
        <v>0</v>
      </c>
      <c r="I68" s="666">
        <f>'4. mell.Önkorm'!I70-'27._önkorm_önként'!I69</f>
        <v>0</v>
      </c>
      <c r="J68" s="328">
        <f>'4. mell.Önkorm'!J70-'27._önkorm_önként'!J69</f>
        <v>0</v>
      </c>
      <c r="K68" s="328">
        <f>'4. mell.Önkorm'!K70-'27._önkorm_önként'!K69</f>
        <v>0</v>
      </c>
      <c r="L68" s="328" t="e">
        <f>'4. mell.Önkorm'!L70-'27._önkorm_önként'!L69</f>
        <v>#VALUE!</v>
      </c>
    </row>
    <row r="69" spans="1:12" s="54" customFormat="1" ht="12.2" customHeight="1" x14ac:dyDescent="0.2">
      <c r="A69" s="1003" t="s">
        <v>172</v>
      </c>
      <c r="B69" s="717" t="s">
        <v>324</v>
      </c>
      <c r="C69" s="402">
        <f>'4. mell.Önkorm'!C71-'27._önkorm_önként'!C70</f>
        <v>0</v>
      </c>
      <c r="D69" s="326">
        <f>'4. mell.Önkorm'!D71-'27._önkorm_önként'!D70</f>
        <v>0</v>
      </c>
      <c r="E69" s="326">
        <f>'4. mell.Önkorm'!E71-'27._önkorm_önként'!E70-'27._önkorm_államig'!E70</f>
        <v>0</v>
      </c>
      <c r="F69" s="573">
        <f>'4. mell.Önkorm'!F71-'27._önkorm_önként'!F70</f>
        <v>0</v>
      </c>
      <c r="G69" s="573">
        <f>'4. mell.Önkorm'!G71-'27._önkorm_önként'!G70</f>
        <v>0</v>
      </c>
      <c r="H69" s="328">
        <f t="shared" si="3"/>
        <v>0</v>
      </c>
      <c r="I69" s="666">
        <f>'4. mell.Önkorm'!I71-'27._önkorm_önként'!I70</f>
        <v>0</v>
      </c>
      <c r="J69" s="328">
        <f>'4. mell.Önkorm'!J71-'27._önkorm_önként'!J70</f>
        <v>0</v>
      </c>
      <c r="K69" s="328">
        <f>'4. mell.Önkorm'!K71-'27._önkorm_önként'!K70</f>
        <v>0</v>
      </c>
      <c r="L69" s="328" t="e">
        <f>'4. mell.Önkorm'!L71-'27._önkorm_önként'!L70</f>
        <v>#VALUE!</v>
      </c>
    </row>
    <row r="70" spans="1:12" s="54" customFormat="1" ht="12.2" customHeight="1" thickBot="1" x14ac:dyDescent="0.25">
      <c r="A70" s="1005" t="s">
        <v>173</v>
      </c>
      <c r="B70" s="717" t="s">
        <v>513</v>
      </c>
      <c r="C70" s="402">
        <f>'4. mell.Önkorm'!C72-'27._önkorm_önként'!C71</f>
        <v>0</v>
      </c>
      <c r="D70" s="326">
        <f>'4. mell.Önkorm'!D72-'27._önkorm_önként'!D71</f>
        <v>0</v>
      </c>
      <c r="E70" s="326">
        <f>'4. mell.Önkorm'!E72-'27._önkorm_önként'!E71-'27._önkorm_államig'!E71</f>
        <v>0</v>
      </c>
      <c r="F70" s="573">
        <f>'4. mell.Önkorm'!F72-'27._önkorm_önként'!F71</f>
        <v>0</v>
      </c>
      <c r="G70" s="573">
        <f>'4. mell.Önkorm'!G72-'27._önkorm_önként'!G71</f>
        <v>0</v>
      </c>
      <c r="H70" s="328">
        <f t="shared" si="3"/>
        <v>0</v>
      </c>
      <c r="I70" s="666">
        <f>'4. mell.Önkorm'!I72-'27._önkorm_önként'!I71</f>
        <v>0</v>
      </c>
      <c r="J70" s="328">
        <f>'4. mell.Önkorm'!J72-'27._önkorm_önként'!J71</f>
        <v>0</v>
      </c>
      <c r="K70" s="328">
        <f>'4. mell.Önkorm'!K72-'27._önkorm_önként'!K71</f>
        <v>0</v>
      </c>
      <c r="L70" s="328" t="e">
        <f>'4. mell.Önkorm'!L72-'27._önkorm_önként'!L71</f>
        <v>#VALUE!</v>
      </c>
    </row>
    <row r="71" spans="1:12" s="54" customFormat="1" ht="12.2" customHeight="1" thickBot="1" x14ac:dyDescent="0.25">
      <c r="A71" s="63" t="s">
        <v>21</v>
      </c>
      <c r="B71" s="347" t="s">
        <v>611</v>
      </c>
      <c r="C71" s="113">
        <f>SUM(C72:C74)</f>
        <v>1013629000</v>
      </c>
      <c r="D71" s="186">
        <f t="shared" ref="D71:K71" si="22">SUM(D72:D74)</f>
        <v>1482574500</v>
      </c>
      <c r="E71" s="186">
        <f t="shared" si="22"/>
        <v>1482574500</v>
      </c>
      <c r="F71" s="566">
        <f t="shared" si="22"/>
        <v>1482574500</v>
      </c>
      <c r="G71" s="566">
        <f t="shared" si="22"/>
        <v>0</v>
      </c>
      <c r="H71" s="28">
        <f t="shared" si="3"/>
        <v>0</v>
      </c>
      <c r="I71" s="628">
        <f t="shared" si="22"/>
        <v>0</v>
      </c>
      <c r="J71" s="28">
        <f t="shared" si="22"/>
        <v>1279185500</v>
      </c>
      <c r="K71" s="28">
        <f t="shared" si="22"/>
        <v>0</v>
      </c>
      <c r="L71" s="28" t="e">
        <f t="shared" ref="L71" si="23">SUM(L72:L74)</f>
        <v>#VALUE!</v>
      </c>
    </row>
    <row r="72" spans="1:12" s="54" customFormat="1" ht="12.2" customHeight="1" x14ac:dyDescent="0.2">
      <c r="A72" s="12" t="s">
        <v>214</v>
      </c>
      <c r="B72" s="716" t="s">
        <v>218</v>
      </c>
      <c r="C72" s="402">
        <f>'4. mell.Önkorm'!C74-'27._önkorm_önként'!C73</f>
        <v>1013629000</v>
      </c>
      <c r="D72" s="326">
        <f>'4. mell.Önkorm'!D74-'27._önkorm_önként'!D73</f>
        <v>1482574500</v>
      </c>
      <c r="E72" s="326">
        <f>'4. mell.Önkorm'!E74-'27._önkorm_önként'!E73-'27._önkorm_államig'!E73</f>
        <v>1482574500</v>
      </c>
      <c r="F72" s="573">
        <f>'4. mell.Önkorm'!F74-'27._önkorm_önként'!F73</f>
        <v>1482574500</v>
      </c>
      <c r="G72" s="573">
        <f>'4. mell.Önkorm'!G74-'27._önkorm_önként'!G73</f>
        <v>0</v>
      </c>
      <c r="H72" s="328">
        <f t="shared" si="3"/>
        <v>0</v>
      </c>
      <c r="I72" s="666">
        <f>'4. mell.Önkorm'!I74-'27._önkorm_önként'!I73</f>
        <v>0</v>
      </c>
      <c r="J72" s="328">
        <f>'4. mell.Önkorm'!J74-'27._önkorm_önként'!J73</f>
        <v>1279185500</v>
      </c>
      <c r="K72" s="328">
        <f>'4. mell.Önkorm'!K74-'27._önkorm_önként'!K73</f>
        <v>0</v>
      </c>
      <c r="L72" s="328">
        <f>'4. mell.Önkorm'!L74-'27._önkorm_önként'!L73</f>
        <v>86.281363938203441</v>
      </c>
    </row>
    <row r="73" spans="1:12" s="54" customFormat="1" ht="12.2" customHeight="1" x14ac:dyDescent="0.2">
      <c r="A73" s="12" t="s">
        <v>640</v>
      </c>
      <c r="B73" s="716" t="s">
        <v>390</v>
      </c>
      <c r="C73" s="402">
        <f>'4. mell.Önkorm'!C75-'27._önkorm_önként'!C74</f>
        <v>0</v>
      </c>
      <c r="D73" s="326">
        <f>'4. mell.Önkorm'!D75-'27._önkorm_önként'!D74</f>
        <v>0</v>
      </c>
      <c r="E73" s="326">
        <f>'4. mell.Önkorm'!E75-'27._önkorm_önként'!E74-'27._önkorm_államig'!E74</f>
        <v>0</v>
      </c>
      <c r="F73" s="573">
        <f>'4. mell.Önkorm'!F75-'27._önkorm_önként'!F74</f>
        <v>0</v>
      </c>
      <c r="G73" s="573">
        <f>'4. mell.Önkorm'!G75-'27._önkorm_önként'!G74</f>
        <v>0</v>
      </c>
      <c r="H73" s="328">
        <f t="shared" si="3"/>
        <v>0</v>
      </c>
      <c r="I73" s="666">
        <f>'4. mell.Önkorm'!I75-'27._önkorm_önként'!I74</f>
        <v>0</v>
      </c>
      <c r="J73" s="328">
        <f>'4. mell.Önkorm'!J75-'27._önkorm_önként'!J74</f>
        <v>0</v>
      </c>
      <c r="K73" s="328">
        <f>'4. mell.Önkorm'!K75-'27._önkorm_önként'!K74</f>
        <v>0</v>
      </c>
      <c r="L73" s="328" t="e">
        <f>'4. mell.Önkorm'!L75-'27._önkorm_önként'!L74</f>
        <v>#VALUE!</v>
      </c>
    </row>
    <row r="74" spans="1:12" s="54" customFormat="1" ht="12.2" customHeight="1" thickBot="1" x14ac:dyDescent="0.25">
      <c r="A74" s="1003" t="s">
        <v>216</v>
      </c>
      <c r="B74" s="717" t="s">
        <v>535</v>
      </c>
      <c r="C74" s="402">
        <f>'4. mell.Önkorm'!C76-'27._önkorm_önként'!C75</f>
        <v>0</v>
      </c>
      <c r="D74" s="326">
        <f>'4. mell.Önkorm'!D76-'27._önkorm_önként'!D75</f>
        <v>0</v>
      </c>
      <c r="E74" s="326">
        <f>'4. mell.Önkorm'!E76-'27._önkorm_önként'!E75-'27._önkorm_államig'!E75</f>
        <v>0</v>
      </c>
      <c r="F74" s="573">
        <f>'4. mell.Önkorm'!F76-'27._önkorm_önként'!F75</f>
        <v>0</v>
      </c>
      <c r="G74" s="573">
        <f>'4. mell.Önkorm'!G76-'27._önkorm_önként'!G75</f>
        <v>0</v>
      </c>
      <c r="H74" s="328">
        <f t="shared" si="3"/>
        <v>0</v>
      </c>
      <c r="I74" s="666">
        <f>'4. mell.Önkorm'!I76-'27._önkorm_önként'!I75</f>
        <v>0</v>
      </c>
      <c r="J74" s="328">
        <f>'4. mell.Önkorm'!J76-'27._önkorm_önként'!J75</f>
        <v>0</v>
      </c>
      <c r="K74" s="328">
        <f>'4. mell.Önkorm'!K76-'27._önkorm_önként'!K75</f>
        <v>0</v>
      </c>
      <c r="L74" s="328" t="e">
        <f>'4. mell.Önkorm'!L76-'27._önkorm_önként'!L75</f>
        <v>#VALUE!</v>
      </c>
    </row>
    <row r="75" spans="1:12" s="54" customFormat="1" ht="12.2" customHeight="1" thickBot="1" x14ac:dyDescent="0.25">
      <c r="A75" s="63" t="s">
        <v>22</v>
      </c>
      <c r="B75" s="347" t="s">
        <v>612</v>
      </c>
      <c r="C75" s="113">
        <f>SUM(C76:C77)</f>
        <v>0</v>
      </c>
      <c r="D75" s="186">
        <f t="shared" ref="D75:K75" si="24">SUM(D76:D77)</f>
        <v>45474169</v>
      </c>
      <c r="E75" s="186">
        <f t="shared" si="24"/>
        <v>45474169</v>
      </c>
      <c r="F75" s="566">
        <f t="shared" si="24"/>
        <v>45474169</v>
      </c>
      <c r="G75" s="566">
        <f t="shared" si="24"/>
        <v>0</v>
      </c>
      <c r="H75" s="28">
        <f t="shared" ref="H75:H83" si="25">+E75-D75</f>
        <v>0</v>
      </c>
      <c r="I75" s="628">
        <f t="shared" si="24"/>
        <v>0</v>
      </c>
      <c r="J75" s="28">
        <f t="shared" si="24"/>
        <v>45474169</v>
      </c>
      <c r="K75" s="28">
        <f t="shared" si="24"/>
        <v>0</v>
      </c>
      <c r="L75" s="28" t="e">
        <f t="shared" ref="L75" si="26">SUM(L76:L77)</f>
        <v>#VALUE!</v>
      </c>
    </row>
    <row r="76" spans="1:12" s="54" customFormat="1" ht="12.2" customHeight="1" x14ac:dyDescent="0.2">
      <c r="A76" s="12" t="s">
        <v>217</v>
      </c>
      <c r="B76" s="59" t="s">
        <v>369</v>
      </c>
      <c r="C76" s="402">
        <f>'4. mell.Önkorm'!C78-'27._önkorm_önként'!C77</f>
        <v>0</v>
      </c>
      <c r="D76" s="326">
        <f>'4. mell.Önkorm'!D78-'27._önkorm_önként'!D77</f>
        <v>45474169</v>
      </c>
      <c r="E76" s="326">
        <f>'4. mell.Önkorm'!E78-'27._önkorm_önként'!E77-'27._önkorm_államig'!E77</f>
        <v>45474169</v>
      </c>
      <c r="F76" s="573">
        <f>'4. mell.Önkorm'!F78-'27._önkorm_önként'!F77</f>
        <v>45474169</v>
      </c>
      <c r="G76" s="573">
        <f>'4. mell.Önkorm'!G78-'27._önkorm_önként'!G77</f>
        <v>0</v>
      </c>
      <c r="H76" s="328">
        <f t="shared" si="25"/>
        <v>0</v>
      </c>
      <c r="I76" s="666">
        <f>'4. mell.Önkorm'!I78-'27._önkorm_önként'!I77</f>
        <v>0</v>
      </c>
      <c r="J76" s="328">
        <f>'4. mell.Önkorm'!J78-'27._önkorm_önként'!J77</f>
        <v>45474169</v>
      </c>
      <c r="K76" s="328">
        <f>'4. mell.Önkorm'!K78-'27._önkorm_önként'!K77</f>
        <v>0</v>
      </c>
      <c r="L76" s="328">
        <f>'4. mell.Önkorm'!L78-'27._önkorm_önként'!L77</f>
        <v>100</v>
      </c>
    </row>
    <row r="77" spans="1:12" s="54" customFormat="1" ht="12.2" customHeight="1" thickBot="1" x14ac:dyDescent="0.25">
      <c r="A77" s="1005" t="s">
        <v>219</v>
      </c>
      <c r="B77" s="59" t="s">
        <v>370</v>
      </c>
      <c r="C77" s="402">
        <f>'4. mell.Önkorm'!C79-'27._önkorm_önként'!C78</f>
        <v>0</v>
      </c>
      <c r="D77" s="326">
        <f>'4. mell.Önkorm'!D79-'27._önkorm_önként'!D78</f>
        <v>0</v>
      </c>
      <c r="E77" s="326">
        <f>'4. mell.Önkorm'!E79-'27._önkorm_önként'!E78-'27._önkorm_államig'!E78</f>
        <v>0</v>
      </c>
      <c r="F77" s="573">
        <f>'4. mell.Önkorm'!F79-'27._önkorm_önként'!F78</f>
        <v>0</v>
      </c>
      <c r="G77" s="573">
        <f>'4. mell.Önkorm'!G79-'27._önkorm_önként'!G78</f>
        <v>0</v>
      </c>
      <c r="H77" s="328">
        <f t="shared" si="25"/>
        <v>0</v>
      </c>
      <c r="I77" s="666">
        <f>'4. mell.Önkorm'!I79-'27._önkorm_önként'!I78</f>
        <v>0</v>
      </c>
      <c r="J77" s="328">
        <f>'4. mell.Önkorm'!J79-'27._önkorm_önként'!J78</f>
        <v>0</v>
      </c>
      <c r="K77" s="328">
        <f>'4. mell.Önkorm'!K79-'27._önkorm_önként'!K78</f>
        <v>0</v>
      </c>
      <c r="L77" s="328" t="e">
        <f>'4. mell.Önkorm'!L79-'27._önkorm_önként'!L78</f>
        <v>#VALUE!</v>
      </c>
    </row>
    <row r="78" spans="1:12" s="26" customFormat="1" ht="12.2" customHeight="1" thickBot="1" x14ac:dyDescent="0.25">
      <c r="A78" s="63" t="s">
        <v>23</v>
      </c>
      <c r="B78" s="347" t="s">
        <v>613</v>
      </c>
      <c r="C78" s="113">
        <f>SUM(C79:C81)</f>
        <v>4200000000</v>
      </c>
      <c r="D78" s="186">
        <f t="shared" ref="D78:K78" si="27">SUM(D79:D81)</f>
        <v>5662567692</v>
      </c>
      <c r="E78" s="186">
        <f t="shared" si="27"/>
        <v>6461524380</v>
      </c>
      <c r="F78" s="566">
        <f t="shared" si="27"/>
        <v>6731480322</v>
      </c>
      <c r="G78" s="566">
        <f t="shared" si="27"/>
        <v>0</v>
      </c>
      <c r="H78" s="28">
        <f t="shared" si="25"/>
        <v>798956688</v>
      </c>
      <c r="I78" s="628">
        <f t="shared" si="27"/>
        <v>0</v>
      </c>
      <c r="J78" s="28">
        <f t="shared" si="27"/>
        <v>74155604157</v>
      </c>
      <c r="K78" s="28">
        <f t="shared" si="27"/>
        <v>0</v>
      </c>
      <c r="L78" s="28" t="e">
        <f t="shared" ref="L78" si="28">SUM(L79:L81)</f>
        <v>#VALUE!</v>
      </c>
    </row>
    <row r="79" spans="1:12" s="54" customFormat="1" ht="12.2" customHeight="1" x14ac:dyDescent="0.2">
      <c r="A79" s="12" t="s">
        <v>220</v>
      </c>
      <c r="B79" s="716" t="s">
        <v>303</v>
      </c>
      <c r="C79" s="402">
        <f>'4. mell.Önkorm'!C81-'27._önkorm_önként'!C80</f>
        <v>0</v>
      </c>
      <c r="D79" s="326">
        <f>'4. mell.Önkorm'!D81-'27._önkorm_önként'!D80</f>
        <v>1462567692</v>
      </c>
      <c r="E79" s="326">
        <f>'4. mell.Önkorm'!E81-'27._önkorm_önként'!E80-'27._önkorm_államig'!E80</f>
        <v>2261524380</v>
      </c>
      <c r="F79" s="573">
        <f>'4. mell.Önkorm'!F81-'27._önkorm_önként'!F80</f>
        <v>2531480322</v>
      </c>
      <c r="G79" s="573">
        <f>'4. mell.Önkorm'!G81-'27._önkorm_önként'!G80</f>
        <v>0</v>
      </c>
      <c r="H79" s="328">
        <f t="shared" si="25"/>
        <v>798956688</v>
      </c>
      <c r="I79" s="666">
        <f>'4. mell.Önkorm'!I81-'27._önkorm_önként'!I80</f>
        <v>0</v>
      </c>
      <c r="J79" s="328">
        <f>'4. mell.Önkorm'!J81-'27._önkorm_önként'!J80</f>
        <v>2531480322</v>
      </c>
      <c r="K79" s="328">
        <f>'4. mell.Önkorm'!K81-'27._önkorm_önként'!K80</f>
        <v>0</v>
      </c>
      <c r="L79" s="328">
        <f>'4. mell.Önkorm'!L81-'27._önkorm_önként'!L80</f>
        <v>100</v>
      </c>
    </row>
    <row r="80" spans="1:12" s="54" customFormat="1" ht="12.2" customHeight="1" x14ac:dyDescent="0.2">
      <c r="A80" s="1003" t="s">
        <v>221</v>
      </c>
      <c r="B80" s="717" t="s">
        <v>304</v>
      </c>
      <c r="C80" s="402">
        <f>'4. mell.Önkorm'!C82-'27._önkorm_önként'!C81</f>
        <v>0</v>
      </c>
      <c r="D80" s="326">
        <f>'4. mell.Önkorm'!D82-'27._önkorm_önként'!D81</f>
        <v>0</v>
      </c>
      <c r="E80" s="326">
        <f>'4. mell.Önkorm'!E82-'27._önkorm_önként'!E81-'27._önkorm_államig'!E81</f>
        <v>0</v>
      </c>
      <c r="F80" s="573">
        <f>'4. mell.Önkorm'!F82-'27._önkorm_önként'!F81</f>
        <v>0</v>
      </c>
      <c r="G80" s="573">
        <f>'4. mell.Önkorm'!G82-'27._önkorm_önként'!G81</f>
        <v>0</v>
      </c>
      <c r="H80" s="328">
        <f t="shared" si="25"/>
        <v>0</v>
      </c>
      <c r="I80" s="666">
        <f>'4. mell.Önkorm'!I82-'27._önkorm_önként'!I81</f>
        <v>0</v>
      </c>
      <c r="J80" s="328">
        <f>'4. mell.Önkorm'!J82-'27._önkorm_önként'!J81</f>
        <v>0</v>
      </c>
      <c r="K80" s="328">
        <f>'4. mell.Önkorm'!K82-'27._önkorm_önként'!K81</f>
        <v>0</v>
      </c>
      <c r="L80" s="328" t="e">
        <f>'4. mell.Önkorm'!L82-'27._önkorm_önként'!L81</f>
        <v>#VALUE!</v>
      </c>
    </row>
    <row r="81" spans="1:21" s="54" customFormat="1" ht="12.2" customHeight="1" thickBot="1" x14ac:dyDescent="0.25">
      <c r="A81" s="1005" t="s">
        <v>325</v>
      </c>
      <c r="B81" s="496" t="s">
        <v>378</v>
      </c>
      <c r="C81" s="402">
        <f>'4. mell.Önkorm'!C83-'27._önkorm_önként'!C82</f>
        <v>4200000000</v>
      </c>
      <c r="D81" s="326">
        <f>'4. mell.Önkorm'!D83-'27._önkorm_önként'!D82</f>
        <v>4200000000</v>
      </c>
      <c r="E81" s="326">
        <f>'4. mell.Önkorm'!E83-'27._önkorm_önként'!E82-'27._önkorm_államig'!E82</f>
        <v>4200000000</v>
      </c>
      <c r="F81" s="573">
        <f>'4. mell.Önkorm'!F83-'27._önkorm_önként'!F82</f>
        <v>4200000000</v>
      </c>
      <c r="G81" s="573">
        <f>'4. mell.Önkorm'!G83-'27._önkorm_önként'!G82</f>
        <v>0</v>
      </c>
      <c r="H81" s="328">
        <f t="shared" si="25"/>
        <v>0</v>
      </c>
      <c r="I81" s="666">
        <f>'4. mell.Önkorm'!I83-'27._önkorm_önként'!I82</f>
        <v>0</v>
      </c>
      <c r="J81" s="328">
        <f>'4. mell.Önkorm'!J83-'27._önkorm_önként'!J82</f>
        <v>71624123835</v>
      </c>
      <c r="K81" s="328">
        <f>'4. mell.Önkorm'!K83-'27._önkorm_önként'!K82</f>
        <v>0</v>
      </c>
      <c r="L81" s="328">
        <f>'4. mell.Önkorm'!L83-'27._önkorm_önként'!L82</f>
        <v>1705.3362817857142</v>
      </c>
    </row>
    <row r="82" spans="1:21" s="26" customFormat="1" ht="12.2" customHeight="1" thickBot="1" x14ac:dyDescent="0.25">
      <c r="A82" s="63" t="s">
        <v>24</v>
      </c>
      <c r="B82" s="347" t="s">
        <v>614</v>
      </c>
      <c r="C82" s="1023">
        <f>+C67+C71+C75+C78</f>
        <v>5213629000</v>
      </c>
      <c r="D82" s="187">
        <f t="shared" ref="D82:K82" si="29">+D67+D71+D75+D78</f>
        <v>7190616361</v>
      </c>
      <c r="E82" s="187">
        <f t="shared" ref="E82" si="30">+E67+E71+E75+E78</f>
        <v>7989573049</v>
      </c>
      <c r="F82" s="532">
        <f t="shared" si="29"/>
        <v>8259528991</v>
      </c>
      <c r="G82" s="532">
        <f t="shared" si="29"/>
        <v>0</v>
      </c>
      <c r="H82" s="74">
        <f t="shared" si="25"/>
        <v>798956688</v>
      </c>
      <c r="I82" s="638">
        <f t="shared" si="29"/>
        <v>0</v>
      </c>
      <c r="J82" s="74">
        <f t="shared" si="29"/>
        <v>75480263826</v>
      </c>
      <c r="K82" s="74">
        <f t="shared" si="29"/>
        <v>0</v>
      </c>
      <c r="L82" s="74" t="e">
        <f t="shared" ref="L82" si="31">+L67+L71+L75+L78</f>
        <v>#VALUE!</v>
      </c>
    </row>
    <row r="83" spans="1:21" s="26" customFormat="1" ht="12.2" customHeight="1" thickBot="1" x14ac:dyDescent="0.25">
      <c r="A83" s="80" t="s">
        <v>25</v>
      </c>
      <c r="B83" s="561" t="s">
        <v>635</v>
      </c>
      <c r="C83" s="1023">
        <f>+C66+C82</f>
        <v>8030807212</v>
      </c>
      <c r="D83" s="624">
        <f>+D66+D82</f>
        <v>10654306444</v>
      </c>
      <c r="E83" s="1023">
        <f>+E66+E82</f>
        <v>12793329758</v>
      </c>
      <c r="F83" s="532">
        <f t="shared" ref="F83:K83" si="32">+F66+F82</f>
        <v>16233574475</v>
      </c>
      <c r="G83" s="532">
        <f t="shared" si="32"/>
        <v>0</v>
      </c>
      <c r="H83" s="74">
        <f t="shared" si="25"/>
        <v>2139023314</v>
      </c>
      <c r="I83" s="638">
        <f t="shared" si="32"/>
        <v>0</v>
      </c>
      <c r="J83" s="74">
        <f t="shared" si="32"/>
        <v>83583363916</v>
      </c>
      <c r="K83" s="74">
        <f t="shared" si="32"/>
        <v>0</v>
      </c>
      <c r="L83" s="74" t="e">
        <f t="shared" ref="L83" si="33">+L66+L82</f>
        <v>#VALUE!</v>
      </c>
      <c r="P83" s="111">
        <f>+H83+'27._önkorm_önként'!H84+'27._önkorm_államig'!H84</f>
        <v>2606002670</v>
      </c>
      <c r="Q83" s="1910" t="s">
        <v>788</v>
      </c>
      <c r="R83" s="1910"/>
      <c r="S83" s="1910"/>
      <c r="T83" s="1910"/>
    </row>
    <row r="84" spans="1:21" s="54" customFormat="1" ht="15" customHeight="1" x14ac:dyDescent="0.2">
      <c r="A84" s="274"/>
      <c r="B84" s="275"/>
      <c r="C84" s="144"/>
      <c r="D84" s="66"/>
      <c r="E84" s="66"/>
      <c r="F84" s="66"/>
      <c r="G84" s="66"/>
      <c r="H84" s="144">
        <f>D84-C84</f>
        <v>0</v>
      </c>
      <c r="I84" s="144"/>
      <c r="J84" s="144"/>
      <c r="K84" s="144"/>
      <c r="L84" s="144"/>
      <c r="N84" s="54" t="b">
        <f>E83=E131</f>
        <v>1</v>
      </c>
      <c r="O84" s="1178">
        <f>+H83-H131</f>
        <v>0</v>
      </c>
      <c r="P84" s="111">
        <f>'4. mell.Önkorm'!H134</f>
        <v>2606002670</v>
      </c>
      <c r="Q84" s="1911" t="s">
        <v>789</v>
      </c>
      <c r="R84" s="1911"/>
      <c r="S84" s="1911"/>
      <c r="T84" s="1911"/>
      <c r="U84" s="1911"/>
    </row>
    <row r="85" spans="1:21" ht="13.5" thickBot="1" x14ac:dyDescent="0.25">
      <c r="A85" s="1912" t="s">
        <v>362</v>
      </c>
      <c r="B85" s="1912"/>
      <c r="C85" s="1912"/>
      <c r="D85" s="1912"/>
      <c r="E85" s="1912"/>
      <c r="F85" s="1912"/>
      <c r="G85" s="1912"/>
      <c r="H85" s="1912"/>
      <c r="I85" s="25"/>
      <c r="J85" s="25"/>
      <c r="K85" s="25"/>
      <c r="L85" s="25"/>
      <c r="P85" s="25" t="b">
        <f>P83=P84</f>
        <v>1</v>
      </c>
    </row>
    <row r="86" spans="1:21" s="554" customFormat="1" ht="51.75" customHeight="1" thickBot="1" x14ac:dyDescent="0.25">
      <c r="A86" s="641"/>
      <c r="B86" s="642" t="s">
        <v>38</v>
      </c>
      <c r="C86" s="21" t="str">
        <f t="shared" ref="C86:L86" si="34">C7</f>
        <v>2023. évi eredeti előirányzat
2/2023. (II.14.)</v>
      </c>
      <c r="D86" s="983" t="str">
        <f t="shared" si="34"/>
        <v>Módosított előirányzat a 14/2023.  (VI.29.)  rendelet szerint</v>
      </c>
      <c r="E86" s="555" t="str">
        <f t="shared" si="34"/>
        <v>Módosított előirányzat a 18/2023. (IX.26.)  rendelet szerint</v>
      </c>
      <c r="F86" s="555" t="str">
        <f t="shared" si="34"/>
        <v>Módosított előirányzat 2023.09.30-án</v>
      </c>
      <c r="G86" s="555" t="str">
        <f t="shared" si="34"/>
        <v>Módosított előirányzat a …../2023. (II…..)  rendelet szerint</v>
      </c>
      <c r="H86" s="32" t="str">
        <f t="shared" si="34"/>
        <v>Változás a 14/2023. (VI.29.) rendelethez képest</v>
      </c>
      <c r="I86" s="640" t="str">
        <f t="shared" si="34"/>
        <v>2023. évi teljesítés              2023.06.30-ig</v>
      </c>
      <c r="J86" s="555" t="str">
        <f t="shared" si="34"/>
        <v>2023. évi teljesítés              2023.09.30-ig</v>
      </c>
      <c r="K86" s="555" t="str">
        <f t="shared" si="34"/>
        <v>2023. évi teljesítés              2023.12.31-ig</v>
      </c>
      <c r="L86" s="32" t="str">
        <f t="shared" si="34"/>
        <v>Teljesítés %-a</v>
      </c>
    </row>
    <row r="87" spans="1:21" s="31" customFormat="1" ht="12.2" customHeight="1" thickBot="1" x14ac:dyDescent="0.25">
      <c r="A87" s="76" t="s">
        <v>12</v>
      </c>
      <c r="B87" s="815" t="s">
        <v>547</v>
      </c>
      <c r="C87" s="1021">
        <f>C88+C90+C91+C92+C93</f>
        <v>5387537015</v>
      </c>
      <c r="D87" s="183">
        <f>D88+D90+D91+D92+D93</f>
        <v>5497800740</v>
      </c>
      <c r="E87" s="183">
        <f>E88+E90+E91+E92+E93</f>
        <v>6392446079</v>
      </c>
      <c r="F87" s="574">
        <f t="shared" ref="F87:K87" si="35">F88+F90+F91+F92+F93</f>
        <v>7531691886</v>
      </c>
      <c r="G87" s="574">
        <f t="shared" si="35"/>
        <v>0</v>
      </c>
      <c r="H87" s="77">
        <f t="shared" ref="H87:H133" si="36">+E87-D87</f>
        <v>894645339</v>
      </c>
      <c r="I87" s="670">
        <f t="shared" si="35"/>
        <v>0</v>
      </c>
      <c r="J87" s="77">
        <f t="shared" si="35"/>
        <v>4346088198</v>
      </c>
      <c r="K87" s="77">
        <f t="shared" si="35"/>
        <v>0</v>
      </c>
      <c r="L87" s="77">
        <f t="shared" ref="L87" si="37">L88+L90+L91+L92+L93+L100</f>
        <v>282.63035101002379</v>
      </c>
    </row>
    <row r="88" spans="1:21" ht="12.2" customHeight="1" x14ac:dyDescent="0.2">
      <c r="A88" s="99" t="s">
        <v>91</v>
      </c>
      <c r="B88" s="50" t="s">
        <v>68</v>
      </c>
      <c r="C88" s="117">
        <f>'4. mell.Önkorm'!C91-'27._önkorm_önként'!C89</f>
        <v>89329769</v>
      </c>
      <c r="D88" s="184">
        <f>'4. mell.Önkorm'!D91-'27._önkorm_önként'!D89</f>
        <v>95395526</v>
      </c>
      <c r="E88" s="184">
        <f>'4. mell.Önkorm'!E91-'27._önkorm_önként'!E89-'27._önkorm_államig'!E89</f>
        <v>99169200</v>
      </c>
      <c r="F88" s="575">
        <f>'4. mell.Önkorm'!F91-'27._önkorm_önként'!F89</f>
        <v>164055259</v>
      </c>
      <c r="G88" s="575">
        <f>'4. mell.Önkorm'!G91-'27._önkorm_önként'!G89</f>
        <v>0</v>
      </c>
      <c r="H88" s="78">
        <f t="shared" si="36"/>
        <v>3773674</v>
      </c>
      <c r="I88" s="671">
        <f>'4. mell.Önkorm'!I91-'27._önkorm_önként'!I89</f>
        <v>0</v>
      </c>
      <c r="J88" s="78">
        <f>'4. mell.Önkorm'!J91-'27._önkorm_önként'!J89</f>
        <v>100880145</v>
      </c>
      <c r="K88" s="78">
        <f>'4. mell.Önkorm'!K91-'27._önkorm_önként'!K89</f>
        <v>0</v>
      </c>
      <c r="L88" s="78">
        <f>'4. mell.Önkorm'!L91-'27._önkorm_önként'!L89</f>
        <v>61.491564253968846</v>
      </c>
    </row>
    <row r="89" spans="1:21" ht="12.2" customHeight="1" x14ac:dyDescent="0.2">
      <c r="A89" s="1003" t="s">
        <v>305</v>
      </c>
      <c r="B89" s="335" t="s">
        <v>270</v>
      </c>
      <c r="C89" s="114">
        <f>'4. mell.Önkorm'!C92-'27._önkorm_önként'!C90</f>
        <v>0</v>
      </c>
      <c r="D89" s="185">
        <f>'4. mell.Önkorm'!D92-'27._önkorm_önként'!D90</f>
        <v>0</v>
      </c>
      <c r="E89" s="185">
        <f>'4. mell.Önkorm'!E92-'27._önkorm_önként'!E90-'27._önkorm_államig'!E90</f>
        <v>3296674</v>
      </c>
      <c r="F89" s="567">
        <f>'4. mell.Önkorm'!F92-'27._önkorm_önként'!F90</f>
        <v>3296674</v>
      </c>
      <c r="G89" s="567">
        <f>'4. mell.Önkorm'!G92-'27._önkorm_önként'!G90</f>
        <v>0</v>
      </c>
      <c r="H89" s="16">
        <f t="shared" si="36"/>
        <v>3296674</v>
      </c>
      <c r="I89" s="626">
        <f>'4. mell.Önkorm'!I92-'27._önkorm_önként'!I90</f>
        <v>0</v>
      </c>
      <c r="J89" s="16">
        <f>'4. mell.Önkorm'!J92-'27._önkorm_önként'!J90</f>
        <v>0</v>
      </c>
      <c r="K89" s="16">
        <f>'4. mell.Önkorm'!K92-'27._önkorm_önként'!K90</f>
        <v>0</v>
      </c>
      <c r="L89" s="16">
        <f>'4. mell.Önkorm'!L92-'27._önkorm_önként'!L90</f>
        <v>0</v>
      </c>
    </row>
    <row r="90" spans="1:21" ht="12.2" customHeight="1" x14ac:dyDescent="0.2">
      <c r="A90" s="1003" t="s">
        <v>92</v>
      </c>
      <c r="B90" s="330" t="s">
        <v>87</v>
      </c>
      <c r="C90" s="401">
        <f>'4. mell.Önkorm'!C93-'27._önkorm_önként'!C91</f>
        <v>12416236</v>
      </c>
      <c r="D90" s="325">
        <f>'4. mell.Önkorm'!D93-'27._önkorm_önként'!D91</f>
        <v>13157863</v>
      </c>
      <c r="E90" s="325">
        <f>'4. mell.Önkorm'!E93-'27._önkorm_önként'!E91-'27._önkorm_államig'!E91</f>
        <v>13712431</v>
      </c>
      <c r="F90" s="568">
        <f>'4. mell.Önkorm'!F93-'27._önkorm_önként'!F91</f>
        <v>31255100</v>
      </c>
      <c r="G90" s="568">
        <f>'4. mell.Önkorm'!G93-'27._önkorm_önként'!G91</f>
        <v>0</v>
      </c>
      <c r="H90" s="327">
        <f t="shared" si="36"/>
        <v>554568</v>
      </c>
      <c r="I90" s="627">
        <f>'4. mell.Önkorm'!I93-'27._önkorm_önként'!I91</f>
        <v>0</v>
      </c>
      <c r="J90" s="327">
        <f>'4. mell.Önkorm'!J93-'27._önkorm_önként'!J91</f>
        <v>19818558</v>
      </c>
      <c r="K90" s="327">
        <f>'4. mell.Önkorm'!K93-'27._önkorm_önként'!K91</f>
        <v>0</v>
      </c>
      <c r="L90" s="327">
        <f>'4. mell.Önkorm'!L93-'27._önkorm_önként'!L91</f>
        <v>63.409037245121588</v>
      </c>
    </row>
    <row r="91" spans="1:21" ht="12.2" customHeight="1" x14ac:dyDescent="0.2">
      <c r="A91" s="1003" t="s">
        <v>93</v>
      </c>
      <c r="B91" s="330" t="s">
        <v>69</v>
      </c>
      <c r="C91" s="504">
        <f>'4. mell.Önkorm'!C94-'27._önkorm_önként'!C92</f>
        <v>493804625</v>
      </c>
      <c r="D91" s="625">
        <f>'4. mell.Önkorm'!D94-'27._önkorm_önként'!D92</f>
        <v>554404489</v>
      </c>
      <c r="E91" s="625">
        <f>'4. mell.Önkorm'!E94-'27._önkorm_önként'!E92-'27._önkorm_államig'!E92</f>
        <v>559282870</v>
      </c>
      <c r="F91" s="569">
        <f>'4. mell.Önkorm'!F94-'27._önkorm_önként'!F92</f>
        <v>803305717</v>
      </c>
      <c r="G91" s="569">
        <f>'4. mell.Önkorm'!G94-'27._önkorm_önként'!G92</f>
        <v>0</v>
      </c>
      <c r="H91" s="525">
        <f t="shared" si="36"/>
        <v>4878381</v>
      </c>
      <c r="I91" s="629">
        <f>'4. mell.Önkorm'!I94-'27._önkorm_önként'!I92</f>
        <v>0</v>
      </c>
      <c r="J91" s="525">
        <f>'4. mell.Önkorm'!J94-'27._önkorm_önként'!J92</f>
        <v>433398775</v>
      </c>
      <c r="K91" s="525">
        <f>'4. mell.Önkorm'!K94-'27._önkorm_önként'!K92</f>
        <v>0</v>
      </c>
      <c r="L91" s="525">
        <f>'4. mell.Önkorm'!L94-'27._önkorm_önként'!L92</f>
        <v>53.951909693678921</v>
      </c>
    </row>
    <row r="92" spans="1:21" ht="12.2" customHeight="1" x14ac:dyDescent="0.2">
      <c r="A92" s="1003" t="s">
        <v>90</v>
      </c>
      <c r="B92" s="330" t="s">
        <v>80</v>
      </c>
      <c r="C92" s="504">
        <f>'4. mell.Önkorm'!C95-'27._önkorm_önként'!C93</f>
        <v>100261520</v>
      </c>
      <c r="D92" s="625">
        <f>'4. mell.Önkorm'!D95-'27._önkorm_önként'!D93</f>
        <v>100261520</v>
      </c>
      <c r="E92" s="625">
        <f>'4. mell.Önkorm'!E95-'27._önkorm_önként'!E93-'27._önkorm_államig'!E93</f>
        <v>100261520</v>
      </c>
      <c r="F92" s="569">
        <f>'4. mell.Önkorm'!F95-'27._önkorm_önként'!F93</f>
        <v>270328000</v>
      </c>
      <c r="G92" s="569">
        <f>'4. mell.Önkorm'!G95-'27._önkorm_önként'!G93</f>
        <v>0</v>
      </c>
      <c r="H92" s="525">
        <f t="shared" si="36"/>
        <v>0</v>
      </c>
      <c r="I92" s="629">
        <f>'4. mell.Önkorm'!I95-'27._önkorm_önként'!I93</f>
        <v>0</v>
      </c>
      <c r="J92" s="525">
        <f>'4. mell.Önkorm'!J95-'27._önkorm_önként'!J93</f>
        <v>122133216</v>
      </c>
      <c r="K92" s="525">
        <f>'4. mell.Önkorm'!K95-'27._önkorm_önként'!K93</f>
        <v>0</v>
      </c>
      <c r="L92" s="525">
        <f>'4. mell.Önkorm'!L95-'27._önkorm_önként'!L93</f>
        <v>45.179639548992334</v>
      </c>
    </row>
    <row r="93" spans="1:21" ht="12.2" customHeight="1" x14ac:dyDescent="0.2">
      <c r="A93" s="1003" t="s">
        <v>147</v>
      </c>
      <c r="B93" s="52" t="s">
        <v>88</v>
      </c>
      <c r="C93" s="504">
        <f>SUM(C94:C100)</f>
        <v>4691724865</v>
      </c>
      <c r="D93" s="625">
        <f t="shared" ref="D93:K93" si="38">SUM(D94:D100)</f>
        <v>4734581342</v>
      </c>
      <c r="E93" s="625">
        <f>'4. mell.Önkorm'!E96-'27._önkorm_önként'!E94-'27._önkorm_államig'!E94</f>
        <v>5620020058</v>
      </c>
      <c r="F93" s="569">
        <f t="shared" si="38"/>
        <v>6262747810</v>
      </c>
      <c r="G93" s="569">
        <f t="shared" si="38"/>
        <v>0</v>
      </c>
      <c r="H93" s="525">
        <f t="shared" si="36"/>
        <v>885438716</v>
      </c>
      <c r="I93" s="629">
        <f t="shared" si="38"/>
        <v>0</v>
      </c>
      <c r="J93" s="525">
        <f t="shared" si="38"/>
        <v>3669857504</v>
      </c>
      <c r="K93" s="525">
        <f t="shared" si="38"/>
        <v>0</v>
      </c>
      <c r="L93" s="525">
        <f>'4. mell.Önkorm'!L96-'27._önkorm_önként'!L94</f>
        <v>58.598200268262126</v>
      </c>
    </row>
    <row r="94" spans="1:21" ht="12.2" customHeight="1" x14ac:dyDescent="0.2">
      <c r="A94" s="1003" t="s">
        <v>306</v>
      </c>
      <c r="B94" s="693" t="s">
        <v>554</v>
      </c>
      <c r="C94" s="504">
        <f>'4. mell.Önkorm'!C97-'27._önkorm_önként'!C95</f>
        <v>0</v>
      </c>
      <c r="D94" s="625">
        <f>'4. mell.Önkorm'!D97-'27._önkorm_önként'!D95</f>
        <v>0</v>
      </c>
      <c r="E94" s="625">
        <f>'4. mell.Önkorm'!E97-'27._önkorm_önként'!E95-'27._önkorm_államig'!E95</f>
        <v>0</v>
      </c>
      <c r="F94" s="569">
        <f>'4. mell.Önkorm'!F97-'27._önkorm_önként'!F95</f>
        <v>0</v>
      </c>
      <c r="G94" s="569">
        <f>'4. mell.Önkorm'!G97-'27._önkorm_önként'!G95</f>
        <v>0</v>
      </c>
      <c r="H94" s="525">
        <f t="shared" si="36"/>
        <v>0</v>
      </c>
      <c r="I94" s="629">
        <f>'4. mell.Önkorm'!I97-'27._önkorm_önként'!I95</f>
        <v>0</v>
      </c>
      <c r="J94" s="525">
        <f>'4. mell.Önkorm'!J97-'27._önkorm_önként'!J95</f>
        <v>0</v>
      </c>
      <c r="K94" s="525">
        <f>'4. mell.Önkorm'!K97-'27._önkorm_önként'!K95</f>
        <v>0</v>
      </c>
      <c r="L94" s="525" t="e">
        <f>'4. mell.Önkorm'!L97-'27._önkorm_önként'!L95</f>
        <v>#VALUE!</v>
      </c>
    </row>
    <row r="95" spans="1:21" ht="12.2" customHeight="1" x14ac:dyDescent="0.2">
      <c r="A95" s="1003" t="s">
        <v>307</v>
      </c>
      <c r="B95" s="816" t="s">
        <v>647</v>
      </c>
      <c r="C95" s="504">
        <f>'4. mell.Önkorm'!C98-'27._önkorm_önként'!C96</f>
        <v>3222984305</v>
      </c>
      <c r="D95" s="625">
        <f>'4. mell.Önkorm'!D98-'27._önkorm_önként'!D96</f>
        <v>3222984305</v>
      </c>
      <c r="E95" s="625">
        <f>'4. mell.Önkorm'!E98-'27._önkorm_önként'!E96-'27._önkorm_államig'!E96</f>
        <v>3222984305</v>
      </c>
      <c r="F95" s="569">
        <f>'4. mell.Önkorm'!F98-'27._önkorm_önként'!F96</f>
        <v>3222984305</v>
      </c>
      <c r="G95" s="569">
        <f>'4. mell.Önkorm'!G98-'27._önkorm_önként'!G96</f>
        <v>0</v>
      </c>
      <c r="H95" s="525">
        <f t="shared" si="36"/>
        <v>0</v>
      </c>
      <c r="I95" s="629">
        <f>'4. mell.Önkorm'!I98-'27._önkorm_önként'!I96</f>
        <v>0</v>
      </c>
      <c r="J95" s="525">
        <f>'4. mell.Önkorm'!J98-'27._önkorm_önként'!J96</f>
        <v>2449468069</v>
      </c>
      <c r="K95" s="525">
        <f>'4. mell.Önkorm'!K98-'27._önkorm_önként'!K96</f>
        <v>0</v>
      </c>
      <c r="L95" s="525">
        <f>'4. mell.Önkorm'!L98-'27._önkorm_önként'!L96</f>
        <v>75.999999913124</v>
      </c>
    </row>
    <row r="96" spans="1:21" ht="12.2" customHeight="1" x14ac:dyDescent="0.2">
      <c r="A96" s="1003" t="s">
        <v>308</v>
      </c>
      <c r="B96" s="816" t="s">
        <v>646</v>
      </c>
      <c r="C96" s="504">
        <f>'4. mell.Önkorm'!C99-'27._önkorm_önként'!C97</f>
        <v>0</v>
      </c>
      <c r="D96" s="625">
        <f>'4. mell.Önkorm'!D99-'27._önkorm_önként'!D97</f>
        <v>0</v>
      </c>
      <c r="E96" s="625">
        <f>'4. mell.Önkorm'!E99-'27._önkorm_önként'!E97-'27._önkorm_államig'!E97</f>
        <v>0</v>
      </c>
      <c r="F96" s="569">
        <f>'4. mell.Önkorm'!F99-'27._önkorm_önként'!F97</f>
        <v>0</v>
      </c>
      <c r="G96" s="569">
        <f>'4. mell.Önkorm'!G99-'27._önkorm_önként'!G97</f>
        <v>0</v>
      </c>
      <c r="H96" s="525">
        <f t="shared" si="36"/>
        <v>0</v>
      </c>
      <c r="I96" s="629">
        <f>'4. mell.Önkorm'!I99-'27._önkorm_önként'!I97</f>
        <v>0</v>
      </c>
      <c r="J96" s="525">
        <f>'4. mell.Önkorm'!J99-'27._önkorm_önként'!J97</f>
        <v>0</v>
      </c>
      <c r="K96" s="525">
        <f>'4. mell.Önkorm'!K99-'27._önkorm_önként'!K97</f>
        <v>0</v>
      </c>
      <c r="L96" s="525" t="e">
        <f>'4. mell.Önkorm'!L99-'27._önkorm_önként'!L97</f>
        <v>#VALUE!</v>
      </c>
    </row>
    <row r="97" spans="1:12" ht="12.2" customHeight="1" x14ac:dyDescent="0.2">
      <c r="A97" s="1003" t="s">
        <v>309</v>
      </c>
      <c r="B97" s="816" t="s">
        <v>645</v>
      </c>
      <c r="C97" s="504">
        <f>'4. mell.Önkorm'!C100-'27._önkorm_önként'!C98</f>
        <v>13000000</v>
      </c>
      <c r="D97" s="625">
        <f>'4. mell.Önkorm'!D100-'27._önkorm_önként'!D98</f>
        <v>13000000</v>
      </c>
      <c r="E97" s="625">
        <f>'4. mell.Önkorm'!E100-'27._önkorm_önként'!E98-'27._önkorm_államig'!E98</f>
        <v>13000000</v>
      </c>
      <c r="F97" s="569">
        <f>'4. mell.Önkorm'!F100-'27._önkorm_önként'!F98</f>
        <v>80253382</v>
      </c>
      <c r="G97" s="569">
        <f>'4. mell.Önkorm'!G100-'27._önkorm_önként'!G98</f>
        <v>0</v>
      </c>
      <c r="H97" s="525">
        <f t="shared" si="36"/>
        <v>0</v>
      </c>
      <c r="I97" s="629">
        <f>'4. mell.Önkorm'!I100-'27._önkorm_önként'!I98</f>
        <v>0</v>
      </c>
      <c r="J97" s="525">
        <f>'4. mell.Önkorm'!J100-'27._önkorm_önként'!J98</f>
        <v>11053382</v>
      </c>
      <c r="K97" s="525">
        <f>'4. mell.Önkorm'!K100-'27._önkorm_önként'!K98</f>
        <v>0</v>
      </c>
      <c r="L97" s="525">
        <f>'4. mell.Önkorm'!L100-'27._önkorm_önként'!L98</f>
        <v>13.773104291106385</v>
      </c>
    </row>
    <row r="98" spans="1:12" ht="12.2" customHeight="1" x14ac:dyDescent="0.2">
      <c r="A98" s="1003" t="s">
        <v>310</v>
      </c>
      <c r="B98" s="816" t="s">
        <v>650</v>
      </c>
      <c r="C98" s="504">
        <f>'4. mell.Önkorm'!C101-'27._önkorm_önként'!C99</f>
        <v>0</v>
      </c>
      <c r="D98" s="625">
        <f>'4. mell.Önkorm'!D101-'27._önkorm_önként'!D99</f>
        <v>0</v>
      </c>
      <c r="E98" s="625">
        <f>'4. mell.Önkorm'!E101-'27._önkorm_önként'!E99-'27._önkorm_államig'!E99</f>
        <v>0</v>
      </c>
      <c r="F98" s="569">
        <f>'4. mell.Önkorm'!F101-'27._önkorm_önként'!F99</f>
        <v>0</v>
      </c>
      <c r="G98" s="569">
        <f>'4. mell.Önkorm'!G101-'27._önkorm_önként'!G99</f>
        <v>0</v>
      </c>
      <c r="H98" s="525">
        <f t="shared" si="36"/>
        <v>0</v>
      </c>
      <c r="I98" s="629">
        <f>'4. mell.Önkorm'!I101-'27._önkorm_önként'!I99</f>
        <v>0</v>
      </c>
      <c r="J98" s="525">
        <f>'4. mell.Önkorm'!J101-'27._önkorm_önként'!J99</f>
        <v>0</v>
      </c>
      <c r="K98" s="525">
        <f>'4. mell.Önkorm'!K101-'27._önkorm_önként'!K99</f>
        <v>0</v>
      </c>
      <c r="L98" s="525" t="e">
        <f>'4. mell.Önkorm'!L101-'27._önkorm_önként'!L99</f>
        <v>#VALUE!</v>
      </c>
    </row>
    <row r="99" spans="1:12" ht="12.2" customHeight="1" x14ac:dyDescent="0.2">
      <c r="A99" s="1003" t="s">
        <v>361</v>
      </c>
      <c r="B99" s="816" t="s">
        <v>644</v>
      </c>
      <c r="C99" s="504">
        <f>'4. mell.Önkorm'!C102-'27._önkorm_önként'!C100</f>
        <v>901900000</v>
      </c>
      <c r="D99" s="625">
        <f>'4. mell.Önkorm'!D102-'27._önkorm_önként'!D100</f>
        <v>989528000</v>
      </c>
      <c r="E99" s="625">
        <f>'4. mell.Önkorm'!E102-'27._önkorm_önként'!E100-'27._önkorm_államig'!E100</f>
        <v>1188728000</v>
      </c>
      <c r="F99" s="569">
        <f>'4. mell.Önkorm'!F102-'27._önkorm_önként'!F100</f>
        <v>1755525658</v>
      </c>
      <c r="G99" s="569">
        <f>'4. mell.Önkorm'!G102-'27._önkorm_önként'!G100</f>
        <v>0</v>
      </c>
      <c r="H99" s="525">
        <f t="shared" si="36"/>
        <v>199200000</v>
      </c>
      <c r="I99" s="629">
        <f>'4. mell.Önkorm'!I102-'27._önkorm_önként'!I100</f>
        <v>0</v>
      </c>
      <c r="J99" s="525">
        <f>'4. mell.Önkorm'!J102-'27._önkorm_önként'!J100</f>
        <v>1209336053</v>
      </c>
      <c r="K99" s="525">
        <f>'4. mell.Önkorm'!K102-'27._önkorm_önként'!K100</f>
        <v>0</v>
      </c>
      <c r="L99" s="525">
        <f>'4. mell.Önkorm'!L102-'27._önkorm_önként'!L100</f>
        <v>68.887404037019209</v>
      </c>
    </row>
    <row r="100" spans="1:12" ht="12.2" customHeight="1" x14ac:dyDescent="0.2">
      <c r="A100" s="1003" t="s">
        <v>615</v>
      </c>
      <c r="B100" s="817" t="s">
        <v>649</v>
      </c>
      <c r="C100" s="1022">
        <f>+C101+C102</f>
        <v>553840560</v>
      </c>
      <c r="D100" s="669">
        <f t="shared" ref="D100:K100" si="39">+D101+D102</f>
        <v>509069037</v>
      </c>
      <c r="E100" s="669">
        <f>'4. mell.Önkorm'!E103-'27._önkorm_önként'!E101-'27._önkorm_államig'!E101</f>
        <v>1195307753</v>
      </c>
      <c r="F100" s="606">
        <f t="shared" si="39"/>
        <v>1203984465</v>
      </c>
      <c r="G100" s="606">
        <f t="shared" si="39"/>
        <v>0</v>
      </c>
      <c r="H100" s="534">
        <f t="shared" si="36"/>
        <v>686238716</v>
      </c>
      <c r="I100" s="630">
        <f t="shared" si="39"/>
        <v>0</v>
      </c>
      <c r="J100" s="534">
        <f t="shared" si="39"/>
        <v>0</v>
      </c>
      <c r="K100" s="534">
        <f t="shared" si="39"/>
        <v>0</v>
      </c>
      <c r="L100" s="534">
        <f>'4. mell.Önkorm'!L103-'27._önkorm_önként'!L101</f>
        <v>0</v>
      </c>
    </row>
    <row r="101" spans="1:12" ht="12.75" customHeight="1" x14ac:dyDescent="0.2">
      <c r="A101" s="12" t="s">
        <v>616</v>
      </c>
      <c r="B101" s="818" t="s">
        <v>617</v>
      </c>
      <c r="C101" s="114">
        <f>'4. mell.Önkorm'!C104-'27._önkorm_önként'!C102</f>
        <v>100000000</v>
      </c>
      <c r="D101" s="185">
        <f>'4. mell.Önkorm'!D104-'27._önkorm_önként'!D102</f>
        <v>100000000</v>
      </c>
      <c r="E101" s="185">
        <f>'4. mell.Önkorm'!E104-'27._önkorm_önként'!E102-'27._önkorm_államig'!E102</f>
        <v>100000000</v>
      </c>
      <c r="F101" s="567">
        <f>'4. mell.Önkorm'!F104-'27._önkorm_önként'!F102</f>
        <v>100000000</v>
      </c>
      <c r="G101" s="567">
        <f>'4. mell.Önkorm'!G104-'27._önkorm_önként'!G102</f>
        <v>0</v>
      </c>
      <c r="H101" s="16">
        <f t="shared" si="36"/>
        <v>0</v>
      </c>
      <c r="I101" s="626">
        <f>'4. mell.Önkorm'!I104-'27._önkorm_önként'!I102</f>
        <v>0</v>
      </c>
      <c r="J101" s="16">
        <f>'4. mell.Önkorm'!J104-'27._önkorm_önként'!J102</f>
        <v>0</v>
      </c>
      <c r="K101" s="16">
        <f>'4. mell.Önkorm'!K104-'27._önkorm_önként'!K102</f>
        <v>0</v>
      </c>
      <c r="L101" s="16">
        <f>'4. mell.Önkorm'!L104-'27._önkorm_önként'!L102</f>
        <v>0</v>
      </c>
    </row>
    <row r="102" spans="1:12" ht="12.75" customHeight="1" x14ac:dyDescent="0.2">
      <c r="A102" s="1005" t="s">
        <v>618</v>
      </c>
      <c r="B102" s="819" t="s">
        <v>619</v>
      </c>
      <c r="C102" s="401">
        <f>+C103+C104</f>
        <v>453840560</v>
      </c>
      <c r="D102" s="325">
        <f t="shared" ref="D102:K102" si="40">+D103+D104</f>
        <v>409069037</v>
      </c>
      <c r="E102" s="325">
        <f>'4. mell.Önkorm'!E105-'27._önkorm_önként'!E103-'27._önkorm_államig'!E103</f>
        <v>1095307753</v>
      </c>
      <c r="F102" s="568">
        <f t="shared" si="40"/>
        <v>1103984465</v>
      </c>
      <c r="G102" s="568">
        <f t="shared" si="40"/>
        <v>0</v>
      </c>
      <c r="H102" s="327">
        <f t="shared" si="36"/>
        <v>686238716</v>
      </c>
      <c r="I102" s="627">
        <f t="shared" si="40"/>
        <v>0</v>
      </c>
      <c r="J102" s="327">
        <f t="shared" si="40"/>
        <v>0</v>
      </c>
      <c r="K102" s="327">
        <f t="shared" si="40"/>
        <v>0</v>
      </c>
      <c r="L102" s="327">
        <f>'4. mell.Önkorm'!L105-'27._önkorm_önként'!L103</f>
        <v>0</v>
      </c>
    </row>
    <row r="103" spans="1:12" ht="12.75" customHeight="1" x14ac:dyDescent="0.2">
      <c r="A103" s="1005" t="s">
        <v>620</v>
      </c>
      <c r="B103" s="820" t="s">
        <v>648</v>
      </c>
      <c r="C103" s="401">
        <f>'4. mell.Önkorm'!C106-'27._önkorm_önként'!C104</f>
        <v>403840560</v>
      </c>
      <c r="D103" s="325">
        <f>'4. mell.Önkorm'!D106-'27._önkorm_önként'!D104</f>
        <v>368069037</v>
      </c>
      <c r="E103" s="325">
        <f>'4. mell.Önkorm'!E106-'27._önkorm_önként'!E104-'27._önkorm_államig'!E104</f>
        <v>1054307753</v>
      </c>
      <c r="F103" s="568">
        <f>'4. mell.Önkorm'!F106-'27._önkorm_önként'!F104</f>
        <v>1062984465</v>
      </c>
      <c r="G103" s="568">
        <f>'4. mell.Önkorm'!G106-'27._önkorm_önként'!G104</f>
        <v>0</v>
      </c>
      <c r="H103" s="327">
        <f t="shared" si="36"/>
        <v>686238716</v>
      </c>
      <c r="I103" s="627">
        <f>'4. mell.Önkorm'!I106-'27._önkorm_önként'!I104</f>
        <v>0</v>
      </c>
      <c r="J103" s="327">
        <f>'4. mell.Önkorm'!J106-'27._önkorm_önként'!J104</f>
        <v>0</v>
      </c>
      <c r="K103" s="327">
        <f>'4. mell.Önkorm'!K106-'27._önkorm_önként'!K104</f>
        <v>0</v>
      </c>
      <c r="L103" s="327">
        <f>'4. mell.Önkorm'!L106-'27._önkorm_önként'!L104</f>
        <v>0</v>
      </c>
    </row>
    <row r="104" spans="1:12" ht="12.75" customHeight="1" thickBot="1" x14ac:dyDescent="0.25">
      <c r="A104" s="1005" t="s">
        <v>621</v>
      </c>
      <c r="B104" s="820" t="s">
        <v>636</v>
      </c>
      <c r="C104" s="401">
        <f>'4. mell.Önkorm'!C107-'27._önkorm_önként'!C105</f>
        <v>50000000</v>
      </c>
      <c r="D104" s="325">
        <f>'4. mell.Önkorm'!D107-'27._önkorm_önként'!D105</f>
        <v>41000000</v>
      </c>
      <c r="E104" s="325">
        <f>'4. mell.Önkorm'!E107-'27._önkorm_önként'!E105-'27._önkorm_államig'!E105</f>
        <v>41000000</v>
      </c>
      <c r="F104" s="568">
        <f>'4. mell.Önkorm'!F107-'27._önkorm_önként'!F105</f>
        <v>41000000</v>
      </c>
      <c r="G104" s="568">
        <f>'4. mell.Önkorm'!G107-'27._önkorm_önként'!G105</f>
        <v>0</v>
      </c>
      <c r="H104" s="327">
        <f t="shared" si="36"/>
        <v>0</v>
      </c>
      <c r="I104" s="627">
        <f>'4. mell.Önkorm'!I107-'27._önkorm_önként'!I105</f>
        <v>0</v>
      </c>
      <c r="J104" s="327">
        <f>'4. mell.Önkorm'!J107-'27._önkorm_önként'!J105</f>
        <v>0</v>
      </c>
      <c r="K104" s="327">
        <f>'4. mell.Önkorm'!K107-'27._önkorm_önként'!K105</f>
        <v>0</v>
      </c>
      <c r="L104" s="327">
        <f>'4. mell.Önkorm'!L107-'27._önkorm_önként'!L105</f>
        <v>0</v>
      </c>
    </row>
    <row r="105" spans="1:12" ht="12.2" customHeight="1" thickBot="1" x14ac:dyDescent="0.25">
      <c r="A105" s="14" t="s">
        <v>13</v>
      </c>
      <c r="B105" s="100" t="s">
        <v>384</v>
      </c>
      <c r="C105" s="113">
        <f>+C106+C108+C110</f>
        <v>521826491</v>
      </c>
      <c r="D105" s="186">
        <f t="shared" ref="D105:K105" si="41">+D106+D108+D110</f>
        <v>1024620068</v>
      </c>
      <c r="E105" s="186">
        <f t="shared" si="41"/>
        <v>1039170305</v>
      </c>
      <c r="F105" s="566">
        <f t="shared" si="41"/>
        <v>1567388187</v>
      </c>
      <c r="G105" s="566">
        <f t="shared" si="41"/>
        <v>0</v>
      </c>
      <c r="H105" s="28">
        <f t="shared" si="36"/>
        <v>14550237</v>
      </c>
      <c r="I105" s="628">
        <f t="shared" si="41"/>
        <v>30000000</v>
      </c>
      <c r="J105" s="28">
        <f t="shared" si="41"/>
        <v>712371706</v>
      </c>
      <c r="K105" s="28">
        <f t="shared" si="41"/>
        <v>0</v>
      </c>
      <c r="L105" s="28">
        <f t="shared" ref="L105" si="42">+L106+L108+L110</f>
        <v>129.70941195087164</v>
      </c>
    </row>
    <row r="106" spans="1:12" ht="12.2" customHeight="1" x14ac:dyDescent="0.2">
      <c r="A106" s="12" t="s">
        <v>94</v>
      </c>
      <c r="B106" s="330" t="s">
        <v>119</v>
      </c>
      <c r="C106" s="114">
        <f>'4. mell.Önkorm'!C109-'27._önkorm_önként'!C107</f>
        <v>92305900</v>
      </c>
      <c r="D106" s="185">
        <f>'4. mell.Önkorm'!D109-'27._önkorm_önként'!D107</f>
        <v>181452935</v>
      </c>
      <c r="E106" s="185">
        <f>'4. mell.Önkorm'!E109-'27._önkorm_önként'!E107-'27._önkorm_államig'!E107</f>
        <v>185521584</v>
      </c>
      <c r="F106" s="567">
        <f>'4. mell.Önkorm'!F109-'27._önkorm_önként'!F107</f>
        <v>226239466</v>
      </c>
      <c r="G106" s="567">
        <f>'4. mell.Önkorm'!G109-'27._önkorm_önként'!G107</f>
        <v>0</v>
      </c>
      <c r="H106" s="16">
        <f t="shared" si="36"/>
        <v>4068649</v>
      </c>
      <c r="I106" s="626">
        <f>'4. mell.Önkorm'!I109-'27._önkorm_önként'!I107</f>
        <v>0</v>
      </c>
      <c r="J106" s="16">
        <f>'4. mell.Önkorm'!J109-'27._önkorm_önként'!J107</f>
        <v>85016219</v>
      </c>
      <c r="K106" s="16">
        <f>'4. mell.Önkorm'!K109-'27._önkorm_önként'!K107</f>
        <v>0</v>
      </c>
      <c r="L106" s="16">
        <f>'4. mell.Önkorm'!L109-'27._önkorm_önként'!L107</f>
        <v>37.577978989748857</v>
      </c>
    </row>
    <row r="107" spans="1:12" ht="12.2" customHeight="1" x14ac:dyDescent="0.2">
      <c r="A107" s="12" t="s">
        <v>316</v>
      </c>
      <c r="B107" s="819" t="s">
        <v>225</v>
      </c>
      <c r="C107" s="114">
        <f>'4. mell.Önkorm'!C110-'27._önkorm_önként'!C108</f>
        <v>0</v>
      </c>
      <c r="D107" s="185">
        <f>'4. mell.Önkorm'!D110-'27._önkorm_önként'!D108</f>
        <v>56894300</v>
      </c>
      <c r="E107" s="185">
        <f>'4. mell.Önkorm'!E110-'27._önkorm_önként'!E108-'27._önkorm_államig'!E108</f>
        <v>56894300</v>
      </c>
      <c r="F107" s="567">
        <f>'4. mell.Önkorm'!F110-'27._önkorm_önként'!F108</f>
        <v>56894300</v>
      </c>
      <c r="G107" s="567">
        <f>'4. mell.Önkorm'!G110-'27._önkorm_önként'!G108</f>
        <v>0</v>
      </c>
      <c r="H107" s="16">
        <f t="shared" si="36"/>
        <v>0</v>
      </c>
      <c r="I107" s="626">
        <f>'4. mell.Önkorm'!I110-'27._önkorm_önként'!I108</f>
        <v>0</v>
      </c>
      <c r="J107" s="16">
        <f>'4. mell.Önkorm'!J110-'27._önkorm_önként'!J108</f>
        <v>0</v>
      </c>
      <c r="K107" s="16">
        <f>'4. mell.Önkorm'!K110-'27._önkorm_önként'!K108</f>
        <v>0</v>
      </c>
      <c r="L107" s="16">
        <f>'4. mell.Önkorm'!L110-'27._önkorm_önként'!L108</f>
        <v>0</v>
      </c>
    </row>
    <row r="108" spans="1:12" ht="12.2" customHeight="1" x14ac:dyDescent="0.2">
      <c r="A108" s="12" t="s">
        <v>95</v>
      </c>
      <c r="B108" s="354" t="s">
        <v>2</v>
      </c>
      <c r="C108" s="401">
        <f>'4. mell.Önkorm'!C111-'27._önkorm_önként'!C109</f>
        <v>428020591</v>
      </c>
      <c r="D108" s="325">
        <f>'4. mell.Önkorm'!D111-'27._önkorm_önként'!D109</f>
        <v>642682133</v>
      </c>
      <c r="E108" s="325">
        <f>'4. mell.Önkorm'!E111-'27._önkorm_önként'!E109-'27._önkorm_államig'!E109</f>
        <v>653163721</v>
      </c>
      <c r="F108" s="568">
        <f>'4. mell.Önkorm'!F111-'27._önkorm_önként'!F109</f>
        <v>653163721</v>
      </c>
      <c r="G108" s="568">
        <f>'4. mell.Önkorm'!G111-'27._önkorm_önként'!G109</f>
        <v>0</v>
      </c>
      <c r="H108" s="327">
        <f t="shared" si="36"/>
        <v>10481588</v>
      </c>
      <c r="I108" s="627">
        <f>'4. mell.Önkorm'!I111-'27._önkorm_önként'!I109</f>
        <v>0</v>
      </c>
      <c r="J108" s="327">
        <f>'4. mell.Önkorm'!J111-'27._önkorm_önként'!J109</f>
        <v>121829731</v>
      </c>
      <c r="K108" s="327">
        <f>'4. mell.Önkorm'!K111-'27._önkorm_önként'!K109</f>
        <v>0</v>
      </c>
      <c r="L108" s="327">
        <f>'4. mell.Önkorm'!L111-'27._önkorm_önként'!L109</f>
        <v>18.652250130101759</v>
      </c>
    </row>
    <row r="109" spans="1:12" ht="12.2" customHeight="1" x14ac:dyDescent="0.2">
      <c r="A109" s="12" t="s">
        <v>315</v>
      </c>
      <c r="B109" s="819" t="s">
        <v>553</v>
      </c>
      <c r="C109" s="401">
        <f>'4. mell.Önkorm'!C112-'27._önkorm_önként'!C110</f>
        <v>0</v>
      </c>
      <c r="D109" s="325">
        <f>'4. mell.Önkorm'!D112-'27._önkorm_önként'!D110</f>
        <v>172803287</v>
      </c>
      <c r="E109" s="325">
        <f>'4. mell.Önkorm'!E112-'27._önkorm_önként'!E110-'27._önkorm_államig'!E110</f>
        <v>172803287</v>
      </c>
      <c r="F109" s="568">
        <f>'4. mell.Önkorm'!F112-'27._önkorm_önként'!F110</f>
        <v>172803287</v>
      </c>
      <c r="G109" s="568">
        <f>'4. mell.Önkorm'!G112-'27._önkorm_önként'!G110</f>
        <v>0</v>
      </c>
      <c r="H109" s="327">
        <f t="shared" si="36"/>
        <v>0</v>
      </c>
      <c r="I109" s="627">
        <f>'4. mell.Önkorm'!I112-'27._önkorm_önként'!I110</f>
        <v>0</v>
      </c>
      <c r="J109" s="327">
        <f>'4. mell.Önkorm'!J112-'27._önkorm_önként'!J110</f>
        <v>0</v>
      </c>
      <c r="K109" s="327">
        <f>'4. mell.Önkorm'!K112-'27._önkorm_önként'!K110</f>
        <v>0</v>
      </c>
      <c r="L109" s="327">
        <f>'4. mell.Önkorm'!L112-'27._önkorm_önként'!L110</f>
        <v>0</v>
      </c>
    </row>
    <row r="110" spans="1:12" ht="12.2" customHeight="1" x14ac:dyDescent="0.2">
      <c r="A110" s="12" t="s">
        <v>96</v>
      </c>
      <c r="B110" s="496" t="s">
        <v>268</v>
      </c>
      <c r="C110" s="401">
        <f>SUM(C111:C114)</f>
        <v>1500000</v>
      </c>
      <c r="D110" s="325">
        <f t="shared" ref="D110:K110" si="43">SUM(D111:D114)</f>
        <v>200485000</v>
      </c>
      <c r="E110" s="325">
        <f>'4. mell.Önkorm'!E113-'27._önkorm_önként'!E111-'27._önkorm_államig'!E111</f>
        <v>200485000</v>
      </c>
      <c r="F110" s="568">
        <f t="shared" si="43"/>
        <v>687985000</v>
      </c>
      <c r="G110" s="568">
        <f t="shared" si="43"/>
        <v>0</v>
      </c>
      <c r="H110" s="327">
        <f t="shared" si="36"/>
        <v>0</v>
      </c>
      <c r="I110" s="627">
        <f t="shared" si="43"/>
        <v>30000000</v>
      </c>
      <c r="J110" s="327">
        <f t="shared" si="43"/>
        <v>505525756</v>
      </c>
      <c r="K110" s="327">
        <f t="shared" si="43"/>
        <v>0</v>
      </c>
      <c r="L110" s="327">
        <f>'4. mell.Önkorm'!L113-'27._önkorm_önként'!L111</f>
        <v>73.479182831021035</v>
      </c>
    </row>
    <row r="111" spans="1:12" ht="12.2" customHeight="1" x14ac:dyDescent="0.2">
      <c r="A111" s="12" t="s">
        <v>317</v>
      </c>
      <c r="B111" s="351" t="s">
        <v>226</v>
      </c>
      <c r="C111" s="401">
        <f>'4. mell.Önkorm'!C114-'27._önkorm_önként'!C112</f>
        <v>0</v>
      </c>
      <c r="D111" s="325">
        <f>'4. mell.Önkorm'!D114-'27._önkorm_önként'!D112</f>
        <v>0</v>
      </c>
      <c r="E111" s="325">
        <f>'4. mell.Önkorm'!E114-'27._önkorm_önként'!E112-'27._önkorm_államig'!E112</f>
        <v>0</v>
      </c>
      <c r="F111" s="568">
        <f>'4. mell.Önkorm'!F114-'27._önkorm_önként'!F112</f>
        <v>0</v>
      </c>
      <c r="G111" s="568">
        <f>'4. mell.Önkorm'!G114-'27._önkorm_önként'!G112</f>
        <v>0</v>
      </c>
      <c r="H111" s="327">
        <f t="shared" si="36"/>
        <v>0</v>
      </c>
      <c r="I111" s="627">
        <f>'4. mell.Önkorm'!I114-'27._önkorm_önként'!I112</f>
        <v>0</v>
      </c>
      <c r="J111" s="327">
        <f>'4. mell.Önkorm'!J114-'27._önkorm_önként'!J112</f>
        <v>0</v>
      </c>
      <c r="K111" s="327">
        <f>'4. mell.Önkorm'!K114-'27._önkorm_önként'!K112</f>
        <v>0</v>
      </c>
      <c r="L111" s="327" t="e">
        <f>'4. mell.Önkorm'!L114-'27._önkorm_önként'!L112</f>
        <v>#VALUE!</v>
      </c>
    </row>
    <row r="112" spans="1:12" ht="12.2" customHeight="1" x14ac:dyDescent="0.2">
      <c r="A112" s="12" t="s">
        <v>318</v>
      </c>
      <c r="B112" s="351" t="s">
        <v>227</v>
      </c>
      <c r="C112" s="401">
        <f>'4. mell.Önkorm'!C115-'27._önkorm_önként'!C113</f>
        <v>1500000</v>
      </c>
      <c r="D112" s="325">
        <f>'4. mell.Önkorm'!D115-'27._önkorm_önként'!D113</f>
        <v>1613000</v>
      </c>
      <c r="E112" s="325">
        <f>'4. mell.Önkorm'!E115-'27._önkorm_önként'!E113-'27._önkorm_államig'!E113</f>
        <v>1613000</v>
      </c>
      <c r="F112" s="568">
        <f>'4. mell.Önkorm'!F115-'27._önkorm_önként'!F113</f>
        <v>31613000</v>
      </c>
      <c r="G112" s="568">
        <f>'4. mell.Önkorm'!G115-'27._önkorm_önként'!G113</f>
        <v>0</v>
      </c>
      <c r="H112" s="327">
        <f t="shared" si="36"/>
        <v>0</v>
      </c>
      <c r="I112" s="627">
        <f>'4. mell.Önkorm'!I115-'27._önkorm_önként'!I113</f>
        <v>30000000</v>
      </c>
      <c r="J112" s="327">
        <f>'4. mell.Önkorm'!J115-'27._önkorm_önként'!J113</f>
        <v>30000000</v>
      </c>
      <c r="K112" s="327">
        <f>'4. mell.Önkorm'!K115-'27._önkorm_önként'!K113</f>
        <v>0</v>
      </c>
      <c r="L112" s="327">
        <f>'4. mell.Önkorm'!L115-'27._önkorm_önként'!L113</f>
        <v>94.897668680606088</v>
      </c>
    </row>
    <row r="113" spans="1:16" ht="12.2" customHeight="1" x14ac:dyDescent="0.2">
      <c r="A113" s="12" t="s">
        <v>319</v>
      </c>
      <c r="B113" s="351" t="s">
        <v>224</v>
      </c>
      <c r="C113" s="401">
        <f>'4. mell.Önkorm'!C116-'27._önkorm_önként'!C114</f>
        <v>0</v>
      </c>
      <c r="D113" s="325">
        <f>'4. mell.Önkorm'!D116-'27._önkorm_önként'!D114</f>
        <v>0</v>
      </c>
      <c r="E113" s="325">
        <f>'4. mell.Önkorm'!E116-'27._önkorm_önként'!E114-'27._önkorm_államig'!E114</f>
        <v>0</v>
      </c>
      <c r="F113" s="568">
        <f>'4. mell.Önkorm'!F116-'27._önkorm_önként'!F114</f>
        <v>264000000</v>
      </c>
      <c r="G113" s="568">
        <f>'4. mell.Önkorm'!G116-'27._önkorm_önként'!G114</f>
        <v>0</v>
      </c>
      <c r="H113" s="327">
        <f t="shared" si="36"/>
        <v>0</v>
      </c>
      <c r="I113" s="627">
        <f>'4. mell.Önkorm'!I116-'27._önkorm_önként'!I114</f>
        <v>0</v>
      </c>
      <c r="J113" s="327">
        <f>'4. mell.Önkorm'!J116-'27._önkorm_önként'!J114</f>
        <v>169600000</v>
      </c>
      <c r="K113" s="327">
        <f>'4. mell.Önkorm'!K116-'27._önkorm_önként'!K114</f>
        <v>0</v>
      </c>
      <c r="L113" s="327">
        <f>'4. mell.Önkorm'!L116-'27._önkorm_önként'!L114</f>
        <v>64.242424242424249</v>
      </c>
    </row>
    <row r="114" spans="1:16" ht="12.2" customHeight="1" thickBot="1" x14ac:dyDescent="0.25">
      <c r="A114" s="12" t="s">
        <v>320</v>
      </c>
      <c r="B114" s="351" t="s">
        <v>228</v>
      </c>
      <c r="C114" s="504">
        <f>'4. mell.Önkorm'!C117-'27._önkorm_önként'!C115</f>
        <v>0</v>
      </c>
      <c r="D114" s="625">
        <f>'4. mell.Önkorm'!D117-'27._önkorm_önként'!D115</f>
        <v>198872000</v>
      </c>
      <c r="E114" s="625">
        <f>'4. mell.Önkorm'!E117-'27._önkorm_önként'!E115-'27._önkorm_államig'!E115</f>
        <v>198872000</v>
      </c>
      <c r="F114" s="569">
        <f>'4. mell.Önkorm'!F117-'27._önkorm_önként'!F115</f>
        <v>392372000</v>
      </c>
      <c r="G114" s="569">
        <f>'4. mell.Önkorm'!G117-'27._önkorm_önként'!G115</f>
        <v>0</v>
      </c>
      <c r="H114" s="525">
        <f t="shared" si="36"/>
        <v>0</v>
      </c>
      <c r="I114" s="629">
        <f>'4. mell.Önkorm'!I117-'27._önkorm_önként'!I115</f>
        <v>0</v>
      </c>
      <c r="J114" s="525">
        <f>'4. mell.Önkorm'!J117-'27._önkorm_önként'!J115</f>
        <v>305925756</v>
      </c>
      <c r="K114" s="525">
        <f>'4. mell.Önkorm'!K117-'27._önkorm_önként'!K115</f>
        <v>0</v>
      </c>
      <c r="L114" s="525">
        <f>'4. mell.Önkorm'!L117-'27._önkorm_önként'!L115</f>
        <v>77.968294373706584</v>
      </c>
    </row>
    <row r="115" spans="1:16" ht="12.2" customHeight="1" thickBot="1" x14ac:dyDescent="0.25">
      <c r="A115" s="14" t="s">
        <v>14</v>
      </c>
      <c r="B115" s="56" t="s">
        <v>540</v>
      </c>
      <c r="C115" s="113">
        <f>C87+C105</f>
        <v>5909363506</v>
      </c>
      <c r="D115" s="186">
        <f t="shared" ref="D115:K115" si="44">D87+D105</f>
        <v>6522420808</v>
      </c>
      <c r="E115" s="186">
        <f t="shared" si="44"/>
        <v>7431616384</v>
      </c>
      <c r="F115" s="566">
        <f t="shared" si="44"/>
        <v>9099080073</v>
      </c>
      <c r="G115" s="566">
        <f t="shared" si="44"/>
        <v>0</v>
      </c>
      <c r="H115" s="28">
        <f t="shared" si="36"/>
        <v>909195576</v>
      </c>
      <c r="I115" s="628">
        <f t="shared" si="44"/>
        <v>30000000</v>
      </c>
      <c r="J115" s="28">
        <f t="shared" si="44"/>
        <v>5058459904</v>
      </c>
      <c r="K115" s="28">
        <f t="shared" si="44"/>
        <v>0</v>
      </c>
      <c r="L115" s="28">
        <f t="shared" ref="L115" si="45">L87+L105</f>
        <v>412.33976296089543</v>
      </c>
    </row>
    <row r="116" spans="1:16" ht="12.2" customHeight="1" thickBot="1" x14ac:dyDescent="0.25">
      <c r="A116" s="14" t="s">
        <v>15</v>
      </c>
      <c r="B116" s="56" t="s">
        <v>541</v>
      </c>
      <c r="C116" s="113">
        <f>+C117+C118+C119</f>
        <v>0</v>
      </c>
      <c r="D116" s="186">
        <f t="shared" ref="D116:K116" si="46">+D117+D118+D119</f>
        <v>0</v>
      </c>
      <c r="E116" s="186">
        <f>'4. mell.Önkorm'!E119-'27._önkorm_önként'!E117-'27._önkorm_államig'!E117</f>
        <v>0</v>
      </c>
      <c r="F116" s="566">
        <f t="shared" si="46"/>
        <v>0</v>
      </c>
      <c r="G116" s="566">
        <f t="shared" si="46"/>
        <v>0</v>
      </c>
      <c r="H116" s="28">
        <f t="shared" si="36"/>
        <v>0</v>
      </c>
      <c r="I116" s="628">
        <f t="shared" si="46"/>
        <v>0</v>
      </c>
      <c r="J116" s="28">
        <f t="shared" si="46"/>
        <v>0</v>
      </c>
      <c r="K116" s="28">
        <f t="shared" si="46"/>
        <v>0</v>
      </c>
      <c r="L116" s="28" t="e">
        <f t="shared" ref="L116" si="47">+L117+L118+L119</f>
        <v>#VALUE!</v>
      </c>
    </row>
    <row r="117" spans="1:16" s="31" customFormat="1" ht="12.2" customHeight="1" x14ac:dyDescent="0.2">
      <c r="A117" s="12" t="s">
        <v>100</v>
      </c>
      <c r="B117" s="17" t="s">
        <v>397</v>
      </c>
      <c r="C117" s="401">
        <f>'4. mell.Önkorm'!C120-'27._önkorm_önként'!C118</f>
        <v>0</v>
      </c>
      <c r="D117" s="325">
        <f>'4. mell.Önkorm'!D120-'27._önkorm_önként'!D118</f>
        <v>0</v>
      </c>
      <c r="E117" s="325">
        <f>'4. mell.Önkorm'!E120-'27._önkorm_önként'!E118-'27._önkorm_államig'!E118</f>
        <v>0</v>
      </c>
      <c r="F117" s="568">
        <f>'4. mell.Önkorm'!F120-'27._önkorm_önként'!F118</f>
        <v>0</v>
      </c>
      <c r="G117" s="568">
        <f>'4. mell.Önkorm'!G120-'27._önkorm_önként'!G118</f>
        <v>0</v>
      </c>
      <c r="H117" s="327">
        <f t="shared" si="36"/>
        <v>0</v>
      </c>
      <c r="I117" s="627">
        <f>'4. mell.Önkorm'!I120-'27._önkorm_önként'!I118</f>
        <v>0</v>
      </c>
      <c r="J117" s="327">
        <f>'4. mell.Önkorm'!J120-'27._önkorm_önként'!J118</f>
        <v>0</v>
      </c>
      <c r="K117" s="327">
        <f>'4. mell.Önkorm'!K120-'27._önkorm_önként'!K118</f>
        <v>0</v>
      </c>
      <c r="L117" s="327" t="e">
        <f>'4. mell.Önkorm'!L120-'27._önkorm_önként'!L118</f>
        <v>#VALUE!</v>
      </c>
      <c r="O117" s="714"/>
    </row>
    <row r="118" spans="1:16" ht="12.2" customHeight="1" x14ac:dyDescent="0.2">
      <c r="A118" s="12" t="s">
        <v>101</v>
      </c>
      <c r="B118" s="17" t="s">
        <v>243</v>
      </c>
      <c r="C118" s="401">
        <f>'4. mell.Önkorm'!C121-'27._önkorm_önként'!C119</f>
        <v>0</v>
      </c>
      <c r="D118" s="325">
        <f>'4. mell.Önkorm'!D121-'27._önkorm_önként'!D119</f>
        <v>0</v>
      </c>
      <c r="E118" s="325">
        <f>'4. mell.Önkorm'!E121-'27._önkorm_önként'!E119-'27._önkorm_államig'!E119</f>
        <v>0</v>
      </c>
      <c r="F118" s="568">
        <f>'4. mell.Önkorm'!F121-'27._önkorm_önként'!F119</f>
        <v>0</v>
      </c>
      <c r="G118" s="568">
        <f>'4. mell.Önkorm'!G121-'27._önkorm_önként'!G119</f>
        <v>0</v>
      </c>
      <c r="H118" s="327">
        <f t="shared" si="36"/>
        <v>0</v>
      </c>
      <c r="I118" s="627">
        <f>'4. mell.Önkorm'!I121-'27._önkorm_önként'!I119</f>
        <v>0</v>
      </c>
      <c r="J118" s="327">
        <f>'4. mell.Önkorm'!J121-'27._önkorm_önként'!J119</f>
        <v>0</v>
      </c>
      <c r="K118" s="327">
        <f>'4. mell.Önkorm'!K121-'27._önkorm_önként'!K119</f>
        <v>0</v>
      </c>
      <c r="L118" s="327" t="e">
        <f>'4. mell.Önkorm'!L121-'27._önkorm_önként'!L119</f>
        <v>#VALUE!</v>
      </c>
    </row>
    <row r="119" spans="1:16" ht="12.2" customHeight="1" thickBot="1" x14ac:dyDescent="0.25">
      <c r="A119" s="13" t="s">
        <v>164</v>
      </c>
      <c r="B119" s="52" t="s">
        <v>244</v>
      </c>
      <c r="C119" s="401">
        <f>'4. mell.Önkorm'!C122-'27._önkorm_önként'!C120</f>
        <v>0</v>
      </c>
      <c r="D119" s="325">
        <f>'4. mell.Önkorm'!D122-'27._önkorm_önként'!D120</f>
        <v>0</v>
      </c>
      <c r="E119" s="325">
        <f>'4. mell.Önkorm'!E122-'27._önkorm_önként'!E120-'27._önkorm_államig'!E120</f>
        <v>0</v>
      </c>
      <c r="F119" s="568">
        <f>'4. mell.Önkorm'!F122-'27._önkorm_önként'!F120</f>
        <v>0</v>
      </c>
      <c r="G119" s="568">
        <f>'4. mell.Önkorm'!G122-'27._önkorm_önként'!G120</f>
        <v>0</v>
      </c>
      <c r="H119" s="327">
        <f t="shared" si="36"/>
        <v>0</v>
      </c>
      <c r="I119" s="627">
        <f>'4. mell.Önkorm'!I122-'27._önkorm_önként'!I120</f>
        <v>0</v>
      </c>
      <c r="J119" s="327">
        <f>'4. mell.Önkorm'!J122-'27._önkorm_önként'!J120</f>
        <v>0</v>
      </c>
      <c r="K119" s="327">
        <f>'4. mell.Önkorm'!K122-'27._önkorm_önként'!K120</f>
        <v>0</v>
      </c>
      <c r="L119" s="327" t="e">
        <f>'4. mell.Önkorm'!L122-'27._önkorm_önként'!L120</f>
        <v>#VALUE!</v>
      </c>
    </row>
    <row r="120" spans="1:16" ht="12.2" customHeight="1" thickBot="1" x14ac:dyDescent="0.25">
      <c r="A120" s="14" t="s">
        <v>16</v>
      </c>
      <c r="B120" s="56" t="s">
        <v>545</v>
      </c>
      <c r="C120" s="113">
        <f>+C121+C123+C122</f>
        <v>0</v>
      </c>
      <c r="D120" s="186">
        <f t="shared" ref="D120:K120" si="48">+D121+D123+D122</f>
        <v>468945500</v>
      </c>
      <c r="E120" s="186">
        <f t="shared" si="48"/>
        <v>468945500</v>
      </c>
      <c r="F120" s="566">
        <f t="shared" si="48"/>
        <v>468945500</v>
      </c>
      <c r="G120" s="566">
        <f t="shared" si="48"/>
        <v>0</v>
      </c>
      <c r="H120" s="28">
        <f t="shared" si="36"/>
        <v>0</v>
      </c>
      <c r="I120" s="628">
        <f t="shared" si="48"/>
        <v>0</v>
      </c>
      <c r="J120" s="28">
        <f t="shared" si="48"/>
        <v>468945500</v>
      </c>
      <c r="K120" s="28">
        <f t="shared" si="48"/>
        <v>0</v>
      </c>
      <c r="L120" s="28" t="e">
        <f t="shared" ref="L120" si="49">+L121+L123</f>
        <v>#VALUE!</v>
      </c>
      <c r="O120" s="18">
        <f>+C131-C83</f>
        <v>0</v>
      </c>
    </row>
    <row r="121" spans="1:16" ht="12.2" customHeight="1" x14ac:dyDescent="0.2">
      <c r="A121" s="12" t="s">
        <v>89</v>
      </c>
      <c r="B121" s="17" t="s">
        <v>391</v>
      </c>
      <c r="C121" s="401">
        <f>'4. mell.Önkorm'!C124-'27._önkorm_önként'!C122</f>
        <v>0</v>
      </c>
      <c r="D121" s="325">
        <f>'4. mell.Önkorm'!D124-'27._önkorm_önként'!D122</f>
        <v>468945500</v>
      </c>
      <c r="E121" s="325">
        <f>'4. mell.Önkorm'!E124-'27._önkorm_önként'!E122-'27._önkorm_államig'!E122</f>
        <v>468945500</v>
      </c>
      <c r="F121" s="568">
        <f>'4. mell.Önkorm'!F124-'27._önkorm_önként'!F122</f>
        <v>468945500</v>
      </c>
      <c r="G121" s="568">
        <f>'4. mell.Önkorm'!G124-'27._önkorm_önként'!G122</f>
        <v>0</v>
      </c>
      <c r="H121" s="327">
        <f t="shared" si="36"/>
        <v>0</v>
      </c>
      <c r="I121" s="627">
        <f>'4. mell.Önkorm'!I124-'27._önkorm_önként'!I122</f>
        <v>0</v>
      </c>
      <c r="J121" s="327">
        <f>'4. mell.Önkorm'!J124-'27._önkorm_önként'!J122</f>
        <v>468945500</v>
      </c>
      <c r="K121" s="327">
        <f>'4. mell.Önkorm'!K124-'27._önkorm_önként'!K122</f>
        <v>0</v>
      </c>
      <c r="L121" s="327">
        <f>'4. mell.Önkorm'!L124-'27._önkorm_önként'!L122</f>
        <v>100</v>
      </c>
    </row>
    <row r="122" spans="1:16" ht="12.2" customHeight="1" x14ac:dyDescent="0.2">
      <c r="A122" s="12" t="s">
        <v>102</v>
      </c>
      <c r="B122" s="17" t="s">
        <v>392</v>
      </c>
      <c r="C122" s="401">
        <f>'4. mell.Önkorm'!C125-'27._önkorm_önként'!C123</f>
        <v>0</v>
      </c>
      <c r="D122" s="325">
        <f>'4. mell.Önkorm'!D125-'27._önkorm_önként'!D123</f>
        <v>0</v>
      </c>
      <c r="E122" s="325">
        <f>'4. mell.Önkorm'!E125-'27._önkorm_önként'!E123-'27._önkorm_államig'!E123</f>
        <v>0</v>
      </c>
      <c r="F122" s="568">
        <f>'4. mell.Önkorm'!F125-'27._önkorm_önként'!F123</f>
        <v>0</v>
      </c>
      <c r="G122" s="568">
        <f>'4. mell.Önkorm'!G125-'27._önkorm_önként'!G123</f>
        <v>0</v>
      </c>
      <c r="H122" s="327">
        <f t="shared" si="36"/>
        <v>0</v>
      </c>
      <c r="I122" s="627">
        <f>'4. mell.Önkorm'!I125-'27._önkorm_önként'!I123</f>
        <v>0</v>
      </c>
      <c r="J122" s="327">
        <f>'4. mell.Önkorm'!J125-'27._önkorm_önként'!J123</f>
        <v>0</v>
      </c>
      <c r="K122" s="327">
        <f>'4. mell.Önkorm'!K125-'27._önkorm_önként'!K123</f>
        <v>0</v>
      </c>
      <c r="L122" s="327" t="e">
        <f>'4. mell.Önkorm'!L125-'27._önkorm_önként'!L123</f>
        <v>#VALUE!</v>
      </c>
    </row>
    <row r="123" spans="1:16" ht="12.2" customHeight="1" thickBot="1" x14ac:dyDescent="0.25">
      <c r="A123" s="12" t="s">
        <v>103</v>
      </c>
      <c r="B123" s="717" t="s">
        <v>536</v>
      </c>
      <c r="C123" s="401">
        <f>'4. mell.Önkorm'!C126-'27._önkorm_önként'!C124</f>
        <v>0</v>
      </c>
      <c r="D123" s="325">
        <f>'4. mell.Önkorm'!D126-'27._önkorm_önként'!D124</f>
        <v>0</v>
      </c>
      <c r="E123" s="325">
        <f>'4. mell.Önkorm'!E126-'27._önkorm_önként'!E124-'27._önkorm_államig'!E124</f>
        <v>0</v>
      </c>
      <c r="F123" s="568">
        <f>'4. mell.Önkorm'!F126-'27._önkorm_önként'!F124</f>
        <v>0</v>
      </c>
      <c r="G123" s="568">
        <f>'4. mell.Önkorm'!G126-'27._önkorm_önként'!G124</f>
        <v>0</v>
      </c>
      <c r="H123" s="327">
        <f t="shared" si="36"/>
        <v>0</v>
      </c>
      <c r="I123" s="627">
        <f>'4. mell.Önkorm'!I126-'27._önkorm_önként'!I124</f>
        <v>0</v>
      </c>
      <c r="J123" s="327">
        <f>'4. mell.Önkorm'!J126-'27._önkorm_önként'!J124</f>
        <v>0</v>
      </c>
      <c r="K123" s="327">
        <f>'4. mell.Önkorm'!K126-'27._önkorm_önként'!K124</f>
        <v>0</v>
      </c>
      <c r="L123" s="327" t="e">
        <f>'4. mell.Önkorm'!L126-'27._önkorm_önként'!L124</f>
        <v>#VALUE!</v>
      </c>
    </row>
    <row r="124" spans="1:16" ht="12.2" customHeight="1" thickBot="1" x14ac:dyDescent="0.25">
      <c r="A124" s="14" t="s">
        <v>17</v>
      </c>
      <c r="B124" s="56" t="s">
        <v>542</v>
      </c>
      <c r="C124" s="1023">
        <f>C125+C126+C127+C128+C129</f>
        <v>2121443706</v>
      </c>
      <c r="D124" s="187">
        <f t="shared" ref="D124:K124" si="50">D125+D126+D127+D128+D129</f>
        <v>3662940136</v>
      </c>
      <c r="E124" s="187">
        <f t="shared" si="50"/>
        <v>4892767874</v>
      </c>
      <c r="F124" s="532">
        <f t="shared" si="50"/>
        <v>5980049515</v>
      </c>
      <c r="G124" s="532">
        <f t="shared" si="50"/>
        <v>5701404</v>
      </c>
      <c r="H124" s="74">
        <f t="shared" si="36"/>
        <v>1229827738</v>
      </c>
      <c r="I124" s="638">
        <f t="shared" si="50"/>
        <v>181286609</v>
      </c>
      <c r="J124" s="74">
        <f t="shared" si="50"/>
        <v>77282695614</v>
      </c>
      <c r="K124" s="74" t="e">
        <f t="shared" si="50"/>
        <v>#VALUE!</v>
      </c>
      <c r="L124" s="74">
        <f>'4. mell.Önkorm'!L127-'27._önkorm_önként'!L125</f>
        <v>1166.5019367372724</v>
      </c>
      <c r="P124" s="79"/>
    </row>
    <row r="125" spans="1:16" x14ac:dyDescent="0.2">
      <c r="A125" s="12" t="s">
        <v>104</v>
      </c>
      <c r="B125" s="17" t="s">
        <v>240</v>
      </c>
      <c r="C125" s="401">
        <f>'4. mell.Önkorm'!C128-'27._önkorm_önként'!C126-'27._önkorm_államig'!C126</f>
        <v>2057421880</v>
      </c>
      <c r="D125" s="325">
        <f>'4. mell.Önkorm'!D128-'27._önkorm_önként'!D126-'27._önkorm_államig'!D126</f>
        <v>2109566770</v>
      </c>
      <c r="E125" s="325">
        <f>'4. mell.Önkorm'!E128-'27._önkorm_önként'!E126-'27._önkorm_államig'!E126</f>
        <v>2522983233</v>
      </c>
      <c r="F125" s="568">
        <f>'4. mell.Önkorm'!F128-'27._önkorm_önként'!F126-'27._önkorm_államig'!F126</f>
        <v>3320038706</v>
      </c>
      <c r="G125" s="568">
        <f>'4. mell.Önkorm'!G128-'27._önkorm_önként'!G126-'27._önkorm_államig'!G126</f>
        <v>5701404</v>
      </c>
      <c r="H125" s="327">
        <f t="shared" si="36"/>
        <v>413416463</v>
      </c>
      <c r="I125" s="627">
        <f>'4. mell.Önkorm'!I128-'27._önkorm_önként'!I126-'27._önkorm_államig'!I126</f>
        <v>683154</v>
      </c>
      <c r="J125" s="327">
        <f>'4. mell.Önkorm'!J128-'27._önkorm_önként'!J126-'27._önkorm_államig'!J126</f>
        <v>2171187055</v>
      </c>
      <c r="K125" s="327" t="e">
        <f>'4. mell.Önkorm'!K128-'27._önkorm_önként'!K126-'27._önkorm_államig'!K126</f>
        <v>#VALUE!</v>
      </c>
      <c r="L125" s="327">
        <f>'4. mell.Önkorm'!L128-'27._önkorm_önként'!L126</f>
        <v>65.996651981042916</v>
      </c>
    </row>
    <row r="126" spans="1:16" ht="12.2" customHeight="1" x14ac:dyDescent="0.2">
      <c r="A126" s="12" t="s">
        <v>105</v>
      </c>
      <c r="B126" s="17" t="s">
        <v>241</v>
      </c>
      <c r="C126" s="401">
        <f>'4. mell.Önkorm'!C129-'27._önkorm_önként'!C127-'27._önkorm_államig'!C127</f>
        <v>11200000</v>
      </c>
      <c r="D126" s="325">
        <f>'4. mell.Önkorm'!D129-'27._önkorm_önként'!D127-'27._önkorm_államig'!D127</f>
        <v>37983848</v>
      </c>
      <c r="E126" s="325">
        <f>'4. mell.Önkorm'!E129-'27._önkorm_önként'!E127-'27._önkorm_államig'!E127</f>
        <v>55438435</v>
      </c>
      <c r="F126" s="568">
        <f>'4. mell.Önkorm'!F129-'27._önkorm_önként'!F127-'27._önkorm_államig'!F127</f>
        <v>75708661</v>
      </c>
      <c r="G126" s="568">
        <f>'4. mell.Önkorm'!G129-'27._önkorm_önként'!G127-'27._önkorm_államig'!G127</f>
        <v>0</v>
      </c>
      <c r="H126" s="327">
        <f t="shared" si="36"/>
        <v>17454587</v>
      </c>
      <c r="I126" s="627">
        <f>'4. mell.Önkorm'!I129-'27._önkorm_önként'!I127-'27._önkorm_államig'!I127</f>
        <v>180603455</v>
      </c>
      <c r="J126" s="327">
        <f>'4. mell.Önkorm'!J129-'27._önkorm_önként'!J127-'27._önkorm_államig'!J127</f>
        <v>48082576</v>
      </c>
      <c r="K126" s="327">
        <f>'4. mell.Önkorm'!K129-'27._önkorm_önként'!K127-'27._önkorm_államig'!K127</f>
        <v>175.50548216442655</v>
      </c>
      <c r="L126" s="327">
        <f>'4. mell.Önkorm'!L129-'27._önkorm_önként'!L127</f>
        <v>62.274176474526698</v>
      </c>
    </row>
    <row r="127" spans="1:16" s="31" customFormat="1" ht="12.2" customHeight="1" x14ac:dyDescent="0.2">
      <c r="A127" s="12" t="s">
        <v>205</v>
      </c>
      <c r="B127" s="17" t="s">
        <v>398</v>
      </c>
      <c r="C127" s="401">
        <f>'4. mell.Önkorm'!C130-'27._önkorm_önként'!C128</f>
        <v>0</v>
      </c>
      <c r="D127" s="325">
        <f>'4. mell.Önkorm'!D130-'27._önkorm_önként'!D128</f>
        <v>0</v>
      </c>
      <c r="E127" s="325">
        <f>'4. mell.Önkorm'!E130-'27._önkorm_önként'!E128-'27._önkorm_államig'!E128</f>
        <v>0</v>
      </c>
      <c r="F127" s="568">
        <f>'4. mell.Önkorm'!F130-'27._önkorm_önként'!F128</f>
        <v>0</v>
      </c>
      <c r="G127" s="568">
        <f>'4. mell.Önkorm'!G130-'27._önkorm_önként'!G128</f>
        <v>0</v>
      </c>
      <c r="H127" s="327">
        <f t="shared" si="36"/>
        <v>0</v>
      </c>
      <c r="I127" s="627">
        <f>'4. mell.Önkorm'!I130-'27._önkorm_önként'!I128</f>
        <v>0</v>
      </c>
      <c r="J127" s="327">
        <f>'4. mell.Önkorm'!J130-'27._önkorm_önként'!J128</f>
        <v>72479123835</v>
      </c>
      <c r="K127" s="327">
        <f>'4. mell.Önkorm'!K130-'27._önkorm_önként'!K128</f>
        <v>0</v>
      </c>
      <c r="L127" s="327" t="e">
        <f>'4. mell.Önkorm'!L130-'27._önkorm_önként'!L128</f>
        <v>#VALUE!</v>
      </c>
    </row>
    <row r="128" spans="1:16" s="31" customFormat="1" ht="12.2" customHeight="1" x14ac:dyDescent="0.2">
      <c r="A128" s="13" t="s">
        <v>206</v>
      </c>
      <c r="B128" s="52" t="s">
        <v>229</v>
      </c>
      <c r="C128" s="401">
        <f>'4. mell.Önkorm'!C131-'27._önkorm_önként'!C129</f>
        <v>0</v>
      </c>
      <c r="D128" s="325">
        <f>'4. mell.Önkorm'!D131-'27._önkorm_önként'!D129</f>
        <v>0</v>
      </c>
      <c r="E128" s="325">
        <f>'4. mell.Önkorm'!E131-'27._önkorm_önként'!E129-'27._önkorm_államig'!E129</f>
        <v>0</v>
      </c>
      <c r="F128" s="568">
        <f>'4. mell.Önkorm'!F131-'27._önkorm_önként'!F129</f>
        <v>0</v>
      </c>
      <c r="G128" s="568">
        <f>'4. mell.Önkorm'!G131-'27._önkorm_önként'!G129</f>
        <v>0</v>
      </c>
      <c r="H128" s="327">
        <f t="shared" si="36"/>
        <v>0</v>
      </c>
      <c r="I128" s="627">
        <f>'4. mell.Önkorm'!I131-'27._önkorm_önként'!I129</f>
        <v>0</v>
      </c>
      <c r="J128" s="327">
        <f>'4. mell.Önkorm'!J131-'27._önkorm_önként'!J129</f>
        <v>0</v>
      </c>
      <c r="K128" s="327">
        <f>'4. mell.Önkorm'!K131-'27._önkorm_önként'!K129</f>
        <v>0</v>
      </c>
      <c r="L128" s="327" t="e">
        <f>'4. mell.Önkorm'!L131-'27._önkorm_önként'!L129</f>
        <v>#VALUE!</v>
      </c>
    </row>
    <row r="129" spans="1:12" s="31" customFormat="1" ht="12.2" customHeight="1" thickBot="1" x14ac:dyDescent="0.25">
      <c r="A129" s="172" t="s">
        <v>208</v>
      </c>
      <c r="B129" s="173" t="s">
        <v>399</v>
      </c>
      <c r="C129" s="1081">
        <f>'4. mell.Önkorm'!C132-'27._önkorm_önként'!C130</f>
        <v>52821826</v>
      </c>
      <c r="D129" s="664">
        <f>'4. mell.Önkorm'!D132-'27._önkorm_önként'!D130</f>
        <v>1515389518</v>
      </c>
      <c r="E129" s="664">
        <f>'4. mell.Önkorm'!E132-'27._önkorm_önként'!E130-'27._önkorm_államig'!E130</f>
        <v>2314346206</v>
      </c>
      <c r="F129" s="578">
        <f>'4. mell.Önkorm'!F132-'27._önkorm_önként'!F130</f>
        <v>2584302148</v>
      </c>
      <c r="G129" s="578">
        <f>'4. mell.Önkorm'!G132-'27._önkorm_önként'!G130</f>
        <v>0</v>
      </c>
      <c r="H129" s="528">
        <f t="shared" si="36"/>
        <v>798956688</v>
      </c>
      <c r="I129" s="672">
        <f>'4. mell.Önkorm'!I132-'27._önkorm_önként'!I130</f>
        <v>0</v>
      </c>
      <c r="J129" s="528">
        <f>'4. mell.Önkorm'!J132-'27._önkorm_önként'!J130</f>
        <v>2584302148</v>
      </c>
      <c r="K129" s="528">
        <f>'4. mell.Önkorm'!K132-'27._önkorm_önként'!K130</f>
        <v>0</v>
      </c>
      <c r="L129" s="528">
        <f>'4. mell.Önkorm'!L132-'27._önkorm_önként'!L130</f>
        <v>100</v>
      </c>
    </row>
    <row r="130" spans="1:12" ht="12.2" customHeight="1" thickBot="1" x14ac:dyDescent="0.25">
      <c r="A130" s="14" t="s">
        <v>18</v>
      </c>
      <c r="B130" s="56" t="s">
        <v>544</v>
      </c>
      <c r="C130" s="1024">
        <f>+C116+C120+C124</f>
        <v>2121443706</v>
      </c>
      <c r="D130" s="349">
        <f t="shared" ref="D130:K130" si="51">+D116+D120+D124</f>
        <v>4131885636</v>
      </c>
      <c r="E130" s="349">
        <f t="shared" ref="E130" si="52">+E116+E120+E124</f>
        <v>5361713374</v>
      </c>
      <c r="F130" s="579">
        <f t="shared" si="51"/>
        <v>6448995015</v>
      </c>
      <c r="G130" s="579">
        <f t="shared" si="51"/>
        <v>5701404</v>
      </c>
      <c r="H130" s="560">
        <f t="shared" si="36"/>
        <v>1229827738</v>
      </c>
      <c r="I130" s="673">
        <f t="shared" si="51"/>
        <v>181286609</v>
      </c>
      <c r="J130" s="560">
        <f t="shared" si="51"/>
        <v>77751641114</v>
      </c>
      <c r="K130" s="560" t="e">
        <f t="shared" si="51"/>
        <v>#VALUE!</v>
      </c>
      <c r="L130" s="560" t="e">
        <f t="shared" ref="L130" si="53">+L116+L120+L124</f>
        <v>#VALUE!</v>
      </c>
    </row>
    <row r="131" spans="1:12" s="562" customFormat="1" ht="15" customHeight="1" thickBot="1" x14ac:dyDescent="0.25">
      <c r="A131" s="80" t="s">
        <v>19</v>
      </c>
      <c r="B131" s="561" t="s">
        <v>543</v>
      </c>
      <c r="C131" s="1024">
        <f>+C115+C130</f>
        <v>8030807212</v>
      </c>
      <c r="D131" s="349">
        <f>+D115+D130</f>
        <v>10654306444</v>
      </c>
      <c r="E131" s="349">
        <f>+E115+E130</f>
        <v>12793329758</v>
      </c>
      <c r="F131" s="579">
        <f t="shared" ref="F131:K131" si="54">+F115+F130</f>
        <v>15548075088</v>
      </c>
      <c r="G131" s="579">
        <f t="shared" si="54"/>
        <v>5701404</v>
      </c>
      <c r="H131" s="560">
        <f t="shared" si="36"/>
        <v>2139023314</v>
      </c>
      <c r="I131" s="673">
        <f t="shared" si="54"/>
        <v>211286609</v>
      </c>
      <c r="J131" s="560">
        <f t="shared" si="54"/>
        <v>82810101018</v>
      </c>
      <c r="K131" s="560" t="e">
        <f t="shared" si="54"/>
        <v>#VALUE!</v>
      </c>
      <c r="L131" s="560" t="e">
        <f t="shared" ref="L131" si="55">+L115+L130</f>
        <v>#VALUE!</v>
      </c>
    </row>
    <row r="132" spans="1:12" ht="13.5" thickBot="1" x14ac:dyDescent="0.25">
      <c r="A132" s="529"/>
      <c r="B132" s="530"/>
      <c r="C132" s="531"/>
      <c r="D132" s="531"/>
      <c r="E132" s="531"/>
      <c r="F132" s="531"/>
      <c r="G132" s="531"/>
      <c r="H132" s="531"/>
      <c r="I132" s="531"/>
      <c r="J132" s="531"/>
      <c r="K132" s="531"/>
      <c r="L132" s="531"/>
    </row>
    <row r="133" spans="1:12" ht="15" customHeight="1" thickBot="1" x14ac:dyDescent="0.25">
      <c r="A133" s="69" t="s">
        <v>292</v>
      </c>
      <c r="B133" s="70"/>
      <c r="C133" s="136">
        <f>'4. mell.Önkorm'!C136-'27._önkorm_önként'!C134</f>
        <v>3</v>
      </c>
      <c r="D133" s="635">
        <f>'4. mell.Önkorm'!D136-'27._önkorm_önként'!D134</f>
        <v>3</v>
      </c>
      <c r="E133" s="581">
        <f>'4. mell.Önkorm'!E136-'27._önkorm_önként'!E134-'27._önkorm_államig'!E134</f>
        <v>3</v>
      </c>
      <c r="F133" s="581">
        <f>'4. mell.Önkorm'!F136-'27._önkorm_önként'!F134</f>
        <v>3</v>
      </c>
      <c r="G133" s="136">
        <f>'4. mell.Önkorm'!G136-'27._önkorm_önként'!G134</f>
        <v>0</v>
      </c>
      <c r="H133" s="174">
        <f t="shared" si="36"/>
        <v>0</v>
      </c>
      <c r="I133" s="174">
        <f>'4. mell.Önkorm'!I136-'27._önkorm_önként'!I134</f>
        <v>0</v>
      </c>
      <c r="J133" s="174">
        <f>'4. mell.Önkorm'!J136-'27._önkorm_önként'!J134</f>
        <v>3</v>
      </c>
      <c r="K133" s="174">
        <f>'4. mell.Önkorm'!K136-'27._önkorm_önként'!K134</f>
        <v>0</v>
      </c>
      <c r="L133" s="174">
        <f>'4. mell.Önkorm'!L136-'27._önkorm_önként'!L134</f>
        <v>100</v>
      </c>
    </row>
    <row r="134" spans="1:12" ht="14.25" hidden="1" customHeight="1" thickBot="1" x14ac:dyDescent="0.25">
      <c r="A134" s="69" t="s">
        <v>291</v>
      </c>
      <c r="B134" s="70"/>
      <c r="C134" s="608">
        <f>'4. mell.Önkorm'!C137-'27._önkorm_önként'!C135</f>
        <v>0</v>
      </c>
      <c r="D134" s="639">
        <f>'4. mell.Önkorm'!D137-'27._önkorm_önként'!D135</f>
        <v>0</v>
      </c>
      <c r="E134" s="610">
        <f>'4. mell.Önkorm'!E137-'27._önkorm_önként'!E135</f>
        <v>0</v>
      </c>
      <c r="F134" s="610">
        <f>'4. mell.Önkorm'!F137-'27._önkorm_önként'!F135</f>
        <v>0</v>
      </c>
      <c r="G134" s="608">
        <f>'4. mell.Önkorm'!G137-'27._önkorm_önként'!G135</f>
        <v>0</v>
      </c>
      <c r="H134" s="609">
        <f t="shared" ref="H134" si="56">+D134-C134</f>
        <v>0</v>
      </c>
      <c r="I134" s="609">
        <f>'4. mell.Önkorm'!I137-'27._önkorm_önként'!I135</f>
        <v>0</v>
      </c>
      <c r="J134" s="609">
        <f>'4. mell.Önkorm'!J137-'27._önkorm_önként'!J135</f>
        <v>0</v>
      </c>
      <c r="K134" s="609">
        <f>'4. mell.Önkorm'!K137-'27._önkorm_önként'!K135</f>
        <v>0</v>
      </c>
      <c r="L134" s="609" t="e">
        <f>'4. mell.Önkorm'!L137-'27._önkorm_önként'!L135</f>
        <v>#DIV/0!</v>
      </c>
    </row>
    <row r="135" spans="1:12" x14ac:dyDescent="0.2">
      <c r="C135" s="427"/>
      <c r="D135" s="27"/>
      <c r="E135" s="27"/>
      <c r="F135" s="27"/>
      <c r="G135" s="27"/>
      <c r="H135" s="27"/>
      <c r="I135" s="27"/>
      <c r="J135" s="27"/>
      <c r="K135" s="27"/>
      <c r="L135" s="27"/>
    </row>
    <row r="137" spans="1:12" x14ac:dyDescent="0.2">
      <c r="C137" s="27" t="s">
        <v>385</v>
      </c>
    </row>
  </sheetData>
  <sheetProtection formatCells="0"/>
  <mergeCells count="9">
    <mergeCell ref="Q83:T83"/>
    <mergeCell ref="Q84:U84"/>
    <mergeCell ref="A85:H85"/>
    <mergeCell ref="A1:H1"/>
    <mergeCell ref="A2:H2"/>
    <mergeCell ref="C4:H4"/>
    <mergeCell ref="C5:H5"/>
    <mergeCell ref="A6:H6"/>
    <mergeCell ref="A9:H9"/>
  </mergeCells>
  <printOptions horizontalCentered="1"/>
  <pageMargins left="0.39370078740157483" right="0.39370078740157483" top="0.59055118110236227" bottom="0.19685039370078741" header="0.78740157480314965" footer="0.78740157480314965"/>
  <pageSetup paperSize="9" scale="73" fitToHeight="2" orientation="portrait" r:id="rId1"/>
  <headerFooter alignWithMargins="0"/>
  <rowBreaks count="2" manualBreakCount="2">
    <brk id="66" max="7" man="1"/>
    <brk id="84" max="7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36"/>
  <sheetViews>
    <sheetView view="pageBreakPreview" zoomScale="130" zoomScaleNormal="93" zoomScaleSheetLayoutView="130" workbookViewId="0">
      <selection activeCell="A2" sqref="A2:H2"/>
    </sheetView>
  </sheetViews>
  <sheetFormatPr defaultRowHeight="12.75" x14ac:dyDescent="0.2"/>
  <cols>
    <col min="1" max="1" width="13.1640625" style="81" customWidth="1"/>
    <col min="2" max="2" width="66.83203125" style="82" customWidth="1"/>
    <col min="3" max="3" width="14.1640625" style="83" customWidth="1"/>
    <col min="4" max="4" width="16.5" style="83" customWidth="1"/>
    <col min="5" max="5" width="15.83203125" style="83" customWidth="1"/>
    <col min="6" max="7" width="16.33203125" style="83" hidden="1" customWidth="1"/>
    <col min="8" max="8" width="15" style="83" customWidth="1"/>
    <col min="9" max="12" width="15" style="83" hidden="1" customWidth="1"/>
    <col min="13" max="14" width="9.33203125" style="25"/>
    <col min="15" max="15" width="12.6640625" style="25" bestFit="1" customWidth="1"/>
    <col min="16" max="261" width="9.33203125" style="25"/>
    <col min="262" max="262" width="19.5" style="25" customWidth="1"/>
    <col min="263" max="263" width="71.33203125" style="25" customWidth="1"/>
    <col min="264" max="264" width="21.5" style="25" customWidth="1"/>
    <col min="265" max="265" width="9.33203125" style="25" customWidth="1"/>
    <col min="266" max="517" width="9.33203125" style="25"/>
    <col min="518" max="518" width="19.5" style="25" customWidth="1"/>
    <col min="519" max="519" width="71.33203125" style="25" customWidth="1"/>
    <col min="520" max="520" width="21.5" style="25" customWidth="1"/>
    <col min="521" max="521" width="9.33203125" style="25" customWidth="1"/>
    <col min="522" max="773" width="9.33203125" style="25"/>
    <col min="774" max="774" width="19.5" style="25" customWidth="1"/>
    <col min="775" max="775" width="71.33203125" style="25" customWidth="1"/>
    <col min="776" max="776" width="21.5" style="25" customWidth="1"/>
    <col min="777" max="777" width="9.33203125" style="25" customWidth="1"/>
    <col min="778" max="1029" width="9.33203125" style="25"/>
    <col min="1030" max="1030" width="19.5" style="25" customWidth="1"/>
    <col min="1031" max="1031" width="71.33203125" style="25" customWidth="1"/>
    <col min="1032" max="1032" width="21.5" style="25" customWidth="1"/>
    <col min="1033" max="1033" width="9.33203125" style="25" customWidth="1"/>
    <col min="1034" max="1285" width="9.33203125" style="25"/>
    <col min="1286" max="1286" width="19.5" style="25" customWidth="1"/>
    <col min="1287" max="1287" width="71.33203125" style="25" customWidth="1"/>
    <col min="1288" max="1288" width="21.5" style="25" customWidth="1"/>
    <col min="1289" max="1289" width="9.33203125" style="25" customWidth="1"/>
    <col min="1290" max="1541" width="9.33203125" style="25"/>
    <col min="1542" max="1542" width="19.5" style="25" customWidth="1"/>
    <col min="1543" max="1543" width="71.33203125" style="25" customWidth="1"/>
    <col min="1544" max="1544" width="21.5" style="25" customWidth="1"/>
    <col min="1545" max="1545" width="9.33203125" style="25" customWidth="1"/>
    <col min="1546" max="1797" width="9.33203125" style="25"/>
    <col min="1798" max="1798" width="19.5" style="25" customWidth="1"/>
    <col min="1799" max="1799" width="71.33203125" style="25" customWidth="1"/>
    <col min="1800" max="1800" width="21.5" style="25" customWidth="1"/>
    <col min="1801" max="1801" width="9.33203125" style="25" customWidth="1"/>
    <col min="1802" max="2053" width="9.33203125" style="25"/>
    <col min="2054" max="2054" width="19.5" style="25" customWidth="1"/>
    <col min="2055" max="2055" width="71.33203125" style="25" customWidth="1"/>
    <col min="2056" max="2056" width="21.5" style="25" customWidth="1"/>
    <col min="2057" max="2057" width="9.33203125" style="25" customWidth="1"/>
    <col min="2058" max="2309" width="9.33203125" style="25"/>
    <col min="2310" max="2310" width="19.5" style="25" customWidth="1"/>
    <col min="2311" max="2311" width="71.33203125" style="25" customWidth="1"/>
    <col min="2312" max="2312" width="21.5" style="25" customWidth="1"/>
    <col min="2313" max="2313" width="9.33203125" style="25" customWidth="1"/>
    <col min="2314" max="2565" width="9.33203125" style="25"/>
    <col min="2566" max="2566" width="19.5" style="25" customWidth="1"/>
    <col min="2567" max="2567" width="71.33203125" style="25" customWidth="1"/>
    <col min="2568" max="2568" width="21.5" style="25" customWidth="1"/>
    <col min="2569" max="2569" width="9.33203125" style="25" customWidth="1"/>
    <col min="2570" max="2821" width="9.33203125" style="25"/>
    <col min="2822" max="2822" width="19.5" style="25" customWidth="1"/>
    <col min="2823" max="2823" width="71.33203125" style="25" customWidth="1"/>
    <col min="2824" max="2824" width="21.5" style="25" customWidth="1"/>
    <col min="2825" max="2825" width="9.33203125" style="25" customWidth="1"/>
    <col min="2826" max="3077" width="9.33203125" style="25"/>
    <col min="3078" max="3078" width="19.5" style="25" customWidth="1"/>
    <col min="3079" max="3079" width="71.33203125" style="25" customWidth="1"/>
    <col min="3080" max="3080" width="21.5" style="25" customWidth="1"/>
    <col min="3081" max="3081" width="9.33203125" style="25" customWidth="1"/>
    <col min="3082" max="3333" width="9.33203125" style="25"/>
    <col min="3334" max="3334" width="19.5" style="25" customWidth="1"/>
    <col min="3335" max="3335" width="71.33203125" style="25" customWidth="1"/>
    <col min="3336" max="3336" width="21.5" style="25" customWidth="1"/>
    <col min="3337" max="3337" width="9.33203125" style="25" customWidth="1"/>
    <col min="3338" max="3589" width="9.33203125" style="25"/>
    <col min="3590" max="3590" width="19.5" style="25" customWidth="1"/>
    <col min="3591" max="3591" width="71.33203125" style="25" customWidth="1"/>
    <col min="3592" max="3592" width="21.5" style="25" customWidth="1"/>
    <col min="3593" max="3593" width="9.33203125" style="25" customWidth="1"/>
    <col min="3594" max="3845" width="9.33203125" style="25"/>
    <col min="3846" max="3846" width="19.5" style="25" customWidth="1"/>
    <col min="3847" max="3847" width="71.33203125" style="25" customWidth="1"/>
    <col min="3848" max="3848" width="21.5" style="25" customWidth="1"/>
    <col min="3849" max="3849" width="9.33203125" style="25" customWidth="1"/>
    <col min="3850" max="4101" width="9.33203125" style="25"/>
    <col min="4102" max="4102" width="19.5" style="25" customWidth="1"/>
    <col min="4103" max="4103" width="71.33203125" style="25" customWidth="1"/>
    <col min="4104" max="4104" width="21.5" style="25" customWidth="1"/>
    <col min="4105" max="4105" width="9.33203125" style="25" customWidth="1"/>
    <col min="4106" max="4357" width="9.33203125" style="25"/>
    <col min="4358" max="4358" width="19.5" style="25" customWidth="1"/>
    <col min="4359" max="4359" width="71.33203125" style="25" customWidth="1"/>
    <col min="4360" max="4360" width="21.5" style="25" customWidth="1"/>
    <col min="4361" max="4361" width="9.33203125" style="25" customWidth="1"/>
    <col min="4362" max="4613" width="9.33203125" style="25"/>
    <col min="4614" max="4614" width="19.5" style="25" customWidth="1"/>
    <col min="4615" max="4615" width="71.33203125" style="25" customWidth="1"/>
    <col min="4616" max="4616" width="21.5" style="25" customWidth="1"/>
    <col min="4617" max="4617" width="9.33203125" style="25" customWidth="1"/>
    <col min="4618" max="4869" width="9.33203125" style="25"/>
    <col min="4870" max="4870" width="19.5" style="25" customWidth="1"/>
    <col min="4871" max="4871" width="71.33203125" style="25" customWidth="1"/>
    <col min="4872" max="4872" width="21.5" style="25" customWidth="1"/>
    <col min="4873" max="4873" width="9.33203125" style="25" customWidth="1"/>
    <col min="4874" max="5125" width="9.33203125" style="25"/>
    <col min="5126" max="5126" width="19.5" style="25" customWidth="1"/>
    <col min="5127" max="5127" width="71.33203125" style="25" customWidth="1"/>
    <col min="5128" max="5128" width="21.5" style="25" customWidth="1"/>
    <col min="5129" max="5129" width="9.33203125" style="25" customWidth="1"/>
    <col min="5130" max="5381" width="9.33203125" style="25"/>
    <col min="5382" max="5382" width="19.5" style="25" customWidth="1"/>
    <col min="5383" max="5383" width="71.33203125" style="25" customWidth="1"/>
    <col min="5384" max="5384" width="21.5" style="25" customWidth="1"/>
    <col min="5385" max="5385" width="9.33203125" style="25" customWidth="1"/>
    <col min="5386" max="5637" width="9.33203125" style="25"/>
    <col min="5638" max="5638" width="19.5" style="25" customWidth="1"/>
    <col min="5639" max="5639" width="71.33203125" style="25" customWidth="1"/>
    <col min="5640" max="5640" width="21.5" style="25" customWidth="1"/>
    <col min="5641" max="5641" width="9.33203125" style="25" customWidth="1"/>
    <col min="5642" max="5893" width="9.33203125" style="25"/>
    <col min="5894" max="5894" width="19.5" style="25" customWidth="1"/>
    <col min="5895" max="5895" width="71.33203125" style="25" customWidth="1"/>
    <col min="5896" max="5896" width="21.5" style="25" customWidth="1"/>
    <col min="5897" max="5897" width="9.33203125" style="25" customWidth="1"/>
    <col min="5898" max="6149" width="9.33203125" style="25"/>
    <col min="6150" max="6150" width="19.5" style="25" customWidth="1"/>
    <col min="6151" max="6151" width="71.33203125" style="25" customWidth="1"/>
    <col min="6152" max="6152" width="21.5" style="25" customWidth="1"/>
    <col min="6153" max="6153" width="9.33203125" style="25" customWidth="1"/>
    <col min="6154" max="6405" width="9.33203125" style="25"/>
    <col min="6406" max="6406" width="19.5" style="25" customWidth="1"/>
    <col min="6407" max="6407" width="71.33203125" style="25" customWidth="1"/>
    <col min="6408" max="6408" width="21.5" style="25" customWidth="1"/>
    <col min="6409" max="6409" width="9.33203125" style="25" customWidth="1"/>
    <col min="6410" max="6661" width="9.33203125" style="25"/>
    <col min="6662" max="6662" width="19.5" style="25" customWidth="1"/>
    <col min="6663" max="6663" width="71.33203125" style="25" customWidth="1"/>
    <col min="6664" max="6664" width="21.5" style="25" customWidth="1"/>
    <col min="6665" max="6665" width="9.33203125" style="25" customWidth="1"/>
    <col min="6666" max="6917" width="9.33203125" style="25"/>
    <col min="6918" max="6918" width="19.5" style="25" customWidth="1"/>
    <col min="6919" max="6919" width="71.33203125" style="25" customWidth="1"/>
    <col min="6920" max="6920" width="21.5" style="25" customWidth="1"/>
    <col min="6921" max="6921" width="9.33203125" style="25" customWidth="1"/>
    <col min="6922" max="7173" width="9.33203125" style="25"/>
    <col min="7174" max="7174" width="19.5" style="25" customWidth="1"/>
    <col min="7175" max="7175" width="71.33203125" style="25" customWidth="1"/>
    <col min="7176" max="7176" width="21.5" style="25" customWidth="1"/>
    <col min="7177" max="7177" width="9.33203125" style="25" customWidth="1"/>
    <col min="7178" max="7429" width="9.33203125" style="25"/>
    <col min="7430" max="7430" width="19.5" style="25" customWidth="1"/>
    <col min="7431" max="7431" width="71.33203125" style="25" customWidth="1"/>
    <col min="7432" max="7432" width="21.5" style="25" customWidth="1"/>
    <col min="7433" max="7433" width="9.33203125" style="25" customWidth="1"/>
    <col min="7434" max="7685" width="9.33203125" style="25"/>
    <col min="7686" max="7686" width="19.5" style="25" customWidth="1"/>
    <col min="7687" max="7687" width="71.33203125" style="25" customWidth="1"/>
    <col min="7688" max="7688" width="21.5" style="25" customWidth="1"/>
    <col min="7689" max="7689" width="9.33203125" style="25" customWidth="1"/>
    <col min="7690" max="7941" width="9.33203125" style="25"/>
    <col min="7942" max="7942" width="19.5" style="25" customWidth="1"/>
    <col min="7943" max="7943" width="71.33203125" style="25" customWidth="1"/>
    <col min="7944" max="7944" width="21.5" style="25" customWidth="1"/>
    <col min="7945" max="7945" width="9.33203125" style="25" customWidth="1"/>
    <col min="7946" max="8197" width="9.33203125" style="25"/>
    <col min="8198" max="8198" width="19.5" style="25" customWidth="1"/>
    <col min="8199" max="8199" width="71.33203125" style="25" customWidth="1"/>
    <col min="8200" max="8200" width="21.5" style="25" customWidth="1"/>
    <col min="8201" max="8201" width="9.33203125" style="25" customWidth="1"/>
    <col min="8202" max="8453" width="9.33203125" style="25"/>
    <col min="8454" max="8454" width="19.5" style="25" customWidth="1"/>
    <col min="8455" max="8455" width="71.33203125" style="25" customWidth="1"/>
    <col min="8456" max="8456" width="21.5" style="25" customWidth="1"/>
    <col min="8457" max="8457" width="9.33203125" style="25" customWidth="1"/>
    <col min="8458" max="8709" width="9.33203125" style="25"/>
    <col min="8710" max="8710" width="19.5" style="25" customWidth="1"/>
    <col min="8711" max="8711" width="71.33203125" style="25" customWidth="1"/>
    <col min="8712" max="8712" width="21.5" style="25" customWidth="1"/>
    <col min="8713" max="8713" width="9.33203125" style="25" customWidth="1"/>
    <col min="8714" max="8965" width="9.33203125" style="25"/>
    <col min="8966" max="8966" width="19.5" style="25" customWidth="1"/>
    <col min="8967" max="8967" width="71.33203125" style="25" customWidth="1"/>
    <col min="8968" max="8968" width="21.5" style="25" customWidth="1"/>
    <col min="8969" max="8969" width="9.33203125" style="25" customWidth="1"/>
    <col min="8970" max="9221" width="9.33203125" style="25"/>
    <col min="9222" max="9222" width="19.5" style="25" customWidth="1"/>
    <col min="9223" max="9223" width="71.33203125" style="25" customWidth="1"/>
    <col min="9224" max="9224" width="21.5" style="25" customWidth="1"/>
    <col min="9225" max="9225" width="9.33203125" style="25" customWidth="1"/>
    <col min="9226" max="9477" width="9.33203125" style="25"/>
    <col min="9478" max="9478" width="19.5" style="25" customWidth="1"/>
    <col min="9479" max="9479" width="71.33203125" style="25" customWidth="1"/>
    <col min="9480" max="9480" width="21.5" style="25" customWidth="1"/>
    <col min="9481" max="9481" width="9.33203125" style="25" customWidth="1"/>
    <col min="9482" max="9733" width="9.33203125" style="25"/>
    <col min="9734" max="9734" width="19.5" style="25" customWidth="1"/>
    <col min="9735" max="9735" width="71.33203125" style="25" customWidth="1"/>
    <col min="9736" max="9736" width="21.5" style="25" customWidth="1"/>
    <col min="9737" max="9737" width="9.33203125" style="25" customWidth="1"/>
    <col min="9738" max="9989" width="9.33203125" style="25"/>
    <col min="9990" max="9990" width="19.5" style="25" customWidth="1"/>
    <col min="9991" max="9991" width="71.33203125" style="25" customWidth="1"/>
    <col min="9992" max="9992" width="21.5" style="25" customWidth="1"/>
    <col min="9993" max="9993" width="9.33203125" style="25" customWidth="1"/>
    <col min="9994" max="10245" width="9.33203125" style="25"/>
    <col min="10246" max="10246" width="19.5" style="25" customWidth="1"/>
    <col min="10247" max="10247" width="71.33203125" style="25" customWidth="1"/>
    <col min="10248" max="10248" width="21.5" style="25" customWidth="1"/>
    <col min="10249" max="10249" width="9.33203125" style="25" customWidth="1"/>
    <col min="10250" max="10501" width="9.33203125" style="25"/>
    <col min="10502" max="10502" width="19.5" style="25" customWidth="1"/>
    <col min="10503" max="10503" width="71.33203125" style="25" customWidth="1"/>
    <col min="10504" max="10504" width="21.5" style="25" customWidth="1"/>
    <col min="10505" max="10505" width="9.33203125" style="25" customWidth="1"/>
    <col min="10506" max="10757" width="9.33203125" style="25"/>
    <col min="10758" max="10758" width="19.5" style="25" customWidth="1"/>
    <col min="10759" max="10759" width="71.33203125" style="25" customWidth="1"/>
    <col min="10760" max="10760" width="21.5" style="25" customWidth="1"/>
    <col min="10761" max="10761" width="9.33203125" style="25" customWidth="1"/>
    <col min="10762" max="11013" width="9.33203125" style="25"/>
    <col min="11014" max="11014" width="19.5" style="25" customWidth="1"/>
    <col min="11015" max="11015" width="71.33203125" style="25" customWidth="1"/>
    <col min="11016" max="11016" width="21.5" style="25" customWidth="1"/>
    <col min="11017" max="11017" width="9.33203125" style="25" customWidth="1"/>
    <col min="11018" max="11269" width="9.33203125" style="25"/>
    <col min="11270" max="11270" width="19.5" style="25" customWidth="1"/>
    <col min="11271" max="11271" width="71.33203125" style="25" customWidth="1"/>
    <col min="11272" max="11272" width="21.5" style="25" customWidth="1"/>
    <col min="11273" max="11273" width="9.33203125" style="25" customWidth="1"/>
    <col min="11274" max="11525" width="9.33203125" style="25"/>
    <col min="11526" max="11526" width="19.5" style="25" customWidth="1"/>
    <col min="11527" max="11527" width="71.33203125" style="25" customWidth="1"/>
    <col min="11528" max="11528" width="21.5" style="25" customWidth="1"/>
    <col min="11529" max="11529" width="9.33203125" style="25" customWidth="1"/>
    <col min="11530" max="11781" width="9.33203125" style="25"/>
    <col min="11782" max="11782" width="19.5" style="25" customWidth="1"/>
    <col min="11783" max="11783" width="71.33203125" style="25" customWidth="1"/>
    <col min="11784" max="11784" width="21.5" style="25" customWidth="1"/>
    <col min="11785" max="11785" width="9.33203125" style="25" customWidth="1"/>
    <col min="11786" max="12037" width="9.33203125" style="25"/>
    <col min="12038" max="12038" width="19.5" style="25" customWidth="1"/>
    <col min="12039" max="12039" width="71.33203125" style="25" customWidth="1"/>
    <col min="12040" max="12040" width="21.5" style="25" customWidth="1"/>
    <col min="12041" max="12041" width="9.33203125" style="25" customWidth="1"/>
    <col min="12042" max="12293" width="9.33203125" style="25"/>
    <col min="12294" max="12294" width="19.5" style="25" customWidth="1"/>
    <col min="12295" max="12295" width="71.33203125" style="25" customWidth="1"/>
    <col min="12296" max="12296" width="21.5" style="25" customWidth="1"/>
    <col min="12297" max="12297" width="9.33203125" style="25" customWidth="1"/>
    <col min="12298" max="12549" width="9.33203125" style="25"/>
    <col min="12550" max="12550" width="19.5" style="25" customWidth="1"/>
    <col min="12551" max="12551" width="71.33203125" style="25" customWidth="1"/>
    <col min="12552" max="12552" width="21.5" style="25" customWidth="1"/>
    <col min="12553" max="12553" width="9.33203125" style="25" customWidth="1"/>
    <col min="12554" max="12805" width="9.33203125" style="25"/>
    <col min="12806" max="12806" width="19.5" style="25" customWidth="1"/>
    <col min="12807" max="12807" width="71.33203125" style="25" customWidth="1"/>
    <col min="12808" max="12808" width="21.5" style="25" customWidth="1"/>
    <col min="12809" max="12809" width="9.33203125" style="25" customWidth="1"/>
    <col min="12810" max="13061" width="9.33203125" style="25"/>
    <col min="13062" max="13062" width="19.5" style="25" customWidth="1"/>
    <col min="13063" max="13063" width="71.33203125" style="25" customWidth="1"/>
    <col min="13064" max="13064" width="21.5" style="25" customWidth="1"/>
    <col min="13065" max="13065" width="9.33203125" style="25" customWidth="1"/>
    <col min="13066" max="13317" width="9.33203125" style="25"/>
    <col min="13318" max="13318" width="19.5" style="25" customWidth="1"/>
    <col min="13319" max="13319" width="71.33203125" style="25" customWidth="1"/>
    <col min="13320" max="13320" width="21.5" style="25" customWidth="1"/>
    <col min="13321" max="13321" width="9.33203125" style="25" customWidth="1"/>
    <col min="13322" max="13573" width="9.33203125" style="25"/>
    <col min="13574" max="13574" width="19.5" style="25" customWidth="1"/>
    <col min="13575" max="13575" width="71.33203125" style="25" customWidth="1"/>
    <col min="13576" max="13576" width="21.5" style="25" customWidth="1"/>
    <col min="13577" max="13577" width="9.33203125" style="25" customWidth="1"/>
    <col min="13578" max="13829" width="9.33203125" style="25"/>
    <col min="13830" max="13830" width="19.5" style="25" customWidth="1"/>
    <col min="13831" max="13831" width="71.33203125" style="25" customWidth="1"/>
    <col min="13832" max="13832" width="21.5" style="25" customWidth="1"/>
    <col min="13833" max="13833" width="9.33203125" style="25" customWidth="1"/>
    <col min="13834" max="14085" width="9.33203125" style="25"/>
    <col min="14086" max="14086" width="19.5" style="25" customWidth="1"/>
    <col min="14087" max="14087" width="71.33203125" style="25" customWidth="1"/>
    <col min="14088" max="14088" width="21.5" style="25" customWidth="1"/>
    <col min="14089" max="14089" width="9.33203125" style="25" customWidth="1"/>
    <col min="14090" max="14341" width="9.33203125" style="25"/>
    <col min="14342" max="14342" width="19.5" style="25" customWidth="1"/>
    <col min="14343" max="14343" width="71.33203125" style="25" customWidth="1"/>
    <col min="14344" max="14344" width="21.5" style="25" customWidth="1"/>
    <col min="14345" max="14345" width="9.33203125" style="25" customWidth="1"/>
    <col min="14346" max="14597" width="9.33203125" style="25"/>
    <col min="14598" max="14598" width="19.5" style="25" customWidth="1"/>
    <col min="14599" max="14599" width="71.33203125" style="25" customWidth="1"/>
    <col min="14600" max="14600" width="21.5" style="25" customWidth="1"/>
    <col min="14601" max="14601" width="9.33203125" style="25" customWidth="1"/>
    <col min="14602" max="14853" width="9.33203125" style="25"/>
    <col min="14854" max="14854" width="19.5" style="25" customWidth="1"/>
    <col min="14855" max="14855" width="71.33203125" style="25" customWidth="1"/>
    <col min="14856" max="14856" width="21.5" style="25" customWidth="1"/>
    <col min="14857" max="14857" width="9.33203125" style="25" customWidth="1"/>
    <col min="14858" max="15109" width="9.33203125" style="25"/>
    <col min="15110" max="15110" width="19.5" style="25" customWidth="1"/>
    <col min="15111" max="15111" width="71.33203125" style="25" customWidth="1"/>
    <col min="15112" max="15112" width="21.5" style="25" customWidth="1"/>
    <col min="15113" max="15113" width="9.33203125" style="25" customWidth="1"/>
    <col min="15114" max="15365" width="9.33203125" style="25"/>
    <col min="15366" max="15366" width="19.5" style="25" customWidth="1"/>
    <col min="15367" max="15367" width="71.33203125" style="25" customWidth="1"/>
    <col min="15368" max="15368" width="21.5" style="25" customWidth="1"/>
    <col min="15369" max="15369" width="9.33203125" style="25" customWidth="1"/>
    <col min="15370" max="15621" width="9.33203125" style="25"/>
    <col min="15622" max="15622" width="19.5" style="25" customWidth="1"/>
    <col min="15623" max="15623" width="71.33203125" style="25" customWidth="1"/>
    <col min="15624" max="15624" width="21.5" style="25" customWidth="1"/>
    <col min="15625" max="15625" width="9.33203125" style="25" customWidth="1"/>
    <col min="15626" max="15877" width="9.33203125" style="25"/>
    <col min="15878" max="15878" width="19.5" style="25" customWidth="1"/>
    <col min="15879" max="15879" width="71.33203125" style="25" customWidth="1"/>
    <col min="15880" max="15880" width="21.5" style="25" customWidth="1"/>
    <col min="15881" max="15881" width="9.33203125" style="25" customWidth="1"/>
    <col min="15882" max="16133" width="9.33203125" style="25"/>
    <col min="16134" max="16134" width="19.5" style="25" customWidth="1"/>
    <col min="16135" max="16135" width="71.33203125" style="25" customWidth="1"/>
    <col min="16136" max="16136" width="21.5" style="25" customWidth="1"/>
    <col min="16137" max="16137" width="9.33203125" style="25" customWidth="1"/>
    <col min="16138" max="16384" width="9.33203125" style="25"/>
  </cols>
  <sheetData>
    <row r="1" spans="1:12" x14ac:dyDescent="0.2">
      <c r="A1" s="1774" t="s">
        <v>804</v>
      </c>
      <c r="B1" s="1774"/>
      <c r="C1" s="1774"/>
      <c r="D1" s="1774"/>
      <c r="E1" s="1774"/>
      <c r="F1" s="1774"/>
      <c r="G1" s="1774"/>
      <c r="H1" s="1774"/>
      <c r="I1" s="25"/>
      <c r="J1" s="25"/>
      <c r="K1" s="25"/>
      <c r="L1" s="25"/>
    </row>
    <row r="2" spans="1:12" x14ac:dyDescent="0.2">
      <c r="A2" s="1774" t="s">
        <v>725</v>
      </c>
      <c r="B2" s="1774"/>
      <c r="C2" s="1774"/>
      <c r="D2" s="1774"/>
      <c r="E2" s="1774"/>
      <c r="F2" s="1774"/>
      <c r="G2" s="1774"/>
      <c r="H2" s="1774"/>
      <c r="I2" s="25"/>
      <c r="J2" s="25"/>
      <c r="K2" s="25"/>
      <c r="L2" s="25"/>
    </row>
    <row r="3" spans="1:12" x14ac:dyDescent="0.2">
      <c r="C3" s="167"/>
      <c r="D3" s="167"/>
      <c r="E3" s="167"/>
      <c r="F3" s="167"/>
      <c r="G3" s="167"/>
      <c r="H3" s="167"/>
      <c r="I3" s="167"/>
      <c r="J3" s="167"/>
      <c r="K3" s="167"/>
      <c r="L3" s="167"/>
    </row>
    <row r="4" spans="1:12" s="24" customFormat="1" ht="16.5" customHeight="1" thickBot="1" x14ac:dyDescent="0.25">
      <c r="A4" s="169"/>
      <c r="B4" s="170"/>
      <c r="C4" s="167"/>
      <c r="D4" s="167"/>
      <c r="E4" s="167"/>
      <c r="F4" s="167"/>
      <c r="G4" s="167"/>
      <c r="H4" s="167"/>
      <c r="I4" s="167"/>
      <c r="J4" s="167"/>
      <c r="K4" s="167"/>
      <c r="L4" s="167"/>
    </row>
    <row r="5" spans="1:12" s="38" customFormat="1" ht="21.2" customHeight="1" x14ac:dyDescent="0.2">
      <c r="A5" s="36" t="s">
        <v>84</v>
      </c>
      <c r="B5" s="37" t="s">
        <v>9</v>
      </c>
      <c r="C5" s="1913" t="s">
        <v>141</v>
      </c>
      <c r="D5" s="1914"/>
      <c r="E5" s="1914"/>
      <c r="F5" s="1914"/>
      <c r="G5" s="1914"/>
      <c r="H5" s="1915"/>
    </row>
    <row r="6" spans="1:12" s="38" customFormat="1" ht="26.45" customHeight="1" thickBot="1" x14ac:dyDescent="0.25">
      <c r="A6" s="39" t="s">
        <v>577</v>
      </c>
      <c r="B6" s="40" t="s">
        <v>403</v>
      </c>
      <c r="C6" s="1916">
        <v>1</v>
      </c>
      <c r="D6" s="1917"/>
      <c r="E6" s="1917"/>
      <c r="F6" s="1917"/>
      <c r="G6" s="1917"/>
      <c r="H6" s="1918"/>
    </row>
    <row r="7" spans="1:12" s="270" customFormat="1" ht="15.95" customHeight="1" thickBot="1" x14ac:dyDescent="0.3">
      <c r="A7" s="1919" t="s">
        <v>362</v>
      </c>
      <c r="B7" s="1919"/>
      <c r="C7" s="1919"/>
      <c r="D7" s="1919"/>
      <c r="E7" s="1919"/>
      <c r="F7" s="1919"/>
      <c r="G7" s="1919"/>
      <c r="H7" s="1919"/>
    </row>
    <row r="8" spans="1:12" ht="57.75" customHeight="1" thickBot="1" x14ac:dyDescent="0.25">
      <c r="A8" s="641" t="s">
        <v>142</v>
      </c>
      <c r="B8" s="42" t="s">
        <v>36</v>
      </c>
      <c r="C8" s="42" t="str">
        <f>'26._köt_össz_bev'!C9</f>
        <v>2023. évi eredeti előirányzat
2/2023. (II.14.)</v>
      </c>
      <c r="D8" s="191" t="str">
        <f>'26._köt_össz_bev'!D9</f>
        <v>Módosított előirányzat a 14/2023.  (VI.29.)  rendelet szerint</v>
      </c>
      <c r="E8" s="42" t="str">
        <f>'26._köt_össz_bev'!E9</f>
        <v>Módosított előirányzat a 18/2023. (IX.26.)  rendelet szerint</v>
      </c>
      <c r="F8" s="42" t="str">
        <f>'26._köt_össz_bev'!F9</f>
        <v>Módosított előirányzat 2023.09.30-án</v>
      </c>
      <c r="G8" s="42" t="str">
        <f>'26._köt_össz_bev'!G9</f>
        <v>Módosított előirányzat a …../2023. (II…..)  rendelet szerint</v>
      </c>
      <c r="H8" s="126" t="str">
        <f>'26._köt_össz_bev'!H9</f>
        <v>Változás a 14/2023. (VI.29.) rendelethez képest</v>
      </c>
      <c r="I8" s="191" t="str">
        <f>'26._köt_össz_bev'!I9</f>
        <v>2023. évi teljesítés              2023.06.30-ig</v>
      </c>
      <c r="J8" s="42" t="str">
        <f>'26._köt_össz_bev'!J9</f>
        <v>2023. évi teljesítés              2023.09.30-ig</v>
      </c>
      <c r="K8" s="42" t="str">
        <f>'26._köt_össz_bev'!K9</f>
        <v>2023. évi teljesítés              2023.12.31-ig</v>
      </c>
      <c r="L8" s="42" t="str">
        <f>'26._köt_össz_bev'!L9</f>
        <v>Teljesítés %-a</v>
      </c>
    </row>
    <row r="9" spans="1:12" s="46" customFormat="1" ht="12.95" customHeight="1" thickBot="1" x14ac:dyDescent="0.25">
      <c r="A9" s="43" t="s">
        <v>297</v>
      </c>
      <c r="B9" s="44" t="s">
        <v>298</v>
      </c>
      <c r="C9" s="44" t="s">
        <v>299</v>
      </c>
      <c r="D9" s="182" t="s">
        <v>300</v>
      </c>
      <c r="E9" s="565" t="s">
        <v>301</v>
      </c>
      <c r="F9" s="565"/>
      <c r="G9" s="565"/>
      <c r="H9" s="45" t="s">
        <v>388</v>
      </c>
      <c r="I9" s="180"/>
      <c r="J9" s="45"/>
      <c r="K9" s="45"/>
      <c r="L9" s="45"/>
    </row>
    <row r="10" spans="1:12" s="46" customFormat="1" ht="15.95" customHeight="1" thickBot="1" x14ac:dyDescent="0.25">
      <c r="A10" s="1921" t="s">
        <v>37</v>
      </c>
      <c r="B10" s="1922"/>
      <c r="C10" s="1922"/>
      <c r="D10" s="1922"/>
      <c r="E10" s="1922"/>
      <c r="F10" s="1922"/>
      <c r="G10" s="1922"/>
      <c r="H10" s="1923"/>
      <c r="I10" s="273"/>
      <c r="J10" s="519"/>
      <c r="K10" s="519"/>
      <c r="L10" s="519"/>
    </row>
    <row r="11" spans="1:12" s="46" customFormat="1" ht="12.2" customHeight="1" thickBot="1" x14ac:dyDescent="0.25">
      <c r="A11" s="14" t="s">
        <v>12</v>
      </c>
      <c r="B11" s="72" t="s">
        <v>622</v>
      </c>
      <c r="C11" s="113">
        <f>+C19+C20+C21+C22+C23</f>
        <v>0</v>
      </c>
      <c r="D11" s="186">
        <f t="shared" ref="D11:K11" si="0">+D19+D20+D21+D22+D23</f>
        <v>0</v>
      </c>
      <c r="E11" s="566">
        <f t="shared" si="0"/>
        <v>0</v>
      </c>
      <c r="F11" s="566">
        <f t="shared" si="0"/>
        <v>0</v>
      </c>
      <c r="G11" s="566">
        <f t="shared" si="0"/>
        <v>0</v>
      </c>
      <c r="H11" s="28">
        <f>+E11-D11</f>
        <v>0</v>
      </c>
      <c r="I11" s="628">
        <f t="shared" si="0"/>
        <v>0</v>
      </c>
      <c r="J11" s="28">
        <f t="shared" si="0"/>
        <v>0</v>
      </c>
      <c r="K11" s="28">
        <f t="shared" si="0"/>
        <v>0</v>
      </c>
      <c r="L11" s="28">
        <f t="shared" ref="L11" si="1">+L12+L13+L14+L15+L16+L17+L18</f>
        <v>0</v>
      </c>
    </row>
    <row r="12" spans="1:12" s="26" customFormat="1" ht="12.2" customHeight="1" x14ac:dyDescent="0.2">
      <c r="A12" s="12" t="s">
        <v>91</v>
      </c>
      <c r="B12" s="73" t="s">
        <v>188</v>
      </c>
      <c r="C12" s="114"/>
      <c r="D12" s="185"/>
      <c r="E12" s="567"/>
      <c r="F12" s="567"/>
      <c r="G12" s="567"/>
      <c r="H12" s="16">
        <f t="shared" ref="H12:H75" si="2">+E12-D12</f>
        <v>0</v>
      </c>
      <c r="I12" s="626"/>
      <c r="J12" s="16"/>
      <c r="K12" s="16"/>
      <c r="L12" s="16"/>
    </row>
    <row r="13" spans="1:12" s="54" customFormat="1" ht="12.2" customHeight="1" x14ac:dyDescent="0.2">
      <c r="A13" s="1003" t="s">
        <v>92</v>
      </c>
      <c r="B13" s="345" t="s">
        <v>532</v>
      </c>
      <c r="C13" s="401"/>
      <c r="D13" s="325"/>
      <c r="E13" s="568"/>
      <c r="F13" s="568"/>
      <c r="G13" s="568"/>
      <c r="H13" s="327">
        <f t="shared" si="2"/>
        <v>0</v>
      </c>
      <c r="I13" s="627"/>
      <c r="J13" s="327"/>
      <c r="K13" s="327"/>
      <c r="L13" s="327"/>
    </row>
    <row r="14" spans="1:12" s="54" customFormat="1" ht="12.2" customHeight="1" x14ac:dyDescent="0.2">
      <c r="A14" s="1003" t="s">
        <v>93</v>
      </c>
      <c r="B14" s="345" t="s">
        <v>533</v>
      </c>
      <c r="C14" s="401"/>
      <c r="D14" s="325"/>
      <c r="E14" s="568"/>
      <c r="F14" s="568"/>
      <c r="G14" s="568"/>
      <c r="H14" s="327">
        <f t="shared" si="2"/>
        <v>0</v>
      </c>
      <c r="I14" s="627"/>
      <c r="J14" s="327"/>
      <c r="K14" s="327"/>
      <c r="L14" s="327"/>
    </row>
    <row r="15" spans="1:12" s="54" customFormat="1" ht="12.2" customHeight="1" x14ac:dyDescent="0.2">
      <c r="A15" s="1003" t="s">
        <v>90</v>
      </c>
      <c r="B15" s="345" t="s">
        <v>534</v>
      </c>
      <c r="C15" s="401"/>
      <c r="D15" s="325"/>
      <c r="E15" s="568"/>
      <c r="F15" s="568"/>
      <c r="G15" s="568"/>
      <c r="H15" s="327">
        <f t="shared" si="2"/>
        <v>0</v>
      </c>
      <c r="I15" s="627"/>
      <c r="J15" s="327"/>
      <c r="K15" s="327"/>
      <c r="L15" s="327"/>
    </row>
    <row r="16" spans="1:12" s="54" customFormat="1" ht="12.2" customHeight="1" x14ac:dyDescent="0.2">
      <c r="A16" s="1003" t="s">
        <v>147</v>
      </c>
      <c r="B16" s="345" t="s">
        <v>189</v>
      </c>
      <c r="C16" s="401"/>
      <c r="D16" s="325"/>
      <c r="E16" s="568"/>
      <c r="F16" s="568"/>
      <c r="G16" s="568"/>
      <c r="H16" s="327">
        <f t="shared" si="2"/>
        <v>0</v>
      </c>
      <c r="I16" s="627"/>
      <c r="J16" s="327"/>
      <c r="K16" s="327"/>
      <c r="L16" s="327"/>
    </row>
    <row r="17" spans="1:12" s="54" customFormat="1" ht="12.2" customHeight="1" x14ac:dyDescent="0.2">
      <c r="A17" s="1005" t="s">
        <v>149</v>
      </c>
      <c r="B17" s="345" t="s">
        <v>271</v>
      </c>
      <c r="C17" s="401"/>
      <c r="D17" s="325"/>
      <c r="E17" s="568"/>
      <c r="F17" s="568"/>
      <c r="G17" s="568"/>
      <c r="H17" s="327">
        <f t="shared" si="2"/>
        <v>0</v>
      </c>
      <c r="I17" s="627"/>
      <c r="J17" s="327"/>
      <c r="K17" s="327"/>
      <c r="L17" s="327"/>
    </row>
    <row r="18" spans="1:12" s="26" customFormat="1" ht="12.2" customHeight="1" x14ac:dyDescent="0.2">
      <c r="A18" s="1005" t="s">
        <v>151</v>
      </c>
      <c r="B18" s="822" t="s">
        <v>272</v>
      </c>
      <c r="C18" s="401"/>
      <c r="D18" s="625"/>
      <c r="E18" s="569"/>
      <c r="F18" s="569"/>
      <c r="G18" s="569"/>
      <c r="H18" s="525">
        <f t="shared" si="2"/>
        <v>0</v>
      </c>
      <c r="I18" s="629"/>
      <c r="J18" s="525"/>
      <c r="K18" s="525"/>
      <c r="L18" s="525"/>
    </row>
    <row r="19" spans="1:12" s="26" customFormat="1" ht="12.2" customHeight="1" x14ac:dyDescent="0.2">
      <c r="A19" s="1010" t="s">
        <v>153</v>
      </c>
      <c r="B19" s="687" t="s">
        <v>623</v>
      </c>
      <c r="C19" s="401">
        <f>+SUM(C12:C18)</f>
        <v>0</v>
      </c>
      <c r="D19" s="662">
        <f t="shared" ref="D19:K19" si="3">+SUM(D12:D18)</f>
        <v>0</v>
      </c>
      <c r="E19" s="576">
        <f t="shared" si="3"/>
        <v>0</v>
      </c>
      <c r="F19" s="576">
        <f t="shared" si="3"/>
        <v>0</v>
      </c>
      <c r="G19" s="576">
        <f t="shared" si="3"/>
        <v>0</v>
      </c>
      <c r="H19" s="527">
        <f t="shared" si="2"/>
        <v>0</v>
      </c>
      <c r="I19" s="826">
        <f t="shared" si="3"/>
        <v>0</v>
      </c>
      <c r="J19" s="527">
        <f t="shared" si="3"/>
        <v>0</v>
      </c>
      <c r="K19" s="527">
        <f t="shared" si="3"/>
        <v>0</v>
      </c>
      <c r="L19" s="527">
        <f t="shared" ref="L19" si="4">+SUM(L12:L18)</f>
        <v>0</v>
      </c>
    </row>
    <row r="20" spans="1:12" s="26" customFormat="1" ht="12.2" customHeight="1" x14ac:dyDescent="0.2">
      <c r="A20" s="12" t="s">
        <v>154</v>
      </c>
      <c r="B20" s="73" t="s">
        <v>159</v>
      </c>
      <c r="C20" s="114"/>
      <c r="D20" s="185"/>
      <c r="E20" s="567"/>
      <c r="F20" s="567"/>
      <c r="G20" s="567"/>
      <c r="H20" s="16">
        <f t="shared" si="2"/>
        <v>0</v>
      </c>
      <c r="I20" s="626"/>
      <c r="J20" s="16"/>
      <c r="K20" s="16"/>
      <c r="L20" s="16"/>
    </row>
    <row r="21" spans="1:12" s="26" customFormat="1" ht="12.2" customHeight="1" x14ac:dyDescent="0.2">
      <c r="A21" s="12" t="s">
        <v>156</v>
      </c>
      <c r="B21" s="345" t="s">
        <v>190</v>
      </c>
      <c r="C21" s="401"/>
      <c r="D21" s="325"/>
      <c r="E21" s="568"/>
      <c r="F21" s="568"/>
      <c r="G21" s="568"/>
      <c r="H21" s="327">
        <f t="shared" si="2"/>
        <v>0</v>
      </c>
      <c r="I21" s="627"/>
      <c r="J21" s="327"/>
      <c r="K21" s="327"/>
      <c r="L21" s="327"/>
    </row>
    <row r="22" spans="1:12" s="26" customFormat="1" ht="12.2" customHeight="1" x14ac:dyDescent="0.2">
      <c r="A22" s="12" t="s">
        <v>276</v>
      </c>
      <c r="B22" s="345" t="s">
        <v>191</v>
      </c>
      <c r="C22" s="401"/>
      <c r="D22" s="325"/>
      <c r="E22" s="568"/>
      <c r="F22" s="568"/>
      <c r="G22" s="568"/>
      <c r="H22" s="327">
        <f t="shared" si="2"/>
        <v>0</v>
      </c>
      <c r="I22" s="627"/>
      <c r="J22" s="327"/>
      <c r="K22" s="327"/>
      <c r="L22" s="327"/>
    </row>
    <row r="23" spans="1:12" s="26" customFormat="1" ht="12.2" customHeight="1" x14ac:dyDescent="0.2">
      <c r="A23" s="12" t="s">
        <v>595</v>
      </c>
      <c r="B23" s="345" t="s">
        <v>192</v>
      </c>
      <c r="C23" s="401"/>
      <c r="D23" s="325"/>
      <c r="E23" s="568"/>
      <c r="F23" s="568"/>
      <c r="G23" s="568"/>
      <c r="H23" s="327">
        <f t="shared" si="2"/>
        <v>0</v>
      </c>
      <c r="I23" s="627"/>
      <c r="J23" s="327"/>
      <c r="K23" s="327"/>
      <c r="L23" s="327"/>
    </row>
    <row r="24" spans="1:12" s="54" customFormat="1" ht="12.2" customHeight="1" thickBot="1" x14ac:dyDescent="0.25">
      <c r="A24" s="12" t="s">
        <v>596</v>
      </c>
      <c r="B24" s="496" t="s">
        <v>643</v>
      </c>
      <c r="C24" s="504"/>
      <c r="D24" s="625"/>
      <c r="E24" s="569"/>
      <c r="F24" s="569"/>
      <c r="G24" s="569"/>
      <c r="H24" s="525">
        <f t="shared" si="2"/>
        <v>0</v>
      </c>
      <c r="I24" s="629"/>
      <c r="J24" s="525"/>
      <c r="K24" s="525"/>
      <c r="L24" s="525"/>
    </row>
    <row r="25" spans="1:12" s="54" customFormat="1" ht="12.2" customHeight="1" thickBot="1" x14ac:dyDescent="0.25">
      <c r="A25" s="14" t="s">
        <v>13</v>
      </c>
      <c r="B25" s="72" t="s">
        <v>597</v>
      </c>
      <c r="C25" s="113">
        <f>+C26+C27+C28+C29</f>
        <v>0</v>
      </c>
      <c r="D25" s="186">
        <f t="shared" ref="D25:K25" si="5">+D26+D27+D28+D29</f>
        <v>0</v>
      </c>
      <c r="E25" s="566">
        <f t="shared" si="5"/>
        <v>0</v>
      </c>
      <c r="F25" s="566">
        <f t="shared" si="5"/>
        <v>0</v>
      </c>
      <c r="G25" s="566">
        <f t="shared" si="5"/>
        <v>0</v>
      </c>
      <c r="H25" s="28">
        <f t="shared" si="2"/>
        <v>0</v>
      </c>
      <c r="I25" s="628">
        <f t="shared" si="5"/>
        <v>0</v>
      </c>
      <c r="J25" s="28">
        <f t="shared" si="5"/>
        <v>0</v>
      </c>
      <c r="K25" s="28">
        <f t="shared" si="5"/>
        <v>0</v>
      </c>
      <c r="L25" s="28">
        <f t="shared" ref="L25" si="6">+L26+L27+L28+L29</f>
        <v>0</v>
      </c>
    </row>
    <row r="26" spans="1:12" s="54" customFormat="1" ht="12.2" customHeight="1" x14ac:dyDescent="0.2">
      <c r="A26" s="12" t="s">
        <v>94</v>
      </c>
      <c r="B26" s="716" t="s">
        <v>193</v>
      </c>
      <c r="C26" s="114"/>
      <c r="D26" s="185"/>
      <c r="E26" s="567"/>
      <c r="F26" s="567"/>
      <c r="G26" s="567"/>
      <c r="H26" s="16">
        <f t="shared" si="2"/>
        <v>0</v>
      </c>
      <c r="I26" s="626"/>
      <c r="J26" s="16"/>
      <c r="K26" s="16"/>
      <c r="L26" s="16"/>
    </row>
    <row r="27" spans="1:12" s="54" customFormat="1" ht="12.2" customHeight="1" x14ac:dyDescent="0.2">
      <c r="A27" s="1003" t="s">
        <v>95</v>
      </c>
      <c r="B27" s="717" t="s">
        <v>194</v>
      </c>
      <c r="C27" s="401"/>
      <c r="D27" s="325"/>
      <c r="E27" s="568"/>
      <c r="F27" s="568"/>
      <c r="G27" s="568"/>
      <c r="H27" s="327">
        <f t="shared" si="2"/>
        <v>0</v>
      </c>
      <c r="I27" s="627"/>
      <c r="J27" s="327"/>
      <c r="K27" s="327"/>
      <c r="L27" s="327"/>
    </row>
    <row r="28" spans="1:12" s="54" customFormat="1" ht="12.2" customHeight="1" x14ac:dyDescent="0.2">
      <c r="A28" s="1003" t="s">
        <v>96</v>
      </c>
      <c r="B28" s="717" t="s">
        <v>196</v>
      </c>
      <c r="C28" s="401"/>
      <c r="D28" s="325"/>
      <c r="E28" s="568"/>
      <c r="F28" s="568"/>
      <c r="G28" s="568"/>
      <c r="H28" s="327">
        <f t="shared" si="2"/>
        <v>0</v>
      </c>
      <c r="I28" s="627"/>
      <c r="J28" s="327"/>
      <c r="K28" s="327"/>
      <c r="L28" s="327"/>
    </row>
    <row r="29" spans="1:12" s="54" customFormat="1" ht="12.2" customHeight="1" x14ac:dyDescent="0.2">
      <c r="A29" s="1003" t="s">
        <v>97</v>
      </c>
      <c r="B29" s="717" t="s">
        <v>197</v>
      </c>
      <c r="C29" s="401"/>
      <c r="D29" s="325"/>
      <c r="E29" s="568"/>
      <c r="F29" s="568"/>
      <c r="G29" s="568"/>
      <c r="H29" s="327">
        <f t="shared" si="2"/>
        <v>0</v>
      </c>
      <c r="I29" s="627"/>
      <c r="J29" s="327"/>
      <c r="K29" s="327"/>
      <c r="L29" s="327"/>
    </row>
    <row r="30" spans="1:12" s="54" customFormat="1" ht="12.2" customHeight="1" thickBot="1" x14ac:dyDescent="0.25">
      <c r="A30" s="1005" t="s">
        <v>321</v>
      </c>
      <c r="B30" s="496" t="s">
        <v>273</v>
      </c>
      <c r="C30" s="504"/>
      <c r="D30" s="625"/>
      <c r="E30" s="569"/>
      <c r="F30" s="569"/>
      <c r="G30" s="569"/>
      <c r="H30" s="525">
        <f t="shared" si="2"/>
        <v>0</v>
      </c>
      <c r="I30" s="629"/>
      <c r="J30" s="525"/>
      <c r="K30" s="525"/>
      <c r="L30" s="525"/>
    </row>
    <row r="31" spans="1:12" s="54" customFormat="1" ht="12.2" customHeight="1" thickBot="1" x14ac:dyDescent="0.25">
      <c r="A31" s="14" t="s">
        <v>625</v>
      </c>
      <c r="B31" s="72" t="s">
        <v>598</v>
      </c>
      <c r="C31" s="1023">
        <f>C32+C34+C36+C37+C40</f>
        <v>2285880078</v>
      </c>
      <c r="D31" s="187">
        <f t="shared" ref="D31:K31" si="7">D32+D34+D36+D37+D40</f>
        <v>2078182570</v>
      </c>
      <c r="E31" s="532">
        <f>E32+E34+E36+E37+E40</f>
        <v>2471094426</v>
      </c>
      <c r="F31" s="532">
        <f t="shared" si="7"/>
        <v>0</v>
      </c>
      <c r="G31" s="532">
        <f t="shared" si="7"/>
        <v>0</v>
      </c>
      <c r="H31" s="74">
        <f t="shared" si="2"/>
        <v>392911856</v>
      </c>
      <c r="I31" s="638">
        <f t="shared" si="7"/>
        <v>0</v>
      </c>
      <c r="J31" s="74">
        <f t="shared" si="7"/>
        <v>0</v>
      </c>
      <c r="K31" s="74">
        <f t="shared" si="7"/>
        <v>0</v>
      </c>
      <c r="L31" s="74">
        <f t="shared" ref="L31" si="8">L32+L34+L36+L37+L40</f>
        <v>0</v>
      </c>
    </row>
    <row r="32" spans="1:12" s="54" customFormat="1" ht="12.2" customHeight="1" x14ac:dyDescent="0.2">
      <c r="A32" s="12" t="s">
        <v>98</v>
      </c>
      <c r="B32" s="716" t="s">
        <v>278</v>
      </c>
      <c r="C32" s="115">
        <f>C33</f>
        <v>650000000</v>
      </c>
      <c r="D32" s="200">
        <f t="shared" ref="D32:K32" si="9">D33</f>
        <v>650000000</v>
      </c>
      <c r="E32" s="570">
        <f t="shared" si="9"/>
        <v>650000000</v>
      </c>
      <c r="F32" s="570">
        <f t="shared" si="9"/>
        <v>0</v>
      </c>
      <c r="G32" s="570">
        <f t="shared" si="9"/>
        <v>0</v>
      </c>
      <c r="H32" s="75">
        <f t="shared" si="2"/>
        <v>0</v>
      </c>
      <c r="I32" s="637">
        <f t="shared" si="9"/>
        <v>0</v>
      </c>
      <c r="J32" s="75">
        <f t="shared" si="9"/>
        <v>0</v>
      </c>
      <c r="K32" s="75">
        <f t="shared" si="9"/>
        <v>0</v>
      </c>
      <c r="L32" s="75">
        <f t="shared" ref="L32" si="10">L33</f>
        <v>0</v>
      </c>
    </row>
    <row r="33" spans="1:12" s="54" customFormat="1" ht="12.2" customHeight="1" x14ac:dyDescent="0.2">
      <c r="A33" s="1003" t="s">
        <v>599</v>
      </c>
      <c r="B33" s="717" t="s">
        <v>230</v>
      </c>
      <c r="C33" s="401">
        <v>650000000</v>
      </c>
      <c r="D33" s="325">
        <v>650000000</v>
      </c>
      <c r="E33" s="568">
        <v>650000000</v>
      </c>
      <c r="F33" s="568"/>
      <c r="G33" s="568"/>
      <c r="H33" s="327">
        <f t="shared" si="2"/>
        <v>0</v>
      </c>
      <c r="I33" s="627"/>
      <c r="J33" s="327"/>
      <c r="K33" s="327"/>
      <c r="L33" s="327"/>
    </row>
    <row r="34" spans="1:12" s="54" customFormat="1" ht="12.2" customHeight="1" x14ac:dyDescent="0.2">
      <c r="A34" s="1003" t="s">
        <v>99</v>
      </c>
      <c r="B34" s="716" t="s">
        <v>279</v>
      </c>
      <c r="C34" s="401">
        <f>+C35</f>
        <v>1608880078</v>
      </c>
      <c r="D34" s="325">
        <f t="shared" ref="D34:K34" si="11">+D35</f>
        <v>1401182570</v>
      </c>
      <c r="E34" s="568">
        <f t="shared" si="11"/>
        <v>1794094426</v>
      </c>
      <c r="F34" s="568">
        <f t="shared" si="11"/>
        <v>0</v>
      </c>
      <c r="G34" s="568">
        <f t="shared" si="11"/>
        <v>0</v>
      </c>
      <c r="H34" s="327">
        <f t="shared" si="2"/>
        <v>392911856</v>
      </c>
      <c r="I34" s="627">
        <f t="shared" si="11"/>
        <v>0</v>
      </c>
      <c r="J34" s="327">
        <f t="shared" si="11"/>
        <v>0</v>
      </c>
      <c r="K34" s="327">
        <f t="shared" si="11"/>
        <v>0</v>
      </c>
      <c r="L34" s="327">
        <f t="shared" ref="L34" si="12">+L35</f>
        <v>0</v>
      </c>
    </row>
    <row r="35" spans="1:12" s="54" customFormat="1" ht="12.2" customHeight="1" x14ac:dyDescent="0.2">
      <c r="A35" s="1003" t="s">
        <v>600</v>
      </c>
      <c r="B35" s="717" t="s">
        <v>280</v>
      </c>
      <c r="C35" s="401">
        <v>1608880078</v>
      </c>
      <c r="D35" s="325">
        <f>1608880078-207697508</f>
        <v>1401182570</v>
      </c>
      <c r="E35" s="568">
        <f>1401182570+392911856</f>
        <v>1794094426</v>
      </c>
      <c r="F35" s="568"/>
      <c r="G35" s="568"/>
      <c r="H35" s="327">
        <f>+E35-D35</f>
        <v>392911856</v>
      </c>
      <c r="I35" s="627"/>
      <c r="J35" s="327"/>
      <c r="K35" s="327"/>
      <c r="L35" s="327"/>
    </row>
    <row r="36" spans="1:12" s="54" customFormat="1" ht="12.2" customHeight="1" x14ac:dyDescent="0.2">
      <c r="A36" s="1003" t="s">
        <v>106</v>
      </c>
      <c r="B36" s="717" t="s">
        <v>198</v>
      </c>
      <c r="C36" s="401"/>
      <c r="D36" s="325"/>
      <c r="E36" s="568"/>
      <c r="F36" s="568"/>
      <c r="G36" s="568"/>
      <c r="H36" s="327">
        <f t="shared" si="2"/>
        <v>0</v>
      </c>
      <c r="I36" s="627"/>
      <c r="J36" s="327"/>
      <c r="K36" s="327"/>
      <c r="L36" s="327"/>
    </row>
    <row r="37" spans="1:12" s="54" customFormat="1" ht="12.2" customHeight="1" x14ac:dyDescent="0.2">
      <c r="A37" s="1003" t="s">
        <v>195</v>
      </c>
      <c r="B37" s="717" t="s">
        <v>199</v>
      </c>
      <c r="C37" s="401">
        <f>SUM(C38:C39)</f>
        <v>12000000</v>
      </c>
      <c r="D37" s="325">
        <f t="shared" ref="D37:K37" si="13">SUM(D38:D39)</f>
        <v>12000000</v>
      </c>
      <c r="E37" s="568">
        <f t="shared" si="13"/>
        <v>12000000</v>
      </c>
      <c r="F37" s="568">
        <f t="shared" si="13"/>
        <v>0</v>
      </c>
      <c r="G37" s="568">
        <f t="shared" si="13"/>
        <v>0</v>
      </c>
      <c r="H37" s="327">
        <f t="shared" si="2"/>
        <v>0</v>
      </c>
      <c r="I37" s="627">
        <f t="shared" si="13"/>
        <v>0</v>
      </c>
      <c r="J37" s="327">
        <f t="shared" si="13"/>
        <v>0</v>
      </c>
      <c r="K37" s="327">
        <f t="shared" si="13"/>
        <v>0</v>
      </c>
      <c r="L37" s="327">
        <f t="shared" ref="L37" si="14">SUM(L38:L39)</f>
        <v>0</v>
      </c>
    </row>
    <row r="38" spans="1:12" s="54" customFormat="1" ht="12.2" customHeight="1" x14ac:dyDescent="0.2">
      <c r="A38" s="1005" t="s">
        <v>322</v>
      </c>
      <c r="B38" s="717" t="s">
        <v>231</v>
      </c>
      <c r="C38" s="504">
        <v>12000000</v>
      </c>
      <c r="D38" s="625">
        <v>12000000</v>
      </c>
      <c r="E38" s="569">
        <v>12000000</v>
      </c>
      <c r="F38" s="569"/>
      <c r="G38" s="569"/>
      <c r="H38" s="525">
        <f t="shared" si="2"/>
        <v>0</v>
      </c>
      <c r="I38" s="629"/>
      <c r="J38" s="525"/>
      <c r="K38" s="525"/>
      <c r="L38" s="525"/>
    </row>
    <row r="39" spans="1:12" s="54" customFormat="1" ht="12.2" customHeight="1" x14ac:dyDescent="0.2">
      <c r="A39" s="1005" t="s">
        <v>601</v>
      </c>
      <c r="B39" s="717" t="s">
        <v>792</v>
      </c>
      <c r="C39" s="504"/>
      <c r="D39" s="625"/>
      <c r="E39" s="569"/>
      <c r="F39" s="569"/>
      <c r="G39" s="569"/>
      <c r="H39" s="525">
        <f t="shared" si="2"/>
        <v>0</v>
      </c>
      <c r="I39" s="629"/>
      <c r="J39" s="525"/>
      <c r="K39" s="525"/>
      <c r="L39" s="525"/>
    </row>
    <row r="40" spans="1:12" s="54" customFormat="1" ht="12.2" customHeight="1" thickBot="1" x14ac:dyDescent="0.25">
      <c r="A40" s="1005" t="s">
        <v>602</v>
      </c>
      <c r="B40" s="496" t="s">
        <v>118</v>
      </c>
      <c r="C40" s="504">
        <v>15000000</v>
      </c>
      <c r="D40" s="625">
        <v>15000000</v>
      </c>
      <c r="E40" s="569">
        <v>15000000</v>
      </c>
      <c r="F40" s="569"/>
      <c r="G40" s="569"/>
      <c r="H40" s="525">
        <f t="shared" si="2"/>
        <v>0</v>
      </c>
      <c r="I40" s="629"/>
      <c r="J40" s="525"/>
      <c r="K40" s="525"/>
      <c r="L40" s="525"/>
    </row>
    <row r="41" spans="1:12" s="54" customFormat="1" ht="12.2" customHeight="1" thickBot="1" x14ac:dyDescent="0.25">
      <c r="A41" s="14" t="s">
        <v>15</v>
      </c>
      <c r="B41" s="72" t="s">
        <v>626</v>
      </c>
      <c r="C41" s="113">
        <f>SUM(C42:C52)</f>
        <v>0</v>
      </c>
      <c r="D41" s="186">
        <f t="shared" ref="D41:K41" si="15">SUM(D42:D52)</f>
        <v>0</v>
      </c>
      <c r="E41" s="566">
        <f t="shared" si="15"/>
        <v>0</v>
      </c>
      <c r="F41" s="566">
        <f t="shared" si="15"/>
        <v>0</v>
      </c>
      <c r="G41" s="566">
        <f t="shared" si="15"/>
        <v>0</v>
      </c>
      <c r="H41" s="28">
        <f t="shared" si="2"/>
        <v>0</v>
      </c>
      <c r="I41" s="628">
        <f t="shared" si="15"/>
        <v>0</v>
      </c>
      <c r="J41" s="28">
        <f t="shared" si="15"/>
        <v>0</v>
      </c>
      <c r="K41" s="28">
        <f t="shared" si="15"/>
        <v>0</v>
      </c>
      <c r="L41" s="28">
        <f t="shared" ref="L41" si="16">SUM(L42:L52)</f>
        <v>0</v>
      </c>
    </row>
    <row r="42" spans="1:12" s="54" customFormat="1" ht="12.2" customHeight="1" x14ac:dyDescent="0.2">
      <c r="A42" s="12" t="s">
        <v>100</v>
      </c>
      <c r="B42" s="716" t="s">
        <v>143</v>
      </c>
      <c r="C42" s="114"/>
      <c r="D42" s="185"/>
      <c r="E42" s="567"/>
      <c r="F42" s="567"/>
      <c r="G42" s="567"/>
      <c r="H42" s="16">
        <f t="shared" si="2"/>
        <v>0</v>
      </c>
      <c r="I42" s="626"/>
      <c r="J42" s="16"/>
      <c r="K42" s="16"/>
      <c r="L42" s="16"/>
    </row>
    <row r="43" spans="1:12" s="54" customFormat="1" ht="12.2" customHeight="1" x14ac:dyDescent="0.2">
      <c r="A43" s="1003" t="s">
        <v>101</v>
      </c>
      <c r="B43" s="717" t="s">
        <v>144</v>
      </c>
      <c r="C43" s="401"/>
      <c r="D43" s="325"/>
      <c r="E43" s="568"/>
      <c r="F43" s="568"/>
      <c r="G43" s="568"/>
      <c r="H43" s="327">
        <f t="shared" si="2"/>
        <v>0</v>
      </c>
      <c r="I43" s="627"/>
      <c r="J43" s="327"/>
      <c r="K43" s="327"/>
      <c r="L43" s="327"/>
    </row>
    <row r="44" spans="1:12" s="54" customFormat="1" ht="12.2" customHeight="1" x14ac:dyDescent="0.2">
      <c r="A44" s="1003" t="s">
        <v>164</v>
      </c>
      <c r="B44" s="717" t="s">
        <v>274</v>
      </c>
      <c r="C44" s="401"/>
      <c r="D44" s="325"/>
      <c r="E44" s="568"/>
      <c r="F44" s="568"/>
      <c r="G44" s="568"/>
      <c r="H44" s="327">
        <f t="shared" si="2"/>
        <v>0</v>
      </c>
      <c r="I44" s="627"/>
      <c r="J44" s="327"/>
      <c r="K44" s="327"/>
      <c r="L44" s="327"/>
    </row>
    <row r="45" spans="1:12" s="54" customFormat="1" ht="12.2" customHeight="1" x14ac:dyDescent="0.2">
      <c r="A45" s="1003" t="s">
        <v>200</v>
      </c>
      <c r="B45" s="717" t="s">
        <v>146</v>
      </c>
      <c r="C45" s="401"/>
      <c r="D45" s="325"/>
      <c r="E45" s="568"/>
      <c r="F45" s="568"/>
      <c r="G45" s="568"/>
      <c r="H45" s="327">
        <f t="shared" si="2"/>
        <v>0</v>
      </c>
      <c r="I45" s="627"/>
      <c r="J45" s="327"/>
      <c r="K45" s="327"/>
      <c r="L45" s="327"/>
    </row>
    <row r="46" spans="1:12" s="54" customFormat="1" ht="12.2" customHeight="1" x14ac:dyDescent="0.2">
      <c r="A46" s="1003" t="s">
        <v>282</v>
      </c>
      <c r="B46" s="717" t="s">
        <v>148</v>
      </c>
      <c r="C46" s="401"/>
      <c r="D46" s="325"/>
      <c r="E46" s="568"/>
      <c r="F46" s="568"/>
      <c r="G46" s="568"/>
      <c r="H46" s="327">
        <f t="shared" si="2"/>
        <v>0</v>
      </c>
      <c r="I46" s="627"/>
      <c r="J46" s="327"/>
      <c r="K46" s="327"/>
      <c r="L46" s="327"/>
    </row>
    <row r="47" spans="1:12" s="54" customFormat="1" ht="12.2" customHeight="1" x14ac:dyDescent="0.2">
      <c r="A47" s="1003" t="s">
        <v>603</v>
      </c>
      <c r="B47" s="717" t="s">
        <v>203</v>
      </c>
      <c r="C47" s="401"/>
      <c r="D47" s="325"/>
      <c r="E47" s="568"/>
      <c r="F47" s="568"/>
      <c r="G47" s="568"/>
      <c r="H47" s="327">
        <f t="shared" si="2"/>
        <v>0</v>
      </c>
      <c r="I47" s="627"/>
      <c r="J47" s="327"/>
      <c r="K47" s="327"/>
      <c r="L47" s="327"/>
    </row>
    <row r="48" spans="1:12" s="54" customFormat="1" ht="12.2" customHeight="1" x14ac:dyDescent="0.2">
      <c r="A48" s="1003" t="s">
        <v>604</v>
      </c>
      <c r="B48" s="717" t="s">
        <v>204</v>
      </c>
      <c r="C48" s="401"/>
      <c r="D48" s="325"/>
      <c r="E48" s="568"/>
      <c r="F48" s="568"/>
      <c r="G48" s="568"/>
      <c r="H48" s="327">
        <f t="shared" si="2"/>
        <v>0</v>
      </c>
      <c r="I48" s="627"/>
      <c r="J48" s="327"/>
      <c r="K48" s="327"/>
      <c r="L48" s="327"/>
    </row>
    <row r="49" spans="1:12" s="54" customFormat="1" ht="12.2" customHeight="1" x14ac:dyDescent="0.2">
      <c r="A49" s="1003" t="s">
        <v>605</v>
      </c>
      <c r="B49" s="717" t="s">
        <v>302</v>
      </c>
      <c r="C49" s="401"/>
      <c r="D49" s="325"/>
      <c r="E49" s="568"/>
      <c r="F49" s="568"/>
      <c r="G49" s="568"/>
      <c r="H49" s="327">
        <f t="shared" si="2"/>
        <v>0</v>
      </c>
      <c r="I49" s="627"/>
      <c r="J49" s="327"/>
      <c r="K49" s="327"/>
      <c r="L49" s="327"/>
    </row>
    <row r="50" spans="1:12" s="54" customFormat="1" ht="12.2" customHeight="1" x14ac:dyDescent="0.2">
      <c r="A50" s="1003" t="s">
        <v>606</v>
      </c>
      <c r="B50" s="717" t="s">
        <v>155</v>
      </c>
      <c r="C50" s="402"/>
      <c r="D50" s="326"/>
      <c r="E50" s="573"/>
      <c r="F50" s="573"/>
      <c r="G50" s="573"/>
      <c r="H50" s="328">
        <f t="shared" si="2"/>
        <v>0</v>
      </c>
      <c r="I50" s="666"/>
      <c r="J50" s="328"/>
      <c r="K50" s="328"/>
      <c r="L50" s="328"/>
    </row>
    <row r="51" spans="1:12" s="54" customFormat="1" ht="12.2" customHeight="1" x14ac:dyDescent="0.2">
      <c r="A51" s="1005" t="s">
        <v>607</v>
      </c>
      <c r="B51" s="496" t="s">
        <v>275</v>
      </c>
      <c r="C51" s="1029"/>
      <c r="D51" s="661"/>
      <c r="E51" s="571"/>
      <c r="F51" s="571"/>
      <c r="G51" s="571"/>
      <c r="H51" s="526">
        <f t="shared" si="2"/>
        <v>0</v>
      </c>
      <c r="I51" s="667"/>
      <c r="J51" s="526"/>
      <c r="K51" s="526"/>
      <c r="L51" s="526"/>
    </row>
    <row r="52" spans="1:12" s="54" customFormat="1" ht="12.2" customHeight="1" thickBot="1" x14ac:dyDescent="0.25">
      <c r="A52" s="1005" t="s">
        <v>608</v>
      </c>
      <c r="B52" s="496" t="s">
        <v>157</v>
      </c>
      <c r="C52" s="1029"/>
      <c r="D52" s="661"/>
      <c r="E52" s="571"/>
      <c r="F52" s="571"/>
      <c r="G52" s="571"/>
      <c r="H52" s="526">
        <f t="shared" si="2"/>
        <v>0</v>
      </c>
      <c r="I52" s="667"/>
      <c r="J52" s="526"/>
      <c r="K52" s="526"/>
      <c r="L52" s="526"/>
    </row>
    <row r="53" spans="1:12" s="54" customFormat="1" ht="12.2" customHeight="1" thickBot="1" x14ac:dyDescent="0.25">
      <c r="A53" s="14" t="s">
        <v>16</v>
      </c>
      <c r="B53" s="72" t="s">
        <v>609</v>
      </c>
      <c r="C53" s="113">
        <f>SUM(C54:C58)</f>
        <v>0</v>
      </c>
      <c r="D53" s="186">
        <f t="shared" ref="D53:K53" si="17">SUM(D54:D58)</f>
        <v>0</v>
      </c>
      <c r="E53" s="566">
        <f t="shared" si="17"/>
        <v>0</v>
      </c>
      <c r="F53" s="566">
        <f t="shared" si="17"/>
        <v>0</v>
      </c>
      <c r="G53" s="566">
        <f t="shared" si="17"/>
        <v>0</v>
      </c>
      <c r="H53" s="28">
        <f t="shared" si="2"/>
        <v>0</v>
      </c>
      <c r="I53" s="628">
        <f t="shared" si="17"/>
        <v>0</v>
      </c>
      <c r="J53" s="28">
        <f t="shared" si="17"/>
        <v>0</v>
      </c>
      <c r="K53" s="28">
        <f t="shared" si="17"/>
        <v>0</v>
      </c>
      <c r="L53" s="28">
        <f t="shared" ref="L53" si="18">SUM(L54:L58)</f>
        <v>0</v>
      </c>
    </row>
    <row r="54" spans="1:12" s="54" customFormat="1" ht="12.2" customHeight="1" x14ac:dyDescent="0.2">
      <c r="A54" s="12" t="s">
        <v>89</v>
      </c>
      <c r="B54" s="716" t="s">
        <v>167</v>
      </c>
      <c r="C54" s="116"/>
      <c r="D54" s="201"/>
      <c r="E54" s="572"/>
      <c r="F54" s="572"/>
      <c r="G54" s="572"/>
      <c r="H54" s="23">
        <f t="shared" si="2"/>
        <v>0</v>
      </c>
      <c r="I54" s="668"/>
      <c r="J54" s="23"/>
      <c r="K54" s="23"/>
      <c r="L54" s="23"/>
    </row>
    <row r="55" spans="1:12" s="54" customFormat="1" ht="12.2" customHeight="1" x14ac:dyDescent="0.2">
      <c r="A55" s="1003" t="s">
        <v>102</v>
      </c>
      <c r="B55" s="717" t="s">
        <v>168</v>
      </c>
      <c r="C55" s="402"/>
      <c r="D55" s="326"/>
      <c r="E55" s="573"/>
      <c r="F55" s="573"/>
      <c r="G55" s="573"/>
      <c r="H55" s="328">
        <f t="shared" si="2"/>
        <v>0</v>
      </c>
      <c r="I55" s="666"/>
      <c r="J55" s="328"/>
      <c r="K55" s="328"/>
      <c r="L55" s="328"/>
    </row>
    <row r="56" spans="1:12" s="54" customFormat="1" ht="12.2" customHeight="1" x14ac:dyDescent="0.2">
      <c r="A56" s="1003" t="s">
        <v>103</v>
      </c>
      <c r="B56" s="717" t="s">
        <v>169</v>
      </c>
      <c r="C56" s="402"/>
      <c r="D56" s="326"/>
      <c r="E56" s="573"/>
      <c r="F56" s="573"/>
      <c r="G56" s="573"/>
      <c r="H56" s="328">
        <f t="shared" si="2"/>
        <v>0</v>
      </c>
      <c r="I56" s="666"/>
      <c r="J56" s="328"/>
      <c r="K56" s="328"/>
      <c r="L56" s="328"/>
    </row>
    <row r="57" spans="1:12" s="54" customFormat="1" ht="12.2" customHeight="1" x14ac:dyDescent="0.2">
      <c r="A57" s="1003" t="s">
        <v>201</v>
      </c>
      <c r="B57" s="717" t="s">
        <v>207</v>
      </c>
      <c r="C57" s="402"/>
      <c r="D57" s="326"/>
      <c r="E57" s="573"/>
      <c r="F57" s="573"/>
      <c r="G57" s="573"/>
      <c r="H57" s="328">
        <f t="shared" si="2"/>
        <v>0</v>
      </c>
      <c r="I57" s="666"/>
      <c r="J57" s="328"/>
      <c r="K57" s="328"/>
      <c r="L57" s="328"/>
    </row>
    <row r="58" spans="1:12" s="54" customFormat="1" ht="12.2" customHeight="1" thickBot="1" x14ac:dyDescent="0.25">
      <c r="A58" s="1005" t="s">
        <v>202</v>
      </c>
      <c r="B58" s="496" t="s">
        <v>209</v>
      </c>
      <c r="C58" s="1029"/>
      <c r="D58" s="661"/>
      <c r="E58" s="571"/>
      <c r="F58" s="571"/>
      <c r="G58" s="571"/>
      <c r="H58" s="526">
        <f t="shared" si="2"/>
        <v>0</v>
      </c>
      <c r="I58" s="667"/>
      <c r="J58" s="526"/>
      <c r="K58" s="526"/>
      <c r="L58" s="526"/>
    </row>
    <row r="59" spans="1:12" s="54" customFormat="1" ht="12.2" customHeight="1" thickBot="1" x14ac:dyDescent="0.25">
      <c r="A59" s="14" t="s">
        <v>17</v>
      </c>
      <c r="B59" s="72" t="s">
        <v>627</v>
      </c>
      <c r="C59" s="113">
        <f>SUM(C60:C61)</f>
        <v>0</v>
      </c>
      <c r="D59" s="186">
        <f t="shared" ref="D59:K59" si="19">SUM(D60:D61)</f>
        <v>0</v>
      </c>
      <c r="E59" s="566">
        <f t="shared" si="19"/>
        <v>0</v>
      </c>
      <c r="F59" s="566">
        <f t="shared" si="19"/>
        <v>0</v>
      </c>
      <c r="G59" s="566">
        <f t="shared" si="19"/>
        <v>0</v>
      </c>
      <c r="H59" s="28">
        <f t="shared" si="2"/>
        <v>0</v>
      </c>
      <c r="I59" s="628">
        <f t="shared" si="19"/>
        <v>0</v>
      </c>
      <c r="J59" s="28">
        <f t="shared" si="19"/>
        <v>0</v>
      </c>
      <c r="K59" s="28">
        <f t="shared" si="19"/>
        <v>0</v>
      </c>
      <c r="L59" s="28">
        <f t="shared" ref="L59" si="20">SUM(L60:L61)</f>
        <v>0</v>
      </c>
    </row>
    <row r="60" spans="1:12" s="54" customFormat="1" ht="12.2" customHeight="1" x14ac:dyDescent="0.2">
      <c r="A60" s="1003" t="s">
        <v>104</v>
      </c>
      <c r="B60" s="717" t="s">
        <v>210</v>
      </c>
      <c r="C60" s="401"/>
      <c r="D60" s="325"/>
      <c r="E60" s="568"/>
      <c r="F60" s="568"/>
      <c r="G60" s="568"/>
      <c r="H60" s="327">
        <f t="shared" si="2"/>
        <v>0</v>
      </c>
      <c r="I60" s="627"/>
      <c r="J60" s="327"/>
      <c r="K60" s="327"/>
      <c r="L60" s="327"/>
    </row>
    <row r="61" spans="1:12" s="54" customFormat="1" ht="12.2" customHeight="1" x14ac:dyDescent="0.2">
      <c r="A61" s="1003" t="s">
        <v>105</v>
      </c>
      <c r="B61" s="717" t="s">
        <v>211</v>
      </c>
      <c r="C61" s="401"/>
      <c r="D61" s="325"/>
      <c r="E61" s="568"/>
      <c r="F61" s="568"/>
      <c r="G61" s="568"/>
      <c r="H61" s="327">
        <f t="shared" si="2"/>
        <v>0</v>
      </c>
      <c r="I61" s="627"/>
      <c r="J61" s="327"/>
      <c r="K61" s="327"/>
      <c r="L61" s="327"/>
    </row>
    <row r="62" spans="1:12" s="54" customFormat="1" ht="12.2" customHeight="1" thickBot="1" x14ac:dyDescent="0.25">
      <c r="A62" s="1005" t="s">
        <v>610</v>
      </c>
      <c r="B62" s="496" t="s">
        <v>642</v>
      </c>
      <c r="C62" s="504"/>
      <c r="D62" s="625"/>
      <c r="E62" s="569"/>
      <c r="F62" s="569"/>
      <c r="G62" s="569"/>
      <c r="H62" s="525">
        <f t="shared" si="2"/>
        <v>0</v>
      </c>
      <c r="I62" s="629"/>
      <c r="J62" s="525"/>
      <c r="K62" s="525"/>
      <c r="L62" s="525"/>
    </row>
    <row r="63" spans="1:12" s="54" customFormat="1" ht="12.2" customHeight="1" thickBot="1" x14ac:dyDescent="0.25">
      <c r="A63" s="14" t="s">
        <v>18</v>
      </c>
      <c r="B63" s="347" t="s">
        <v>380</v>
      </c>
      <c r="C63" s="113">
        <f>SUM(C64:C65)</f>
        <v>0</v>
      </c>
      <c r="D63" s="186">
        <f t="shared" ref="D63:K63" si="21">SUM(D64:D65)</f>
        <v>0</v>
      </c>
      <c r="E63" s="566">
        <f t="shared" si="21"/>
        <v>0</v>
      </c>
      <c r="F63" s="566">
        <f t="shared" si="21"/>
        <v>0</v>
      </c>
      <c r="G63" s="566">
        <f t="shared" si="21"/>
        <v>0</v>
      </c>
      <c r="H63" s="28">
        <f t="shared" si="2"/>
        <v>0</v>
      </c>
      <c r="I63" s="628">
        <f t="shared" si="21"/>
        <v>0</v>
      </c>
      <c r="J63" s="28">
        <f t="shared" si="21"/>
        <v>0</v>
      </c>
      <c r="K63" s="28">
        <f t="shared" si="21"/>
        <v>0</v>
      </c>
      <c r="L63" s="28">
        <f t="shared" ref="L63" si="22">SUM(L64:L65)</f>
        <v>0</v>
      </c>
    </row>
    <row r="64" spans="1:12" s="54" customFormat="1" ht="12.2" customHeight="1" x14ac:dyDescent="0.2">
      <c r="A64" s="12" t="s">
        <v>107</v>
      </c>
      <c r="B64" s="717" t="s">
        <v>212</v>
      </c>
      <c r="C64" s="402"/>
      <c r="D64" s="326"/>
      <c r="E64" s="573"/>
      <c r="F64" s="573"/>
      <c r="G64" s="573"/>
      <c r="H64" s="328">
        <f t="shared" si="2"/>
        <v>0</v>
      </c>
      <c r="I64" s="666"/>
      <c r="J64" s="328"/>
      <c r="K64" s="328"/>
      <c r="L64" s="328"/>
    </row>
    <row r="65" spans="1:12" s="54" customFormat="1" ht="12.2" customHeight="1" x14ac:dyDescent="0.2">
      <c r="A65" s="1003" t="s">
        <v>108</v>
      </c>
      <c r="B65" s="717" t="s">
        <v>213</v>
      </c>
      <c r="C65" s="402"/>
      <c r="D65" s="326"/>
      <c r="E65" s="573"/>
      <c r="F65" s="573"/>
      <c r="G65" s="573"/>
      <c r="H65" s="328">
        <f t="shared" si="2"/>
        <v>0</v>
      </c>
      <c r="I65" s="666"/>
      <c r="J65" s="328"/>
      <c r="K65" s="328"/>
      <c r="L65" s="328"/>
    </row>
    <row r="66" spans="1:12" s="54" customFormat="1" ht="12.2" customHeight="1" thickBot="1" x14ac:dyDescent="0.25">
      <c r="A66" s="172" t="s">
        <v>323</v>
      </c>
      <c r="B66" s="718" t="s">
        <v>368</v>
      </c>
      <c r="C66" s="402"/>
      <c r="D66" s="326"/>
      <c r="E66" s="573"/>
      <c r="F66" s="573"/>
      <c r="G66" s="573"/>
      <c r="H66" s="328">
        <f t="shared" si="2"/>
        <v>0</v>
      </c>
      <c r="I66" s="666"/>
      <c r="J66" s="328"/>
      <c r="K66" s="328"/>
      <c r="L66" s="328"/>
    </row>
    <row r="67" spans="1:12" s="54" customFormat="1" ht="12.2" customHeight="1" thickBot="1" x14ac:dyDescent="0.25">
      <c r="A67" s="348" t="s">
        <v>19</v>
      </c>
      <c r="B67" s="719" t="s">
        <v>628</v>
      </c>
      <c r="C67" s="1023">
        <f>+C11+C25+C31+C41+C53+C59+C63</f>
        <v>2285880078</v>
      </c>
      <c r="D67" s="187">
        <f t="shared" ref="D67:K67" si="23">+D11+D25+D31+D41+D53+D59+D63</f>
        <v>2078182570</v>
      </c>
      <c r="E67" s="532">
        <f t="shared" si="23"/>
        <v>2471094426</v>
      </c>
      <c r="F67" s="532">
        <f t="shared" si="23"/>
        <v>0</v>
      </c>
      <c r="G67" s="532">
        <f t="shared" si="23"/>
        <v>0</v>
      </c>
      <c r="H67" s="74">
        <f t="shared" si="2"/>
        <v>392911856</v>
      </c>
      <c r="I67" s="638">
        <f t="shared" si="23"/>
        <v>0</v>
      </c>
      <c r="J67" s="74">
        <f t="shared" si="23"/>
        <v>0</v>
      </c>
      <c r="K67" s="74">
        <f t="shared" si="23"/>
        <v>0</v>
      </c>
      <c r="L67" s="74">
        <f t="shared" ref="L67" si="24">+L11+L19+L25+L31+L41+L53+L59+L63</f>
        <v>0</v>
      </c>
    </row>
    <row r="68" spans="1:12" s="54" customFormat="1" ht="12.2" customHeight="1" thickBot="1" x14ac:dyDescent="0.25">
      <c r="A68" s="63" t="s">
        <v>20</v>
      </c>
      <c r="B68" s="347" t="s">
        <v>629</v>
      </c>
      <c r="C68" s="113">
        <f>SUM(C69:C71)</f>
        <v>0</v>
      </c>
      <c r="D68" s="186">
        <f t="shared" ref="D68:K68" si="25">SUM(D69:D71)</f>
        <v>0</v>
      </c>
      <c r="E68" s="566">
        <f t="shared" si="25"/>
        <v>0</v>
      </c>
      <c r="F68" s="566">
        <f t="shared" si="25"/>
        <v>0</v>
      </c>
      <c r="G68" s="566">
        <f t="shared" si="25"/>
        <v>0</v>
      </c>
      <c r="H68" s="28">
        <f t="shared" si="2"/>
        <v>0</v>
      </c>
      <c r="I68" s="628">
        <f t="shared" si="25"/>
        <v>0</v>
      </c>
      <c r="J68" s="28">
        <f t="shared" si="25"/>
        <v>0</v>
      </c>
      <c r="K68" s="28">
        <f t="shared" si="25"/>
        <v>0</v>
      </c>
      <c r="L68" s="28">
        <f t="shared" ref="L68" si="26">SUM(L69:L71)</f>
        <v>0</v>
      </c>
    </row>
    <row r="69" spans="1:12" s="54" customFormat="1" ht="12.2" customHeight="1" x14ac:dyDescent="0.2">
      <c r="A69" s="12" t="s">
        <v>171</v>
      </c>
      <c r="B69" s="716" t="s">
        <v>215</v>
      </c>
      <c r="C69" s="402"/>
      <c r="D69" s="326"/>
      <c r="E69" s="573"/>
      <c r="F69" s="573"/>
      <c r="G69" s="573"/>
      <c r="H69" s="328">
        <f t="shared" si="2"/>
        <v>0</v>
      </c>
      <c r="I69" s="666"/>
      <c r="J69" s="328"/>
      <c r="K69" s="328"/>
      <c r="L69" s="328"/>
    </row>
    <row r="70" spans="1:12" s="54" customFormat="1" ht="12.2" customHeight="1" x14ac:dyDescent="0.2">
      <c r="A70" s="1003" t="s">
        <v>172</v>
      </c>
      <c r="B70" s="717" t="s">
        <v>324</v>
      </c>
      <c r="C70" s="402"/>
      <c r="D70" s="326"/>
      <c r="E70" s="573"/>
      <c r="F70" s="573"/>
      <c r="G70" s="573"/>
      <c r="H70" s="328">
        <f t="shared" si="2"/>
        <v>0</v>
      </c>
      <c r="I70" s="666"/>
      <c r="J70" s="328"/>
      <c r="K70" s="328"/>
      <c r="L70" s="328"/>
    </row>
    <row r="71" spans="1:12" s="54" customFormat="1" ht="12.2" customHeight="1" thickBot="1" x14ac:dyDescent="0.25">
      <c r="A71" s="1005" t="s">
        <v>173</v>
      </c>
      <c r="B71" s="717" t="s">
        <v>513</v>
      </c>
      <c r="C71" s="402"/>
      <c r="D71" s="326"/>
      <c r="E71" s="573"/>
      <c r="F71" s="573"/>
      <c r="G71" s="573"/>
      <c r="H71" s="328">
        <f t="shared" si="2"/>
        <v>0</v>
      </c>
      <c r="I71" s="666"/>
      <c r="J71" s="328"/>
      <c r="K71" s="328"/>
      <c r="L71" s="328"/>
    </row>
    <row r="72" spans="1:12" s="54" customFormat="1" ht="12.2" customHeight="1" thickBot="1" x14ac:dyDescent="0.25">
      <c r="A72" s="63" t="s">
        <v>21</v>
      </c>
      <c r="B72" s="347" t="s">
        <v>611</v>
      </c>
      <c r="C72" s="113">
        <f>SUM(C73:C75)</f>
        <v>0</v>
      </c>
      <c r="D72" s="186">
        <f t="shared" ref="D72:K72" si="27">SUM(D73:D75)</f>
        <v>0</v>
      </c>
      <c r="E72" s="566">
        <f t="shared" si="27"/>
        <v>0</v>
      </c>
      <c r="F72" s="566">
        <f t="shared" si="27"/>
        <v>0</v>
      </c>
      <c r="G72" s="566">
        <f t="shared" si="27"/>
        <v>0</v>
      </c>
      <c r="H72" s="28">
        <f t="shared" si="2"/>
        <v>0</v>
      </c>
      <c r="I72" s="628">
        <f t="shared" si="27"/>
        <v>0</v>
      </c>
      <c r="J72" s="28">
        <f t="shared" si="27"/>
        <v>0</v>
      </c>
      <c r="K72" s="28">
        <f t="shared" si="27"/>
        <v>0</v>
      </c>
      <c r="L72" s="28">
        <f t="shared" ref="L72" si="28">SUM(L73:L75)</f>
        <v>0</v>
      </c>
    </row>
    <row r="73" spans="1:12" s="54" customFormat="1" ht="12.2" customHeight="1" x14ac:dyDescent="0.2">
      <c r="A73" s="12" t="s">
        <v>214</v>
      </c>
      <c r="B73" s="716" t="s">
        <v>218</v>
      </c>
      <c r="C73" s="402"/>
      <c r="D73" s="326"/>
      <c r="E73" s="573"/>
      <c r="F73" s="573"/>
      <c r="G73" s="573"/>
      <c r="H73" s="328">
        <f t="shared" si="2"/>
        <v>0</v>
      </c>
      <c r="I73" s="666"/>
      <c r="J73" s="328"/>
      <c r="K73" s="328"/>
      <c r="L73" s="328"/>
    </row>
    <row r="74" spans="1:12" s="54" customFormat="1" ht="12.2" customHeight="1" x14ac:dyDescent="0.2">
      <c r="A74" s="12" t="s">
        <v>640</v>
      </c>
      <c r="B74" s="716" t="s">
        <v>390</v>
      </c>
      <c r="C74" s="402"/>
      <c r="D74" s="326"/>
      <c r="E74" s="573"/>
      <c r="F74" s="573"/>
      <c r="G74" s="573"/>
      <c r="H74" s="328">
        <f t="shared" si="2"/>
        <v>0</v>
      </c>
      <c r="I74" s="666"/>
      <c r="J74" s="328"/>
      <c r="K74" s="328"/>
      <c r="L74" s="328"/>
    </row>
    <row r="75" spans="1:12" s="54" customFormat="1" ht="12.2" customHeight="1" thickBot="1" x14ac:dyDescent="0.25">
      <c r="A75" s="1003" t="s">
        <v>216</v>
      </c>
      <c r="B75" s="717" t="s">
        <v>535</v>
      </c>
      <c r="C75" s="402"/>
      <c r="D75" s="326"/>
      <c r="E75" s="573"/>
      <c r="F75" s="573"/>
      <c r="G75" s="573"/>
      <c r="H75" s="328">
        <f t="shared" si="2"/>
        <v>0</v>
      </c>
      <c r="I75" s="666"/>
      <c r="J75" s="328"/>
      <c r="K75" s="328"/>
      <c r="L75" s="328"/>
    </row>
    <row r="76" spans="1:12" s="54" customFormat="1" ht="12.2" customHeight="1" thickBot="1" x14ac:dyDescent="0.25">
      <c r="A76" s="63" t="s">
        <v>22</v>
      </c>
      <c r="B76" s="347" t="s">
        <v>612</v>
      </c>
      <c r="C76" s="113">
        <f>SUM(C77:C78)</f>
        <v>0</v>
      </c>
      <c r="D76" s="186">
        <f t="shared" ref="D76:K76" si="29">SUM(D77:D78)</f>
        <v>0</v>
      </c>
      <c r="E76" s="566">
        <f t="shared" si="29"/>
        <v>0</v>
      </c>
      <c r="F76" s="566">
        <f t="shared" si="29"/>
        <v>0</v>
      </c>
      <c r="G76" s="566">
        <f t="shared" si="29"/>
        <v>0</v>
      </c>
      <c r="H76" s="28">
        <f t="shared" ref="H76:H84" si="30">+E76-D76</f>
        <v>0</v>
      </c>
      <c r="I76" s="628">
        <f t="shared" si="29"/>
        <v>0</v>
      </c>
      <c r="J76" s="28">
        <f t="shared" si="29"/>
        <v>0</v>
      </c>
      <c r="K76" s="28">
        <f t="shared" si="29"/>
        <v>0</v>
      </c>
      <c r="L76" s="28">
        <f t="shared" ref="L76" si="31">SUM(L77:L78)</f>
        <v>0</v>
      </c>
    </row>
    <row r="77" spans="1:12" s="54" customFormat="1" ht="12.2" customHeight="1" x14ac:dyDescent="0.2">
      <c r="A77" s="12" t="s">
        <v>217</v>
      </c>
      <c r="B77" s="59" t="s">
        <v>369</v>
      </c>
      <c r="C77" s="402"/>
      <c r="D77" s="326"/>
      <c r="E77" s="573"/>
      <c r="F77" s="573"/>
      <c r="G77" s="573"/>
      <c r="H77" s="328">
        <f t="shared" si="30"/>
        <v>0</v>
      </c>
      <c r="I77" s="666"/>
      <c r="J77" s="328"/>
      <c r="K77" s="328"/>
      <c r="L77" s="328"/>
    </row>
    <row r="78" spans="1:12" s="54" customFormat="1" ht="12.2" customHeight="1" thickBot="1" x14ac:dyDescent="0.25">
      <c r="A78" s="1005" t="s">
        <v>219</v>
      </c>
      <c r="B78" s="59" t="s">
        <v>370</v>
      </c>
      <c r="C78" s="402"/>
      <c r="D78" s="326"/>
      <c r="E78" s="573"/>
      <c r="F78" s="573"/>
      <c r="G78" s="573"/>
      <c r="H78" s="328">
        <f t="shared" si="30"/>
        <v>0</v>
      </c>
      <c r="I78" s="666"/>
      <c r="J78" s="328"/>
      <c r="K78" s="328"/>
      <c r="L78" s="328"/>
    </row>
    <row r="79" spans="1:12" s="26" customFormat="1" ht="12.2" customHeight="1" thickBot="1" x14ac:dyDescent="0.25">
      <c r="A79" s="63" t="s">
        <v>23</v>
      </c>
      <c r="B79" s="347" t="s">
        <v>613</v>
      </c>
      <c r="C79" s="113">
        <f>SUM(C80:C82)</f>
        <v>0</v>
      </c>
      <c r="D79" s="186">
        <f t="shared" ref="D79:K79" si="32">SUM(D80:D82)</f>
        <v>0</v>
      </c>
      <c r="E79" s="566">
        <f t="shared" si="32"/>
        <v>0</v>
      </c>
      <c r="F79" s="566">
        <f t="shared" si="32"/>
        <v>0</v>
      </c>
      <c r="G79" s="566">
        <f t="shared" si="32"/>
        <v>0</v>
      </c>
      <c r="H79" s="28">
        <f t="shared" si="30"/>
        <v>0</v>
      </c>
      <c r="I79" s="628">
        <f t="shared" si="32"/>
        <v>0</v>
      </c>
      <c r="J79" s="28">
        <f t="shared" si="32"/>
        <v>0</v>
      </c>
      <c r="K79" s="28">
        <f t="shared" si="32"/>
        <v>0</v>
      </c>
      <c r="L79" s="28">
        <f t="shared" ref="L79" si="33">SUM(L80:L82)</f>
        <v>0</v>
      </c>
    </row>
    <row r="80" spans="1:12" s="54" customFormat="1" ht="12.2" customHeight="1" x14ac:dyDescent="0.2">
      <c r="A80" s="12" t="s">
        <v>220</v>
      </c>
      <c r="B80" s="716" t="s">
        <v>303</v>
      </c>
      <c r="C80" s="402"/>
      <c r="D80" s="326"/>
      <c r="E80" s="573"/>
      <c r="F80" s="573"/>
      <c r="G80" s="573"/>
      <c r="H80" s="328">
        <f t="shared" si="30"/>
        <v>0</v>
      </c>
      <c r="I80" s="666"/>
      <c r="J80" s="328"/>
      <c r="K80" s="328"/>
      <c r="L80" s="328"/>
    </row>
    <row r="81" spans="1:14" s="54" customFormat="1" ht="12.2" customHeight="1" x14ac:dyDescent="0.2">
      <c r="A81" s="1003" t="s">
        <v>221</v>
      </c>
      <c r="B81" s="717" t="s">
        <v>304</v>
      </c>
      <c r="C81" s="402"/>
      <c r="D81" s="326"/>
      <c r="E81" s="573"/>
      <c r="F81" s="573"/>
      <c r="G81" s="573"/>
      <c r="H81" s="328">
        <f t="shared" si="30"/>
        <v>0</v>
      </c>
      <c r="I81" s="666"/>
      <c r="J81" s="328"/>
      <c r="K81" s="328"/>
      <c r="L81" s="328"/>
    </row>
    <row r="82" spans="1:14" s="54" customFormat="1" ht="12.2" customHeight="1" thickBot="1" x14ac:dyDescent="0.25">
      <c r="A82" s="1005" t="s">
        <v>325</v>
      </c>
      <c r="B82" s="496" t="s">
        <v>378</v>
      </c>
      <c r="C82" s="402"/>
      <c r="D82" s="326"/>
      <c r="E82" s="573"/>
      <c r="F82" s="573"/>
      <c r="G82" s="573"/>
      <c r="H82" s="328">
        <f t="shared" si="30"/>
        <v>0</v>
      </c>
      <c r="I82" s="666"/>
      <c r="J82" s="328"/>
      <c r="K82" s="328"/>
      <c r="L82" s="328"/>
    </row>
    <row r="83" spans="1:14" s="26" customFormat="1" ht="12.2" customHeight="1" thickBot="1" x14ac:dyDescent="0.25">
      <c r="A83" s="63" t="s">
        <v>24</v>
      </c>
      <c r="B83" s="347" t="s">
        <v>614</v>
      </c>
      <c r="C83" s="1023">
        <f>+C68+C72+C76+C79</f>
        <v>0</v>
      </c>
      <c r="D83" s="187">
        <f t="shared" ref="D83:K83" si="34">+D68+D72+D76+D79</f>
        <v>0</v>
      </c>
      <c r="E83" s="532">
        <f t="shared" si="34"/>
        <v>0</v>
      </c>
      <c r="F83" s="532">
        <f t="shared" si="34"/>
        <v>0</v>
      </c>
      <c r="G83" s="532">
        <f t="shared" si="34"/>
        <v>0</v>
      </c>
      <c r="H83" s="74">
        <f t="shared" si="30"/>
        <v>0</v>
      </c>
      <c r="I83" s="638">
        <f t="shared" si="34"/>
        <v>0</v>
      </c>
      <c r="J83" s="74">
        <f t="shared" si="34"/>
        <v>0</v>
      </c>
      <c r="K83" s="74">
        <f t="shared" si="34"/>
        <v>0</v>
      </c>
      <c r="L83" s="74">
        <f t="shared" ref="L83" si="35">+L68+L72+L76+L79</f>
        <v>0</v>
      </c>
    </row>
    <row r="84" spans="1:14" s="26" customFormat="1" ht="12.2" customHeight="1" thickBot="1" x14ac:dyDescent="0.25">
      <c r="A84" s="80" t="s">
        <v>25</v>
      </c>
      <c r="B84" s="561" t="s">
        <v>635</v>
      </c>
      <c r="C84" s="1023">
        <f>+C67+C83</f>
        <v>2285880078</v>
      </c>
      <c r="D84" s="624">
        <f t="shared" ref="D84:K84" si="36">+D67+D83</f>
        <v>2078182570</v>
      </c>
      <c r="E84" s="532">
        <f t="shared" si="36"/>
        <v>2471094426</v>
      </c>
      <c r="F84" s="532">
        <f t="shared" si="36"/>
        <v>0</v>
      </c>
      <c r="G84" s="532">
        <f t="shared" si="36"/>
        <v>0</v>
      </c>
      <c r="H84" s="74">
        <f t="shared" si="30"/>
        <v>392911856</v>
      </c>
      <c r="I84" s="638">
        <f t="shared" si="36"/>
        <v>0</v>
      </c>
      <c r="J84" s="74">
        <f t="shared" si="36"/>
        <v>0</v>
      </c>
      <c r="K84" s="74">
        <f t="shared" si="36"/>
        <v>0</v>
      </c>
      <c r="L84" s="74">
        <f t="shared" ref="L84" si="37">+L67+L83</f>
        <v>0</v>
      </c>
      <c r="N84" s="111" t="b">
        <f>E84=E132</f>
        <v>1</v>
      </c>
    </row>
    <row r="85" spans="1:14" s="54" customFormat="1" ht="15" customHeight="1" x14ac:dyDescent="0.2">
      <c r="A85" s="274"/>
      <c r="B85" s="275"/>
      <c r="C85" s="144"/>
      <c r="D85" s="66"/>
      <c r="E85" s="66"/>
      <c r="F85" s="66"/>
      <c r="G85" s="66"/>
      <c r="H85" s="144"/>
      <c r="I85" s="144"/>
      <c r="J85" s="144"/>
      <c r="K85" s="144"/>
      <c r="L85" s="144"/>
    </row>
    <row r="86" spans="1:14" ht="13.5" thickBot="1" x14ac:dyDescent="0.25">
      <c r="A86" s="1912"/>
      <c r="B86" s="1912"/>
      <c r="C86" s="1912"/>
      <c r="D86" s="1912"/>
      <c r="E86" s="1912"/>
      <c r="F86" s="1912"/>
      <c r="G86" s="1912"/>
      <c r="H86" s="1912"/>
      <c r="I86" s="25"/>
      <c r="J86" s="25"/>
      <c r="K86" s="25"/>
      <c r="L86" s="25"/>
    </row>
    <row r="87" spans="1:14" s="554" customFormat="1" ht="53.45" customHeight="1" thickBot="1" x14ac:dyDescent="0.25">
      <c r="A87" s="641"/>
      <c r="B87" s="642" t="s">
        <v>38</v>
      </c>
      <c r="C87" s="21" t="str">
        <f>C8</f>
        <v>2023. évi eredeti előirányzat
2/2023. (II.14.)</v>
      </c>
      <c r="D87" s="166" t="str">
        <f t="shared" ref="D87:L87" si="38">D8</f>
        <v>Módosított előirányzat a 14/2023.  (VI.29.)  rendelet szerint</v>
      </c>
      <c r="E87" s="21" t="str">
        <f t="shared" si="38"/>
        <v>Módosított előirányzat a 18/2023. (IX.26.)  rendelet szerint</v>
      </c>
      <c r="F87" s="21" t="str">
        <f t="shared" si="38"/>
        <v>Módosított előirányzat 2023.09.30-án</v>
      </c>
      <c r="G87" s="21" t="str">
        <f t="shared" si="38"/>
        <v>Módosított előirányzat a …../2023. (II…..)  rendelet szerint</v>
      </c>
      <c r="H87" s="32" t="str">
        <f t="shared" si="38"/>
        <v>Változás a 14/2023. (VI.29.) rendelethez képest</v>
      </c>
      <c r="I87" s="166" t="str">
        <f t="shared" si="38"/>
        <v>2023. évi teljesítés              2023.06.30-ig</v>
      </c>
      <c r="J87" s="21" t="str">
        <f t="shared" si="38"/>
        <v>2023. évi teljesítés              2023.09.30-ig</v>
      </c>
      <c r="K87" s="21" t="str">
        <f t="shared" si="38"/>
        <v>2023. évi teljesítés              2023.12.31-ig</v>
      </c>
      <c r="L87" s="21" t="str">
        <f t="shared" si="38"/>
        <v>Teljesítés %-a</v>
      </c>
    </row>
    <row r="88" spans="1:14" s="31" customFormat="1" ht="12.2" customHeight="1" thickBot="1" x14ac:dyDescent="0.25">
      <c r="A88" s="76" t="s">
        <v>12</v>
      </c>
      <c r="B88" s="815" t="s">
        <v>547</v>
      </c>
      <c r="C88" s="1021">
        <f>C89+C91+C92+C93+C94</f>
        <v>1045432953</v>
      </c>
      <c r="D88" s="183">
        <f t="shared" ref="D88:K88" si="39">D89+D91+D92+D93+D94</f>
        <v>1022464245</v>
      </c>
      <c r="E88" s="574">
        <f t="shared" si="39"/>
        <v>1130569095</v>
      </c>
      <c r="F88" s="574">
        <f t="shared" si="39"/>
        <v>0</v>
      </c>
      <c r="G88" s="574">
        <f t="shared" si="39"/>
        <v>0</v>
      </c>
      <c r="H88" s="77">
        <f>+E88-D88</f>
        <v>108104850</v>
      </c>
      <c r="I88" s="670">
        <f t="shared" si="39"/>
        <v>0</v>
      </c>
      <c r="J88" s="77">
        <f t="shared" si="39"/>
        <v>0</v>
      </c>
      <c r="K88" s="77">
        <f t="shared" si="39"/>
        <v>0</v>
      </c>
      <c r="L88" s="77">
        <f t="shared" ref="L88" si="40">L89+L91+L92+L93+L94+L101</f>
        <v>0</v>
      </c>
    </row>
    <row r="89" spans="1:14" ht="12.2" customHeight="1" x14ac:dyDescent="0.2">
      <c r="A89" s="99" t="s">
        <v>91</v>
      </c>
      <c r="B89" s="50" t="s">
        <v>68</v>
      </c>
      <c r="C89" s="117">
        <v>64886059</v>
      </c>
      <c r="D89" s="184">
        <v>64886059</v>
      </c>
      <c r="E89" s="575">
        <f>64886059-150000+150000</f>
        <v>64886059</v>
      </c>
      <c r="F89" s="575"/>
      <c r="G89" s="575"/>
      <c r="H89" s="78">
        <f t="shared" ref="H89:H131" si="41">+E89-D89</f>
        <v>0</v>
      </c>
      <c r="I89" s="671"/>
      <c r="J89" s="78"/>
      <c r="K89" s="78"/>
      <c r="L89" s="78"/>
    </row>
    <row r="90" spans="1:14" ht="12.2" customHeight="1" x14ac:dyDescent="0.2">
      <c r="A90" s="1003" t="s">
        <v>305</v>
      </c>
      <c r="B90" s="335" t="s">
        <v>270</v>
      </c>
      <c r="C90" s="114"/>
      <c r="D90" s="185"/>
      <c r="E90" s="567"/>
      <c r="F90" s="567"/>
      <c r="G90" s="567"/>
      <c r="H90" s="16">
        <f t="shared" si="41"/>
        <v>0</v>
      </c>
      <c r="I90" s="626"/>
      <c r="J90" s="16"/>
      <c r="K90" s="16"/>
      <c r="L90" s="16"/>
    </row>
    <row r="91" spans="1:14" ht="12.2" customHeight="1" x14ac:dyDescent="0.2">
      <c r="A91" s="1003" t="s">
        <v>92</v>
      </c>
      <c r="B91" s="330" t="s">
        <v>87</v>
      </c>
      <c r="C91" s="401">
        <v>17542669</v>
      </c>
      <c r="D91" s="325">
        <v>17542669</v>
      </c>
      <c r="E91" s="568">
        <v>17542669</v>
      </c>
      <c r="F91" s="568"/>
      <c r="G91" s="568"/>
      <c r="H91" s="327">
        <f t="shared" si="41"/>
        <v>0</v>
      </c>
      <c r="I91" s="627"/>
      <c r="J91" s="327"/>
      <c r="K91" s="327"/>
      <c r="L91" s="327"/>
    </row>
    <row r="92" spans="1:14" ht="12.2" customHeight="1" x14ac:dyDescent="0.2">
      <c r="A92" s="1003" t="s">
        <v>93</v>
      </c>
      <c r="B92" s="330" t="s">
        <v>69</v>
      </c>
      <c r="C92" s="504">
        <v>244172847</v>
      </c>
      <c r="D92" s="625">
        <v>244172847</v>
      </c>
      <c r="E92" s="569">
        <f>244172847-150000</f>
        <v>244022847</v>
      </c>
      <c r="F92" s="569"/>
      <c r="G92" s="569"/>
      <c r="H92" s="525">
        <f t="shared" si="41"/>
        <v>-150000</v>
      </c>
      <c r="I92" s="629"/>
      <c r="J92" s="525"/>
      <c r="K92" s="525"/>
      <c r="L92" s="525"/>
    </row>
    <row r="93" spans="1:14" ht="12.2" customHeight="1" x14ac:dyDescent="0.2">
      <c r="A93" s="1003" t="s">
        <v>90</v>
      </c>
      <c r="B93" s="330" t="s">
        <v>80</v>
      </c>
      <c r="C93" s="504">
        <v>170066480</v>
      </c>
      <c r="D93" s="625">
        <v>170066480</v>
      </c>
      <c r="E93" s="569">
        <v>170066480</v>
      </c>
      <c r="F93" s="569"/>
      <c r="G93" s="569"/>
      <c r="H93" s="525">
        <f t="shared" si="41"/>
        <v>0</v>
      </c>
      <c r="I93" s="629"/>
      <c r="J93" s="525"/>
      <c r="K93" s="525"/>
      <c r="L93" s="525"/>
    </row>
    <row r="94" spans="1:14" ht="12.2" customHeight="1" x14ac:dyDescent="0.2">
      <c r="A94" s="1003" t="s">
        <v>147</v>
      </c>
      <c r="B94" s="52" t="s">
        <v>88</v>
      </c>
      <c r="C94" s="504">
        <f>SUM(C95:C101)</f>
        <v>548764898</v>
      </c>
      <c r="D94" s="625">
        <f>SUM(D95:D101)</f>
        <v>525796190</v>
      </c>
      <c r="E94" s="625">
        <f t="shared" ref="E94:G94" si="42">SUM(E95:E101)</f>
        <v>634051040</v>
      </c>
      <c r="F94" s="625">
        <f t="shared" si="42"/>
        <v>0</v>
      </c>
      <c r="G94" s="625">
        <f t="shared" si="42"/>
        <v>0</v>
      </c>
      <c r="H94" s="525">
        <f t="shared" si="41"/>
        <v>108254850</v>
      </c>
      <c r="I94" s="629">
        <f t="shared" ref="I94:K94" si="43">SUM(I95:I101)</f>
        <v>0</v>
      </c>
      <c r="J94" s="525">
        <f t="shared" si="43"/>
        <v>0</v>
      </c>
      <c r="K94" s="525">
        <f t="shared" si="43"/>
        <v>0</v>
      </c>
      <c r="L94" s="525">
        <f t="shared" ref="L94" si="44">SUM(L95:L100)</f>
        <v>0</v>
      </c>
    </row>
    <row r="95" spans="1:14" ht="12.2" customHeight="1" x14ac:dyDescent="0.2">
      <c r="A95" s="1003" t="s">
        <v>306</v>
      </c>
      <c r="B95" s="693" t="s">
        <v>554</v>
      </c>
      <c r="C95" s="504"/>
      <c r="D95" s="625"/>
      <c r="E95" s="569"/>
      <c r="F95" s="569"/>
      <c r="G95" s="569"/>
      <c r="H95" s="525">
        <f t="shared" si="41"/>
        <v>0</v>
      </c>
      <c r="I95" s="629"/>
      <c r="J95" s="525"/>
      <c r="K95" s="525"/>
      <c r="L95" s="525"/>
    </row>
    <row r="96" spans="1:14" ht="12.2" customHeight="1" x14ac:dyDescent="0.2">
      <c r="A96" s="1003" t="s">
        <v>307</v>
      </c>
      <c r="B96" s="816" t="s">
        <v>647</v>
      </c>
      <c r="C96" s="504"/>
      <c r="D96" s="625"/>
      <c r="E96" s="569"/>
      <c r="F96" s="569"/>
      <c r="G96" s="569"/>
      <c r="H96" s="525">
        <f t="shared" si="41"/>
        <v>0</v>
      </c>
      <c r="I96" s="629"/>
      <c r="J96" s="525"/>
      <c r="K96" s="525"/>
      <c r="L96" s="525"/>
    </row>
    <row r="97" spans="1:15" ht="12.2" customHeight="1" x14ac:dyDescent="0.2">
      <c r="A97" s="1003" t="s">
        <v>308</v>
      </c>
      <c r="B97" s="816" t="s">
        <v>646</v>
      </c>
      <c r="C97" s="504"/>
      <c r="D97" s="625"/>
      <c r="E97" s="569"/>
      <c r="F97" s="569"/>
      <c r="G97" s="569"/>
      <c r="H97" s="525">
        <f t="shared" si="41"/>
        <v>0</v>
      </c>
      <c r="I97" s="629"/>
      <c r="J97" s="525"/>
      <c r="K97" s="525"/>
      <c r="L97" s="525"/>
    </row>
    <row r="98" spans="1:15" ht="12.2" customHeight="1" x14ac:dyDescent="0.2">
      <c r="A98" s="1003" t="s">
        <v>309</v>
      </c>
      <c r="B98" s="816" t="s">
        <v>645</v>
      </c>
      <c r="C98" s="504">
        <v>30030000</v>
      </c>
      <c r="D98" s="625">
        <f>30030000+23382-30000000</f>
        <v>53382</v>
      </c>
      <c r="E98" s="504">
        <f>53382+67200000</f>
        <v>67253382</v>
      </c>
      <c r="F98" s="569"/>
      <c r="G98" s="569"/>
      <c r="H98" s="525">
        <f t="shared" si="41"/>
        <v>67200000</v>
      </c>
      <c r="I98" s="629"/>
      <c r="J98" s="525"/>
      <c r="K98" s="525"/>
      <c r="L98" s="525"/>
    </row>
    <row r="99" spans="1:15" ht="12.2" customHeight="1" x14ac:dyDescent="0.2">
      <c r="A99" s="1003" t="s">
        <v>310</v>
      </c>
      <c r="B99" s="816" t="s">
        <v>650</v>
      </c>
      <c r="C99" s="504"/>
      <c r="D99" s="625"/>
      <c r="E99" s="504"/>
      <c r="F99" s="569"/>
      <c r="G99" s="569"/>
      <c r="H99" s="525">
        <f t="shared" si="41"/>
        <v>0</v>
      </c>
      <c r="I99" s="629"/>
      <c r="J99" s="525"/>
      <c r="K99" s="525"/>
      <c r="L99" s="525"/>
    </row>
    <row r="100" spans="1:15" ht="12.2" customHeight="1" x14ac:dyDescent="0.2">
      <c r="A100" s="1003" t="s">
        <v>361</v>
      </c>
      <c r="B100" s="816" t="s">
        <v>644</v>
      </c>
      <c r="C100" s="504">
        <v>518734898</v>
      </c>
      <c r="D100" s="625">
        <f>518734898-500000-1000000-26667490-1100000-298600+3000000+22500000+1750000+800000-1476000+10000000</f>
        <v>525742808</v>
      </c>
      <c r="E100" s="504">
        <f>525742808+3000000+22272000+15782850</f>
        <v>566797658</v>
      </c>
      <c r="F100" s="569"/>
      <c r="G100" s="569"/>
      <c r="H100" s="525">
        <f t="shared" si="41"/>
        <v>41054850</v>
      </c>
      <c r="I100" s="629"/>
      <c r="J100" s="525"/>
      <c r="K100" s="525"/>
      <c r="L100" s="525"/>
    </row>
    <row r="101" spans="1:15" ht="12.2" customHeight="1" x14ac:dyDescent="0.2">
      <c r="A101" s="1003" t="s">
        <v>615</v>
      </c>
      <c r="B101" s="817" t="s">
        <v>649</v>
      </c>
      <c r="C101" s="1028">
        <f>+C102+C103</f>
        <v>0</v>
      </c>
      <c r="D101" s="662">
        <f t="shared" ref="D101:K101" si="45">+D102+D103</f>
        <v>0</v>
      </c>
      <c r="E101" s="576">
        <v>0</v>
      </c>
      <c r="F101" s="576">
        <f t="shared" si="45"/>
        <v>0</v>
      </c>
      <c r="G101" s="576">
        <f t="shared" si="45"/>
        <v>0</v>
      </c>
      <c r="H101" s="527">
        <f t="shared" si="41"/>
        <v>0</v>
      </c>
      <c r="I101" s="826">
        <f t="shared" si="45"/>
        <v>0</v>
      </c>
      <c r="J101" s="527">
        <f t="shared" si="45"/>
        <v>0</v>
      </c>
      <c r="K101" s="527">
        <f t="shared" si="45"/>
        <v>0</v>
      </c>
      <c r="L101" s="527">
        <f t="shared" ref="L101" si="46">+L102+L103</f>
        <v>0</v>
      </c>
    </row>
    <row r="102" spans="1:15" ht="12.75" customHeight="1" x14ac:dyDescent="0.2">
      <c r="A102" s="12" t="s">
        <v>616</v>
      </c>
      <c r="B102" s="818" t="s">
        <v>617</v>
      </c>
      <c r="C102" s="114"/>
      <c r="D102" s="185"/>
      <c r="E102" s="567"/>
      <c r="F102" s="567"/>
      <c r="G102" s="567"/>
      <c r="H102" s="16">
        <f t="shared" si="41"/>
        <v>0</v>
      </c>
      <c r="I102" s="626"/>
      <c r="J102" s="16"/>
      <c r="K102" s="16"/>
      <c r="L102" s="16"/>
    </row>
    <row r="103" spans="1:15" ht="12.75" customHeight="1" x14ac:dyDescent="0.2">
      <c r="A103" s="1005" t="s">
        <v>618</v>
      </c>
      <c r="B103" s="819" t="s">
        <v>619</v>
      </c>
      <c r="C103" s="401">
        <f>SUM(C104:C105)</f>
        <v>0</v>
      </c>
      <c r="D103" s="325">
        <f t="shared" ref="D103:K103" si="47">SUM(D104:D105)</f>
        <v>0</v>
      </c>
      <c r="E103" s="568">
        <f t="shared" si="47"/>
        <v>0</v>
      </c>
      <c r="F103" s="568">
        <f t="shared" si="47"/>
        <v>0</v>
      </c>
      <c r="G103" s="568">
        <f t="shared" si="47"/>
        <v>0</v>
      </c>
      <c r="H103" s="327">
        <f t="shared" si="41"/>
        <v>0</v>
      </c>
      <c r="I103" s="627">
        <f t="shared" si="47"/>
        <v>0</v>
      </c>
      <c r="J103" s="327">
        <f t="shared" si="47"/>
        <v>0</v>
      </c>
      <c r="K103" s="327">
        <f t="shared" si="47"/>
        <v>0</v>
      </c>
      <c r="L103" s="327">
        <f t="shared" ref="L103" si="48">SUM(L104:L105)</f>
        <v>0</v>
      </c>
    </row>
    <row r="104" spans="1:15" ht="12.75" customHeight="1" x14ac:dyDescent="0.2">
      <c r="A104" s="1005" t="s">
        <v>620</v>
      </c>
      <c r="B104" s="820" t="s">
        <v>648</v>
      </c>
      <c r="C104" s="401"/>
      <c r="D104" s="325"/>
      <c r="E104" s="568"/>
      <c r="F104" s="568"/>
      <c r="G104" s="568"/>
      <c r="H104" s="327">
        <f t="shared" si="41"/>
        <v>0</v>
      </c>
      <c r="I104" s="627"/>
      <c r="J104" s="327"/>
      <c r="K104" s="327"/>
      <c r="L104" s="327"/>
    </row>
    <row r="105" spans="1:15" ht="12.75" customHeight="1" thickBot="1" x14ac:dyDescent="0.25">
      <c r="A105" s="1005" t="s">
        <v>621</v>
      </c>
      <c r="B105" s="820" t="s">
        <v>636</v>
      </c>
      <c r="C105" s="401"/>
      <c r="D105" s="325"/>
      <c r="E105" s="568"/>
      <c r="F105" s="568"/>
      <c r="G105" s="568"/>
      <c r="H105" s="327">
        <f t="shared" si="41"/>
        <v>0</v>
      </c>
      <c r="I105" s="627"/>
      <c r="J105" s="327"/>
      <c r="K105" s="327"/>
      <c r="L105" s="327"/>
    </row>
    <row r="106" spans="1:15" ht="12.2" customHeight="1" thickBot="1" x14ac:dyDescent="0.25">
      <c r="A106" s="14" t="s">
        <v>13</v>
      </c>
      <c r="B106" s="100" t="s">
        <v>395</v>
      </c>
      <c r="C106" s="113">
        <f>+C107+C109+C111</f>
        <v>427000000</v>
      </c>
      <c r="D106" s="186">
        <f t="shared" ref="D106:K106" si="49">+D107+D109+D111</f>
        <v>459500000</v>
      </c>
      <c r="E106" s="566">
        <f t="shared" si="49"/>
        <v>528217882</v>
      </c>
      <c r="F106" s="566">
        <f t="shared" si="49"/>
        <v>0</v>
      </c>
      <c r="G106" s="566">
        <f t="shared" si="49"/>
        <v>0</v>
      </c>
      <c r="H106" s="28">
        <f t="shared" si="41"/>
        <v>68717882</v>
      </c>
      <c r="I106" s="628">
        <f t="shared" si="49"/>
        <v>0</v>
      </c>
      <c r="J106" s="28">
        <f t="shared" si="49"/>
        <v>0</v>
      </c>
      <c r="K106" s="28">
        <f t="shared" si="49"/>
        <v>0</v>
      </c>
      <c r="L106" s="28">
        <f t="shared" ref="L106" si="50">+L107+L109+L111</f>
        <v>0</v>
      </c>
    </row>
    <row r="107" spans="1:15" ht="12.2" customHeight="1" x14ac:dyDescent="0.2">
      <c r="A107" s="12" t="s">
        <v>94</v>
      </c>
      <c r="B107" s="330" t="s">
        <v>119</v>
      </c>
      <c r="C107" s="114">
        <v>45000000</v>
      </c>
      <c r="D107" s="185">
        <v>45000000</v>
      </c>
      <c r="E107" s="567">
        <f>45000000-1000000-3282118</f>
        <v>40717882</v>
      </c>
      <c r="F107" s="567"/>
      <c r="G107" s="567"/>
      <c r="H107" s="16">
        <f t="shared" si="41"/>
        <v>-4282118</v>
      </c>
      <c r="I107" s="626"/>
      <c r="J107" s="16"/>
      <c r="K107" s="16"/>
      <c r="L107" s="16"/>
    </row>
    <row r="108" spans="1:15" ht="12.2" customHeight="1" x14ac:dyDescent="0.2">
      <c r="A108" s="12" t="s">
        <v>316</v>
      </c>
      <c r="B108" s="819" t="s">
        <v>225</v>
      </c>
      <c r="C108" s="114"/>
      <c r="D108" s="185"/>
      <c r="E108" s="567"/>
      <c r="F108" s="567"/>
      <c r="G108" s="567"/>
      <c r="H108" s="16">
        <f t="shared" si="41"/>
        <v>0</v>
      </c>
      <c r="I108" s="626"/>
      <c r="J108" s="16"/>
      <c r="K108" s="16"/>
      <c r="L108" s="16"/>
    </row>
    <row r="109" spans="1:15" ht="12.2" customHeight="1" x14ac:dyDescent="0.2">
      <c r="A109" s="12" t="s">
        <v>95</v>
      </c>
      <c r="B109" s="354" t="s">
        <v>2</v>
      </c>
      <c r="C109" s="401"/>
      <c r="D109" s="325"/>
      <c r="E109" s="568"/>
      <c r="F109" s="568"/>
      <c r="G109" s="568"/>
      <c r="H109" s="327">
        <f t="shared" si="41"/>
        <v>0</v>
      </c>
      <c r="I109" s="627"/>
      <c r="J109" s="327"/>
      <c r="K109" s="327"/>
      <c r="L109" s="327"/>
    </row>
    <row r="110" spans="1:15" ht="12.2" customHeight="1" x14ac:dyDescent="0.2">
      <c r="A110" s="12" t="s">
        <v>315</v>
      </c>
      <c r="B110" s="819" t="s">
        <v>396</v>
      </c>
      <c r="C110" s="401"/>
      <c r="D110" s="325"/>
      <c r="E110" s="568"/>
      <c r="F110" s="568"/>
      <c r="G110" s="568"/>
      <c r="H110" s="327">
        <f t="shared" si="41"/>
        <v>0</v>
      </c>
      <c r="I110" s="627"/>
      <c r="J110" s="327"/>
      <c r="K110" s="327"/>
      <c r="L110" s="327"/>
    </row>
    <row r="111" spans="1:15" ht="12.2" customHeight="1" x14ac:dyDescent="0.2">
      <c r="A111" s="12" t="s">
        <v>96</v>
      </c>
      <c r="B111" s="496" t="s">
        <v>268</v>
      </c>
      <c r="C111" s="401">
        <f>+C112+C113+C114+C115</f>
        <v>382000000</v>
      </c>
      <c r="D111" s="325">
        <f t="shared" ref="D111:K111" si="51">+D112+D113+D114+D115</f>
        <v>414500000</v>
      </c>
      <c r="E111" s="568">
        <f t="shared" si="51"/>
        <v>487500000</v>
      </c>
      <c r="F111" s="568">
        <f t="shared" si="51"/>
        <v>0</v>
      </c>
      <c r="G111" s="568">
        <f t="shared" si="51"/>
        <v>0</v>
      </c>
      <c r="H111" s="327">
        <f t="shared" si="41"/>
        <v>73000000</v>
      </c>
      <c r="I111" s="627">
        <f t="shared" si="51"/>
        <v>0</v>
      </c>
      <c r="J111" s="327">
        <f t="shared" si="51"/>
        <v>0</v>
      </c>
      <c r="K111" s="327">
        <f t="shared" si="51"/>
        <v>0</v>
      </c>
      <c r="L111" s="327"/>
      <c r="O111" s="18"/>
    </row>
    <row r="112" spans="1:15" ht="12.2" customHeight="1" x14ac:dyDescent="0.2">
      <c r="A112" s="12" t="s">
        <v>317</v>
      </c>
      <c r="B112" s="351" t="s">
        <v>226</v>
      </c>
      <c r="C112" s="401"/>
      <c r="D112" s="325"/>
      <c r="E112" s="568"/>
      <c r="F112" s="568"/>
      <c r="G112" s="568"/>
      <c r="H112" s="327">
        <f t="shared" si="41"/>
        <v>0</v>
      </c>
      <c r="I112" s="627"/>
      <c r="J112" s="327"/>
      <c r="K112" s="327"/>
      <c r="L112" s="327"/>
    </row>
    <row r="113" spans="1:18" ht="12.2" customHeight="1" x14ac:dyDescent="0.2">
      <c r="A113" s="12" t="s">
        <v>318</v>
      </c>
      <c r="B113" s="351" t="s">
        <v>227</v>
      </c>
      <c r="C113" s="401"/>
      <c r="D113" s="325">
        <f>30000000</f>
        <v>30000000</v>
      </c>
      <c r="E113" s="568">
        <f>30000000</f>
        <v>30000000</v>
      </c>
      <c r="F113" s="568"/>
      <c r="G113" s="568"/>
      <c r="H113" s="327">
        <f t="shared" si="41"/>
        <v>0</v>
      </c>
      <c r="I113" s="627"/>
      <c r="J113" s="327"/>
      <c r="K113" s="327"/>
      <c r="L113" s="327"/>
    </row>
    <row r="114" spans="1:18" ht="12.2" customHeight="1" x14ac:dyDescent="0.2">
      <c r="A114" s="12" t="s">
        <v>319</v>
      </c>
      <c r="B114" s="351" t="s">
        <v>224</v>
      </c>
      <c r="C114" s="401">
        <f>208000000+16000000</f>
        <v>224000000</v>
      </c>
      <c r="D114" s="325">
        <v>224000000</v>
      </c>
      <c r="E114" s="568">
        <f>224000000+40000000</f>
        <v>264000000</v>
      </c>
      <c r="F114" s="568"/>
      <c r="G114" s="568"/>
      <c r="H114" s="327">
        <f t="shared" si="41"/>
        <v>40000000</v>
      </c>
      <c r="I114" s="627"/>
      <c r="J114" s="327"/>
      <c r="K114" s="327"/>
      <c r="L114" s="327"/>
      <c r="M114" s="1924"/>
      <c r="N114" s="1925"/>
      <c r="O114" s="1925"/>
      <c r="P114" s="1925"/>
      <c r="Q114" s="1925"/>
      <c r="R114" s="1925"/>
    </row>
    <row r="115" spans="1:18" ht="12.2" customHeight="1" thickBot="1" x14ac:dyDescent="0.25">
      <c r="A115" s="12" t="s">
        <v>320</v>
      </c>
      <c r="B115" s="351" t="s">
        <v>228</v>
      </c>
      <c r="C115" s="504">
        <v>158000000</v>
      </c>
      <c r="D115" s="625">
        <f>158000000+1000000+1500000</f>
        <v>160500000</v>
      </c>
      <c r="E115" s="569">
        <f>160500000+20000000+3000000+10000000</f>
        <v>193500000</v>
      </c>
      <c r="F115" s="569"/>
      <c r="G115" s="569"/>
      <c r="H115" s="525">
        <f t="shared" si="41"/>
        <v>33000000</v>
      </c>
      <c r="I115" s="629"/>
      <c r="J115" s="525"/>
      <c r="K115" s="525"/>
      <c r="L115" s="525"/>
    </row>
    <row r="116" spans="1:18" ht="12.2" customHeight="1" thickBot="1" x14ac:dyDescent="0.25">
      <c r="A116" s="14" t="s">
        <v>14</v>
      </c>
      <c r="B116" s="56" t="s">
        <v>311</v>
      </c>
      <c r="C116" s="113">
        <f>+C88+C106</f>
        <v>1472432953</v>
      </c>
      <c r="D116" s="186">
        <f t="shared" ref="D116:K116" si="52">+D88+D106</f>
        <v>1481964245</v>
      </c>
      <c r="E116" s="566">
        <f t="shared" si="52"/>
        <v>1658786977</v>
      </c>
      <c r="F116" s="566">
        <f t="shared" si="52"/>
        <v>0</v>
      </c>
      <c r="G116" s="566">
        <f t="shared" si="52"/>
        <v>0</v>
      </c>
      <c r="H116" s="28">
        <f t="shared" si="41"/>
        <v>176822732</v>
      </c>
      <c r="I116" s="628">
        <f t="shared" si="52"/>
        <v>0</v>
      </c>
      <c r="J116" s="28">
        <f t="shared" si="52"/>
        <v>0</v>
      </c>
      <c r="K116" s="28">
        <f t="shared" si="52"/>
        <v>0</v>
      </c>
      <c r="L116" s="28">
        <f t="shared" ref="L116" si="53">+L88+L106</f>
        <v>0</v>
      </c>
    </row>
    <row r="117" spans="1:18" ht="12.2" customHeight="1" thickBot="1" x14ac:dyDescent="0.25">
      <c r="A117" s="14" t="s">
        <v>15</v>
      </c>
      <c r="B117" s="56" t="s">
        <v>312</v>
      </c>
      <c r="C117" s="113">
        <f>+C118+C119+C120</f>
        <v>0</v>
      </c>
      <c r="D117" s="186">
        <f t="shared" ref="D117:K117" si="54">+D118+D119+D120</f>
        <v>0</v>
      </c>
      <c r="E117" s="566">
        <f t="shared" si="54"/>
        <v>0</v>
      </c>
      <c r="F117" s="566">
        <f t="shared" si="54"/>
        <v>0</v>
      </c>
      <c r="G117" s="566">
        <f t="shared" si="54"/>
        <v>0</v>
      </c>
      <c r="H117" s="28">
        <f t="shared" si="41"/>
        <v>0</v>
      </c>
      <c r="I117" s="628">
        <f t="shared" si="54"/>
        <v>0</v>
      </c>
      <c r="J117" s="28">
        <f t="shared" si="54"/>
        <v>0</v>
      </c>
      <c r="K117" s="28">
        <f t="shared" si="54"/>
        <v>0</v>
      </c>
      <c r="L117" s="28">
        <f t="shared" ref="L117" si="55">+L118+L119+L120</f>
        <v>0</v>
      </c>
    </row>
    <row r="118" spans="1:18" s="31" customFormat="1" ht="12.2" customHeight="1" x14ac:dyDescent="0.2">
      <c r="A118" s="12" t="s">
        <v>100</v>
      </c>
      <c r="B118" s="17" t="s">
        <v>397</v>
      </c>
      <c r="C118" s="401"/>
      <c r="D118" s="325"/>
      <c r="E118" s="568"/>
      <c r="F118" s="568"/>
      <c r="G118" s="568"/>
      <c r="H118" s="327">
        <f t="shared" si="41"/>
        <v>0</v>
      </c>
      <c r="I118" s="627"/>
      <c r="J118" s="327"/>
      <c r="K118" s="327"/>
      <c r="L118" s="327"/>
    </row>
    <row r="119" spans="1:18" ht="12.2" customHeight="1" x14ac:dyDescent="0.2">
      <c r="A119" s="12" t="s">
        <v>101</v>
      </c>
      <c r="B119" s="17" t="s">
        <v>243</v>
      </c>
      <c r="C119" s="401"/>
      <c r="D119" s="325"/>
      <c r="E119" s="568"/>
      <c r="F119" s="568"/>
      <c r="G119" s="568"/>
      <c r="H119" s="327">
        <f t="shared" si="41"/>
        <v>0</v>
      </c>
      <c r="I119" s="627"/>
      <c r="J119" s="327"/>
      <c r="K119" s="327"/>
      <c r="L119" s="327"/>
    </row>
    <row r="120" spans="1:18" ht="12.2" customHeight="1" thickBot="1" x14ac:dyDescent="0.25">
      <c r="A120" s="13" t="s">
        <v>164</v>
      </c>
      <c r="B120" s="52" t="s">
        <v>244</v>
      </c>
      <c r="C120" s="401"/>
      <c r="D120" s="325"/>
      <c r="E120" s="568"/>
      <c r="F120" s="568"/>
      <c r="G120" s="568"/>
      <c r="H120" s="327">
        <f t="shared" si="41"/>
        <v>0</v>
      </c>
      <c r="I120" s="627"/>
      <c r="J120" s="327"/>
      <c r="K120" s="327"/>
      <c r="L120" s="327"/>
    </row>
    <row r="121" spans="1:18" ht="12.2" customHeight="1" thickBot="1" x14ac:dyDescent="0.25">
      <c r="A121" s="14" t="s">
        <v>16</v>
      </c>
      <c r="B121" s="56" t="s">
        <v>538</v>
      </c>
      <c r="C121" s="113">
        <f>+C122+C124+C123</f>
        <v>0</v>
      </c>
      <c r="D121" s="186">
        <f t="shared" ref="D121:K121" si="56">+D122+D124+D123</f>
        <v>0</v>
      </c>
      <c r="E121" s="566">
        <f t="shared" si="56"/>
        <v>0</v>
      </c>
      <c r="F121" s="566">
        <f t="shared" si="56"/>
        <v>0</v>
      </c>
      <c r="G121" s="566">
        <f t="shared" si="56"/>
        <v>0</v>
      </c>
      <c r="H121" s="28">
        <f t="shared" si="41"/>
        <v>0</v>
      </c>
      <c r="I121" s="628">
        <f t="shared" si="56"/>
        <v>0</v>
      </c>
      <c r="J121" s="28">
        <f t="shared" si="56"/>
        <v>0</v>
      </c>
      <c r="K121" s="28">
        <f t="shared" si="56"/>
        <v>0</v>
      </c>
      <c r="L121" s="28">
        <f t="shared" ref="L121" si="57">+L122+L124</f>
        <v>0</v>
      </c>
    </row>
    <row r="122" spans="1:18" ht="12.2" customHeight="1" x14ac:dyDescent="0.2">
      <c r="A122" s="12" t="s">
        <v>89</v>
      </c>
      <c r="B122" s="17" t="s">
        <v>391</v>
      </c>
      <c r="C122" s="401"/>
      <c r="D122" s="325"/>
      <c r="E122" s="568"/>
      <c r="F122" s="568"/>
      <c r="G122" s="568"/>
      <c r="H122" s="327">
        <f t="shared" si="41"/>
        <v>0</v>
      </c>
      <c r="I122" s="627"/>
      <c r="J122" s="327"/>
      <c r="K122" s="327"/>
      <c r="L122" s="327"/>
    </row>
    <row r="123" spans="1:18" ht="12.2" customHeight="1" x14ac:dyDescent="0.2">
      <c r="A123" s="12" t="s">
        <v>102</v>
      </c>
      <c r="B123" s="17" t="s">
        <v>392</v>
      </c>
      <c r="C123" s="401"/>
      <c r="D123" s="325"/>
      <c r="E123" s="568"/>
      <c r="F123" s="568"/>
      <c r="G123" s="568"/>
      <c r="H123" s="327">
        <f t="shared" si="41"/>
        <v>0</v>
      </c>
      <c r="I123" s="627"/>
      <c r="J123" s="327"/>
      <c r="K123" s="327"/>
      <c r="L123" s="327"/>
    </row>
    <row r="124" spans="1:18" ht="12.2" customHeight="1" thickBot="1" x14ac:dyDescent="0.25">
      <c r="A124" s="12" t="s">
        <v>103</v>
      </c>
      <c r="B124" s="717" t="s">
        <v>536</v>
      </c>
      <c r="C124" s="401"/>
      <c r="D124" s="325"/>
      <c r="E124" s="568"/>
      <c r="F124" s="568"/>
      <c r="G124" s="568"/>
      <c r="H124" s="327">
        <f t="shared" si="41"/>
        <v>0</v>
      </c>
      <c r="I124" s="627"/>
      <c r="J124" s="327"/>
      <c r="K124" s="327"/>
      <c r="L124" s="327"/>
    </row>
    <row r="125" spans="1:18" ht="12.2" customHeight="1" thickBot="1" x14ac:dyDescent="0.25">
      <c r="A125" s="14" t="s">
        <v>17</v>
      </c>
      <c r="B125" s="56" t="s">
        <v>353</v>
      </c>
      <c r="C125" s="1023">
        <f>+C126+C127+C128+C129+C130</f>
        <v>813447125</v>
      </c>
      <c r="D125" s="187">
        <f t="shared" ref="D125:K125" si="58">+D126+D127+D128+D129+D130</f>
        <v>596218325</v>
      </c>
      <c r="E125" s="532">
        <f t="shared" si="58"/>
        <v>812307449</v>
      </c>
      <c r="F125" s="532">
        <f t="shared" si="58"/>
        <v>-5018250</v>
      </c>
      <c r="G125" s="532">
        <f t="shared" si="58"/>
        <v>-5018250</v>
      </c>
      <c r="H125" s="74">
        <f t="shared" si="41"/>
        <v>216089124</v>
      </c>
      <c r="I125" s="638">
        <f t="shared" si="58"/>
        <v>0</v>
      </c>
      <c r="J125" s="74">
        <f t="shared" si="58"/>
        <v>0</v>
      </c>
      <c r="K125" s="74">
        <f t="shared" si="58"/>
        <v>0</v>
      </c>
      <c r="L125" s="74">
        <f t="shared" ref="L125" si="59">+L126+L127+L128+L129+L130</f>
        <v>0</v>
      </c>
      <c r="P125" s="79"/>
    </row>
    <row r="126" spans="1:18" x14ac:dyDescent="0.2">
      <c r="A126" s="12" t="s">
        <v>104</v>
      </c>
      <c r="B126" s="17" t="s">
        <v>240</v>
      </c>
      <c r="C126" s="401">
        <f>'28._Int össz_önk'!C46</f>
        <v>788437478</v>
      </c>
      <c r="D126" s="325">
        <f>'28._Int össz_önk'!D46</f>
        <v>571506112</v>
      </c>
      <c r="E126" s="401">
        <f>'28._Int össz_önk'!E46</f>
        <v>792037223</v>
      </c>
      <c r="F126" s="568">
        <f>'28._Int össz_önk'!F46</f>
        <v>-5018250</v>
      </c>
      <c r="G126" s="568">
        <f>'28._Int össz_önk'!G46</f>
        <v>-5018250</v>
      </c>
      <c r="H126" s="327">
        <f t="shared" si="41"/>
        <v>220531111</v>
      </c>
      <c r="I126" s="627">
        <f>'28._Int össz_önk'!I46</f>
        <v>0</v>
      </c>
      <c r="J126" s="327">
        <f>'28._Int össz_önk'!J46</f>
        <v>0</v>
      </c>
      <c r="K126" s="327">
        <f>'28._Int össz_önk'!K46</f>
        <v>0</v>
      </c>
      <c r="L126" s="327">
        <f>'28._Int össz_önk'!L46</f>
        <v>0</v>
      </c>
    </row>
    <row r="127" spans="1:18" ht="12.2" customHeight="1" x14ac:dyDescent="0.2">
      <c r="A127" s="12" t="s">
        <v>105</v>
      </c>
      <c r="B127" s="17" t="s">
        <v>241</v>
      </c>
      <c r="C127" s="401">
        <f>'28._Int össz_önk'!C47</f>
        <v>25009647</v>
      </c>
      <c r="D127" s="325">
        <f>'28._Int össz_önk'!D47</f>
        <v>24712213</v>
      </c>
      <c r="E127" s="401">
        <f>'28._Int össz_önk'!E47</f>
        <v>20270226</v>
      </c>
      <c r="F127" s="568">
        <f>'28._Int össz_önk'!F47</f>
        <v>0</v>
      </c>
      <c r="G127" s="568">
        <f>'28._Int össz_önk'!G47</f>
        <v>0</v>
      </c>
      <c r="H127" s="327">
        <f t="shared" si="41"/>
        <v>-4441987</v>
      </c>
      <c r="I127" s="627">
        <f>'28._Int össz_önk'!I47</f>
        <v>0</v>
      </c>
      <c r="J127" s="327">
        <f>'28._Int össz_önk'!J47</f>
        <v>0</v>
      </c>
      <c r="K127" s="327">
        <f>'28._Int össz_önk'!K47</f>
        <v>0</v>
      </c>
      <c r="L127" s="327">
        <f>'28._Int össz_önk'!L47</f>
        <v>0</v>
      </c>
    </row>
    <row r="128" spans="1:18" s="31" customFormat="1" ht="12.2" customHeight="1" x14ac:dyDescent="0.2">
      <c r="A128" s="12" t="s">
        <v>205</v>
      </c>
      <c r="B128" s="17" t="s">
        <v>398</v>
      </c>
      <c r="C128" s="401"/>
      <c r="D128" s="325"/>
      <c r="E128" s="568"/>
      <c r="F128" s="568"/>
      <c r="G128" s="568"/>
      <c r="H128" s="327">
        <f t="shared" si="41"/>
        <v>0</v>
      </c>
      <c r="I128" s="627"/>
      <c r="J128" s="327"/>
      <c r="K128" s="327"/>
      <c r="L128" s="327"/>
    </row>
    <row r="129" spans="1:14" s="31" customFormat="1" ht="12.2" customHeight="1" x14ac:dyDescent="0.2">
      <c r="A129" s="13" t="s">
        <v>206</v>
      </c>
      <c r="B129" s="52" t="s">
        <v>229</v>
      </c>
      <c r="C129" s="401"/>
      <c r="D129" s="325"/>
      <c r="E129" s="568"/>
      <c r="F129" s="568"/>
      <c r="G129" s="568"/>
      <c r="H129" s="327">
        <f t="shared" si="41"/>
        <v>0</v>
      </c>
      <c r="I129" s="627"/>
      <c r="J129" s="327"/>
      <c r="K129" s="327"/>
      <c r="L129" s="327"/>
    </row>
    <row r="130" spans="1:14" s="31" customFormat="1" ht="12.2" customHeight="1" thickBot="1" x14ac:dyDescent="0.25">
      <c r="A130" s="172" t="s">
        <v>208</v>
      </c>
      <c r="B130" s="173" t="s">
        <v>399</v>
      </c>
      <c r="C130" s="1081"/>
      <c r="D130" s="664"/>
      <c r="E130" s="578"/>
      <c r="F130" s="578"/>
      <c r="G130" s="578"/>
      <c r="H130" s="528">
        <f t="shared" si="41"/>
        <v>0</v>
      </c>
      <c r="I130" s="672"/>
      <c r="J130" s="528"/>
      <c r="K130" s="528"/>
      <c r="L130" s="528"/>
      <c r="N130" s="31" t="s">
        <v>385</v>
      </c>
    </row>
    <row r="131" spans="1:14" ht="12.2" customHeight="1" thickBot="1" x14ac:dyDescent="0.25">
      <c r="A131" s="14" t="s">
        <v>18</v>
      </c>
      <c r="B131" s="56" t="s">
        <v>313</v>
      </c>
      <c r="C131" s="1024">
        <f>+C117+C121+C125</f>
        <v>813447125</v>
      </c>
      <c r="D131" s="349">
        <f t="shared" ref="D131:K131" si="60">+D117+D121+D125</f>
        <v>596218325</v>
      </c>
      <c r="E131" s="579">
        <f t="shared" si="60"/>
        <v>812307449</v>
      </c>
      <c r="F131" s="579">
        <f t="shared" si="60"/>
        <v>-5018250</v>
      </c>
      <c r="G131" s="579">
        <f t="shared" si="60"/>
        <v>-5018250</v>
      </c>
      <c r="H131" s="560">
        <f t="shared" si="41"/>
        <v>216089124</v>
      </c>
      <c r="I131" s="673">
        <f t="shared" si="60"/>
        <v>0</v>
      </c>
      <c r="J131" s="560">
        <f t="shared" si="60"/>
        <v>0</v>
      </c>
      <c r="K131" s="560">
        <f t="shared" si="60"/>
        <v>0</v>
      </c>
      <c r="L131" s="560">
        <f t="shared" ref="L131" si="61">+L117+L121+L125</f>
        <v>0</v>
      </c>
    </row>
    <row r="132" spans="1:14" s="562" customFormat="1" ht="15" customHeight="1" thickBot="1" x14ac:dyDescent="0.25">
      <c r="A132" s="80" t="s">
        <v>19</v>
      </c>
      <c r="B132" s="561" t="s">
        <v>314</v>
      </c>
      <c r="C132" s="1024">
        <f>+C116+C131</f>
        <v>2285880078</v>
      </c>
      <c r="D132" s="349">
        <f t="shared" ref="D132:K132" si="62">+D116+D131</f>
        <v>2078182570</v>
      </c>
      <c r="E132" s="579">
        <f t="shared" si="62"/>
        <v>2471094426</v>
      </c>
      <c r="F132" s="579">
        <f t="shared" si="62"/>
        <v>-5018250</v>
      </c>
      <c r="G132" s="579">
        <f t="shared" si="62"/>
        <v>-5018250</v>
      </c>
      <c r="H132" s="560">
        <f>+E132-D132</f>
        <v>392911856</v>
      </c>
      <c r="I132" s="673">
        <f t="shared" si="62"/>
        <v>0</v>
      </c>
      <c r="J132" s="560">
        <f t="shared" si="62"/>
        <v>0</v>
      </c>
      <c r="K132" s="560">
        <f t="shared" si="62"/>
        <v>0</v>
      </c>
      <c r="L132" s="560">
        <f t="shared" ref="L132" si="63">+L116+L131</f>
        <v>0</v>
      </c>
    </row>
    <row r="133" spans="1:14" ht="13.5" thickBot="1" x14ac:dyDescent="0.25">
      <c r="A133" s="529"/>
      <c r="B133" s="530"/>
      <c r="C133" s="531"/>
      <c r="D133" s="531"/>
      <c r="E133" s="531"/>
      <c r="F133" s="531"/>
      <c r="G133" s="531"/>
      <c r="H133" s="531"/>
      <c r="I133" s="531"/>
      <c r="J133" s="531"/>
      <c r="K133" s="531"/>
      <c r="L133" s="531"/>
    </row>
    <row r="134" spans="1:14" ht="15" customHeight="1" thickBot="1" x14ac:dyDescent="0.25">
      <c r="A134" s="69" t="s">
        <v>292</v>
      </c>
      <c r="B134" s="70"/>
      <c r="C134" s="136"/>
      <c r="D134" s="635"/>
      <c r="E134" s="136"/>
      <c r="F134" s="581"/>
      <c r="G134" s="136"/>
      <c r="H134" s="611">
        <f>+E134-D134</f>
        <v>0</v>
      </c>
      <c r="I134" s="611"/>
      <c r="J134" s="611"/>
      <c r="K134" s="611"/>
      <c r="L134" s="611"/>
    </row>
    <row r="135" spans="1:14" ht="14.25" hidden="1" customHeight="1" thickBot="1" x14ac:dyDescent="0.25">
      <c r="A135" s="69" t="s">
        <v>291</v>
      </c>
      <c r="B135" s="70"/>
      <c r="C135" s="136"/>
      <c r="D135" s="635"/>
      <c r="E135" s="136"/>
      <c r="F135" s="581"/>
      <c r="G135" s="136"/>
      <c r="H135" s="611">
        <f t="shared" ref="H135" si="64">+D135-C135</f>
        <v>0</v>
      </c>
      <c r="I135" s="611"/>
      <c r="J135" s="611"/>
      <c r="K135" s="611"/>
      <c r="L135" s="611"/>
    </row>
    <row r="136" spans="1:14" x14ac:dyDescent="0.2">
      <c r="C136" s="427"/>
      <c r="D136" s="27"/>
      <c r="E136" s="27"/>
      <c r="F136" s="27"/>
      <c r="G136" s="27"/>
      <c r="H136" s="27"/>
      <c r="I136" s="27"/>
      <c r="J136" s="27"/>
      <c r="K136" s="27"/>
      <c r="L136" s="27"/>
    </row>
  </sheetData>
  <sheetProtection formatCells="0"/>
  <mergeCells count="8">
    <mergeCell ref="M114:R114"/>
    <mergeCell ref="A86:H86"/>
    <mergeCell ref="A1:H1"/>
    <mergeCell ref="A2:H2"/>
    <mergeCell ref="C5:H5"/>
    <mergeCell ref="C6:H6"/>
    <mergeCell ref="A7:H7"/>
    <mergeCell ref="A10:H10"/>
  </mergeCells>
  <printOptions horizontalCentered="1"/>
  <pageMargins left="0.39370078740157483" right="0.39370078740157483" top="0.59055118110236227" bottom="0.39370078740157483" header="0.78740157480314965" footer="0.78740157480314965"/>
  <pageSetup paperSize="9" scale="75" orientation="portrait" r:id="rId1"/>
  <headerFooter alignWithMargins="0"/>
  <rowBreaks count="2" manualBreakCount="2">
    <brk id="67" max="7" man="1"/>
    <brk id="85" max="7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136"/>
  <sheetViews>
    <sheetView view="pageBreakPreview" zoomScale="124" zoomScaleNormal="124" zoomScaleSheetLayoutView="124" workbookViewId="0">
      <selection activeCell="A2" sqref="A2:H2"/>
    </sheetView>
  </sheetViews>
  <sheetFormatPr defaultRowHeight="12.75" x14ac:dyDescent="0.2"/>
  <cols>
    <col min="1" max="1" width="13.1640625" style="985" customWidth="1"/>
    <col min="2" max="2" width="66.83203125" style="82" customWidth="1"/>
    <col min="3" max="3" width="15.33203125" style="83" customWidth="1"/>
    <col min="4" max="4" width="16.5" style="83" customWidth="1"/>
    <col min="5" max="5" width="15.83203125" style="83" customWidth="1"/>
    <col min="6" max="7" width="16.33203125" style="83" hidden="1" customWidth="1"/>
    <col min="8" max="8" width="16.33203125" style="83" customWidth="1"/>
    <col min="9" max="12" width="15" style="83" hidden="1" customWidth="1"/>
    <col min="13" max="14" width="9.33203125" style="25"/>
    <col min="15" max="15" width="12.6640625" style="25" bestFit="1" customWidth="1"/>
    <col min="16" max="261" width="9.33203125" style="25"/>
    <col min="262" max="262" width="19.5" style="25" customWidth="1"/>
    <col min="263" max="263" width="71.33203125" style="25" customWidth="1"/>
    <col min="264" max="264" width="21.5" style="25" customWidth="1"/>
    <col min="265" max="265" width="9.33203125" style="25" customWidth="1"/>
    <col min="266" max="517" width="9.33203125" style="25"/>
    <col min="518" max="518" width="19.5" style="25" customWidth="1"/>
    <col min="519" max="519" width="71.33203125" style="25" customWidth="1"/>
    <col min="520" max="520" width="21.5" style="25" customWidth="1"/>
    <col min="521" max="521" width="9.33203125" style="25" customWidth="1"/>
    <col min="522" max="773" width="9.33203125" style="25"/>
    <col min="774" max="774" width="19.5" style="25" customWidth="1"/>
    <col min="775" max="775" width="71.33203125" style="25" customWidth="1"/>
    <col min="776" max="776" width="21.5" style="25" customWidth="1"/>
    <col min="777" max="777" width="9.33203125" style="25" customWidth="1"/>
    <col min="778" max="1029" width="9.33203125" style="25"/>
    <col min="1030" max="1030" width="19.5" style="25" customWidth="1"/>
    <col min="1031" max="1031" width="71.33203125" style="25" customWidth="1"/>
    <col min="1032" max="1032" width="21.5" style="25" customWidth="1"/>
    <col min="1033" max="1033" width="9.33203125" style="25" customWidth="1"/>
    <col min="1034" max="1285" width="9.33203125" style="25"/>
    <col min="1286" max="1286" width="19.5" style="25" customWidth="1"/>
    <col min="1287" max="1287" width="71.33203125" style="25" customWidth="1"/>
    <col min="1288" max="1288" width="21.5" style="25" customWidth="1"/>
    <col min="1289" max="1289" width="9.33203125" style="25" customWidth="1"/>
    <col min="1290" max="1541" width="9.33203125" style="25"/>
    <col min="1542" max="1542" width="19.5" style="25" customWidth="1"/>
    <col min="1543" max="1543" width="71.33203125" style="25" customWidth="1"/>
    <col min="1544" max="1544" width="21.5" style="25" customWidth="1"/>
    <col min="1545" max="1545" width="9.33203125" style="25" customWidth="1"/>
    <col min="1546" max="1797" width="9.33203125" style="25"/>
    <col min="1798" max="1798" width="19.5" style="25" customWidth="1"/>
    <col min="1799" max="1799" width="71.33203125" style="25" customWidth="1"/>
    <col min="1800" max="1800" width="21.5" style="25" customWidth="1"/>
    <col min="1801" max="1801" width="9.33203125" style="25" customWidth="1"/>
    <col min="1802" max="2053" width="9.33203125" style="25"/>
    <col min="2054" max="2054" width="19.5" style="25" customWidth="1"/>
    <col min="2055" max="2055" width="71.33203125" style="25" customWidth="1"/>
    <col min="2056" max="2056" width="21.5" style="25" customWidth="1"/>
    <col min="2057" max="2057" width="9.33203125" style="25" customWidth="1"/>
    <col min="2058" max="2309" width="9.33203125" style="25"/>
    <col min="2310" max="2310" width="19.5" style="25" customWidth="1"/>
    <col min="2311" max="2311" width="71.33203125" style="25" customWidth="1"/>
    <col min="2312" max="2312" width="21.5" style="25" customWidth="1"/>
    <col min="2313" max="2313" width="9.33203125" style="25" customWidth="1"/>
    <col min="2314" max="2565" width="9.33203125" style="25"/>
    <col min="2566" max="2566" width="19.5" style="25" customWidth="1"/>
    <col min="2567" max="2567" width="71.33203125" style="25" customWidth="1"/>
    <col min="2568" max="2568" width="21.5" style="25" customWidth="1"/>
    <col min="2569" max="2569" width="9.33203125" style="25" customWidth="1"/>
    <col min="2570" max="2821" width="9.33203125" style="25"/>
    <col min="2822" max="2822" width="19.5" style="25" customWidth="1"/>
    <col min="2823" max="2823" width="71.33203125" style="25" customWidth="1"/>
    <col min="2824" max="2824" width="21.5" style="25" customWidth="1"/>
    <col min="2825" max="2825" width="9.33203125" style="25" customWidth="1"/>
    <col min="2826" max="3077" width="9.33203125" style="25"/>
    <col min="3078" max="3078" width="19.5" style="25" customWidth="1"/>
    <col min="3079" max="3079" width="71.33203125" style="25" customWidth="1"/>
    <col min="3080" max="3080" width="21.5" style="25" customWidth="1"/>
    <col min="3081" max="3081" width="9.33203125" style="25" customWidth="1"/>
    <col min="3082" max="3333" width="9.33203125" style="25"/>
    <col min="3334" max="3334" width="19.5" style="25" customWidth="1"/>
    <col min="3335" max="3335" width="71.33203125" style="25" customWidth="1"/>
    <col min="3336" max="3336" width="21.5" style="25" customWidth="1"/>
    <col min="3337" max="3337" width="9.33203125" style="25" customWidth="1"/>
    <col min="3338" max="3589" width="9.33203125" style="25"/>
    <col min="3590" max="3590" width="19.5" style="25" customWidth="1"/>
    <col min="3591" max="3591" width="71.33203125" style="25" customWidth="1"/>
    <col min="3592" max="3592" width="21.5" style="25" customWidth="1"/>
    <col min="3593" max="3593" width="9.33203125" style="25" customWidth="1"/>
    <col min="3594" max="3845" width="9.33203125" style="25"/>
    <col min="3846" max="3846" width="19.5" style="25" customWidth="1"/>
    <col min="3847" max="3847" width="71.33203125" style="25" customWidth="1"/>
    <col min="3848" max="3848" width="21.5" style="25" customWidth="1"/>
    <col min="3849" max="3849" width="9.33203125" style="25" customWidth="1"/>
    <col min="3850" max="4101" width="9.33203125" style="25"/>
    <col min="4102" max="4102" width="19.5" style="25" customWidth="1"/>
    <col min="4103" max="4103" width="71.33203125" style="25" customWidth="1"/>
    <col min="4104" max="4104" width="21.5" style="25" customWidth="1"/>
    <col min="4105" max="4105" width="9.33203125" style="25" customWidth="1"/>
    <col min="4106" max="4357" width="9.33203125" style="25"/>
    <col min="4358" max="4358" width="19.5" style="25" customWidth="1"/>
    <col min="4359" max="4359" width="71.33203125" style="25" customWidth="1"/>
    <col min="4360" max="4360" width="21.5" style="25" customWidth="1"/>
    <col min="4361" max="4361" width="9.33203125" style="25" customWidth="1"/>
    <col min="4362" max="4613" width="9.33203125" style="25"/>
    <col min="4614" max="4614" width="19.5" style="25" customWidth="1"/>
    <col min="4615" max="4615" width="71.33203125" style="25" customWidth="1"/>
    <col min="4616" max="4616" width="21.5" style="25" customWidth="1"/>
    <col min="4617" max="4617" width="9.33203125" style="25" customWidth="1"/>
    <col min="4618" max="4869" width="9.33203125" style="25"/>
    <col min="4870" max="4870" width="19.5" style="25" customWidth="1"/>
    <col min="4871" max="4871" width="71.33203125" style="25" customWidth="1"/>
    <col min="4872" max="4872" width="21.5" style="25" customWidth="1"/>
    <col min="4873" max="4873" width="9.33203125" style="25" customWidth="1"/>
    <col min="4874" max="5125" width="9.33203125" style="25"/>
    <col min="5126" max="5126" width="19.5" style="25" customWidth="1"/>
    <col min="5127" max="5127" width="71.33203125" style="25" customWidth="1"/>
    <col min="5128" max="5128" width="21.5" style="25" customWidth="1"/>
    <col min="5129" max="5129" width="9.33203125" style="25" customWidth="1"/>
    <col min="5130" max="5381" width="9.33203125" style="25"/>
    <col min="5382" max="5382" width="19.5" style="25" customWidth="1"/>
    <col min="5383" max="5383" width="71.33203125" style="25" customWidth="1"/>
    <col min="5384" max="5384" width="21.5" style="25" customWidth="1"/>
    <col min="5385" max="5385" width="9.33203125" style="25" customWidth="1"/>
    <col min="5386" max="5637" width="9.33203125" style="25"/>
    <col min="5638" max="5638" width="19.5" style="25" customWidth="1"/>
    <col min="5639" max="5639" width="71.33203125" style="25" customWidth="1"/>
    <col min="5640" max="5640" width="21.5" style="25" customWidth="1"/>
    <col min="5641" max="5641" width="9.33203125" style="25" customWidth="1"/>
    <col min="5642" max="5893" width="9.33203125" style="25"/>
    <col min="5894" max="5894" width="19.5" style="25" customWidth="1"/>
    <col min="5895" max="5895" width="71.33203125" style="25" customWidth="1"/>
    <col min="5896" max="5896" width="21.5" style="25" customWidth="1"/>
    <col min="5897" max="5897" width="9.33203125" style="25" customWidth="1"/>
    <col min="5898" max="6149" width="9.33203125" style="25"/>
    <col min="6150" max="6150" width="19.5" style="25" customWidth="1"/>
    <col min="6151" max="6151" width="71.33203125" style="25" customWidth="1"/>
    <col min="6152" max="6152" width="21.5" style="25" customWidth="1"/>
    <col min="6153" max="6153" width="9.33203125" style="25" customWidth="1"/>
    <col min="6154" max="6405" width="9.33203125" style="25"/>
    <col min="6406" max="6406" width="19.5" style="25" customWidth="1"/>
    <col min="6407" max="6407" width="71.33203125" style="25" customWidth="1"/>
    <col min="6408" max="6408" width="21.5" style="25" customWidth="1"/>
    <col min="6409" max="6409" width="9.33203125" style="25" customWidth="1"/>
    <col min="6410" max="6661" width="9.33203125" style="25"/>
    <col min="6662" max="6662" width="19.5" style="25" customWidth="1"/>
    <col min="6663" max="6663" width="71.33203125" style="25" customWidth="1"/>
    <col min="6664" max="6664" width="21.5" style="25" customWidth="1"/>
    <col min="6665" max="6665" width="9.33203125" style="25" customWidth="1"/>
    <col min="6666" max="6917" width="9.33203125" style="25"/>
    <col min="6918" max="6918" width="19.5" style="25" customWidth="1"/>
    <col min="6919" max="6919" width="71.33203125" style="25" customWidth="1"/>
    <col min="6920" max="6920" width="21.5" style="25" customWidth="1"/>
    <col min="6921" max="6921" width="9.33203125" style="25" customWidth="1"/>
    <col min="6922" max="7173" width="9.33203125" style="25"/>
    <col min="7174" max="7174" width="19.5" style="25" customWidth="1"/>
    <col min="7175" max="7175" width="71.33203125" style="25" customWidth="1"/>
    <col min="7176" max="7176" width="21.5" style="25" customWidth="1"/>
    <col min="7177" max="7177" width="9.33203125" style="25" customWidth="1"/>
    <col min="7178" max="7429" width="9.33203125" style="25"/>
    <col min="7430" max="7430" width="19.5" style="25" customWidth="1"/>
    <col min="7431" max="7431" width="71.33203125" style="25" customWidth="1"/>
    <col min="7432" max="7432" width="21.5" style="25" customWidth="1"/>
    <col min="7433" max="7433" width="9.33203125" style="25" customWidth="1"/>
    <col min="7434" max="7685" width="9.33203125" style="25"/>
    <col min="7686" max="7686" width="19.5" style="25" customWidth="1"/>
    <col min="7687" max="7687" width="71.33203125" style="25" customWidth="1"/>
    <col min="7688" max="7688" width="21.5" style="25" customWidth="1"/>
    <col min="7689" max="7689" width="9.33203125" style="25" customWidth="1"/>
    <col min="7690" max="7941" width="9.33203125" style="25"/>
    <col min="7942" max="7942" width="19.5" style="25" customWidth="1"/>
    <col min="7943" max="7943" width="71.33203125" style="25" customWidth="1"/>
    <col min="7944" max="7944" width="21.5" style="25" customWidth="1"/>
    <col min="7945" max="7945" width="9.33203125" style="25" customWidth="1"/>
    <col min="7946" max="8197" width="9.33203125" style="25"/>
    <col min="8198" max="8198" width="19.5" style="25" customWidth="1"/>
    <col min="8199" max="8199" width="71.33203125" style="25" customWidth="1"/>
    <col min="8200" max="8200" width="21.5" style="25" customWidth="1"/>
    <col min="8201" max="8201" width="9.33203125" style="25" customWidth="1"/>
    <col min="8202" max="8453" width="9.33203125" style="25"/>
    <col min="8454" max="8454" width="19.5" style="25" customWidth="1"/>
    <col min="8455" max="8455" width="71.33203125" style="25" customWidth="1"/>
    <col min="8456" max="8456" width="21.5" style="25" customWidth="1"/>
    <col min="8457" max="8457" width="9.33203125" style="25" customWidth="1"/>
    <col min="8458" max="8709" width="9.33203125" style="25"/>
    <col min="8710" max="8710" width="19.5" style="25" customWidth="1"/>
    <col min="8711" max="8711" width="71.33203125" style="25" customWidth="1"/>
    <col min="8712" max="8712" width="21.5" style="25" customWidth="1"/>
    <col min="8713" max="8713" width="9.33203125" style="25" customWidth="1"/>
    <col min="8714" max="8965" width="9.33203125" style="25"/>
    <col min="8966" max="8966" width="19.5" style="25" customWidth="1"/>
    <col min="8967" max="8967" width="71.33203125" style="25" customWidth="1"/>
    <col min="8968" max="8968" width="21.5" style="25" customWidth="1"/>
    <col min="8969" max="8969" width="9.33203125" style="25" customWidth="1"/>
    <col min="8970" max="9221" width="9.33203125" style="25"/>
    <col min="9222" max="9222" width="19.5" style="25" customWidth="1"/>
    <col min="9223" max="9223" width="71.33203125" style="25" customWidth="1"/>
    <col min="9224" max="9224" width="21.5" style="25" customWidth="1"/>
    <col min="9225" max="9225" width="9.33203125" style="25" customWidth="1"/>
    <col min="9226" max="9477" width="9.33203125" style="25"/>
    <col min="9478" max="9478" width="19.5" style="25" customWidth="1"/>
    <col min="9479" max="9479" width="71.33203125" style="25" customWidth="1"/>
    <col min="9480" max="9480" width="21.5" style="25" customWidth="1"/>
    <col min="9481" max="9481" width="9.33203125" style="25" customWidth="1"/>
    <col min="9482" max="9733" width="9.33203125" style="25"/>
    <col min="9734" max="9734" width="19.5" style="25" customWidth="1"/>
    <col min="9735" max="9735" width="71.33203125" style="25" customWidth="1"/>
    <col min="9736" max="9736" width="21.5" style="25" customWidth="1"/>
    <col min="9737" max="9737" width="9.33203125" style="25" customWidth="1"/>
    <col min="9738" max="9989" width="9.33203125" style="25"/>
    <col min="9990" max="9990" width="19.5" style="25" customWidth="1"/>
    <col min="9991" max="9991" width="71.33203125" style="25" customWidth="1"/>
    <col min="9992" max="9992" width="21.5" style="25" customWidth="1"/>
    <col min="9993" max="9993" width="9.33203125" style="25" customWidth="1"/>
    <col min="9994" max="10245" width="9.33203125" style="25"/>
    <col min="10246" max="10246" width="19.5" style="25" customWidth="1"/>
    <col min="10247" max="10247" width="71.33203125" style="25" customWidth="1"/>
    <col min="10248" max="10248" width="21.5" style="25" customWidth="1"/>
    <col min="10249" max="10249" width="9.33203125" style="25" customWidth="1"/>
    <col min="10250" max="10501" width="9.33203125" style="25"/>
    <col min="10502" max="10502" width="19.5" style="25" customWidth="1"/>
    <col min="10503" max="10503" width="71.33203125" style="25" customWidth="1"/>
    <col min="10504" max="10504" width="21.5" style="25" customWidth="1"/>
    <col min="10505" max="10505" width="9.33203125" style="25" customWidth="1"/>
    <col min="10506" max="10757" width="9.33203125" style="25"/>
    <col min="10758" max="10758" width="19.5" style="25" customWidth="1"/>
    <col min="10759" max="10759" width="71.33203125" style="25" customWidth="1"/>
    <col min="10760" max="10760" width="21.5" style="25" customWidth="1"/>
    <col min="10761" max="10761" width="9.33203125" style="25" customWidth="1"/>
    <col min="10762" max="11013" width="9.33203125" style="25"/>
    <col min="11014" max="11014" width="19.5" style="25" customWidth="1"/>
    <col min="11015" max="11015" width="71.33203125" style="25" customWidth="1"/>
    <col min="11016" max="11016" width="21.5" style="25" customWidth="1"/>
    <col min="11017" max="11017" width="9.33203125" style="25" customWidth="1"/>
    <col min="11018" max="11269" width="9.33203125" style="25"/>
    <col min="11270" max="11270" width="19.5" style="25" customWidth="1"/>
    <col min="11271" max="11271" width="71.33203125" style="25" customWidth="1"/>
    <col min="11272" max="11272" width="21.5" style="25" customWidth="1"/>
    <col min="11273" max="11273" width="9.33203125" style="25" customWidth="1"/>
    <col min="11274" max="11525" width="9.33203125" style="25"/>
    <col min="11526" max="11526" width="19.5" style="25" customWidth="1"/>
    <col min="11527" max="11527" width="71.33203125" style="25" customWidth="1"/>
    <col min="11528" max="11528" width="21.5" style="25" customWidth="1"/>
    <col min="11529" max="11529" width="9.33203125" style="25" customWidth="1"/>
    <col min="11530" max="11781" width="9.33203125" style="25"/>
    <col min="11782" max="11782" width="19.5" style="25" customWidth="1"/>
    <col min="11783" max="11783" width="71.33203125" style="25" customWidth="1"/>
    <col min="11784" max="11784" width="21.5" style="25" customWidth="1"/>
    <col min="11785" max="11785" width="9.33203125" style="25" customWidth="1"/>
    <col min="11786" max="12037" width="9.33203125" style="25"/>
    <col min="12038" max="12038" width="19.5" style="25" customWidth="1"/>
    <col min="12039" max="12039" width="71.33203125" style="25" customWidth="1"/>
    <col min="12040" max="12040" width="21.5" style="25" customWidth="1"/>
    <col min="12041" max="12041" width="9.33203125" style="25" customWidth="1"/>
    <col min="12042" max="12293" width="9.33203125" style="25"/>
    <col min="12294" max="12294" width="19.5" style="25" customWidth="1"/>
    <col min="12295" max="12295" width="71.33203125" style="25" customWidth="1"/>
    <col min="12296" max="12296" width="21.5" style="25" customWidth="1"/>
    <col min="12297" max="12297" width="9.33203125" style="25" customWidth="1"/>
    <col min="12298" max="12549" width="9.33203125" style="25"/>
    <col min="12550" max="12550" width="19.5" style="25" customWidth="1"/>
    <col min="12551" max="12551" width="71.33203125" style="25" customWidth="1"/>
    <col min="12552" max="12552" width="21.5" style="25" customWidth="1"/>
    <col min="12553" max="12553" width="9.33203125" style="25" customWidth="1"/>
    <col min="12554" max="12805" width="9.33203125" style="25"/>
    <col min="12806" max="12806" width="19.5" style="25" customWidth="1"/>
    <col min="12807" max="12807" width="71.33203125" style="25" customWidth="1"/>
    <col min="12808" max="12808" width="21.5" style="25" customWidth="1"/>
    <col min="12809" max="12809" width="9.33203125" style="25" customWidth="1"/>
    <col min="12810" max="13061" width="9.33203125" style="25"/>
    <col min="13062" max="13062" width="19.5" style="25" customWidth="1"/>
    <col min="13063" max="13063" width="71.33203125" style="25" customWidth="1"/>
    <col min="13064" max="13064" width="21.5" style="25" customWidth="1"/>
    <col min="13065" max="13065" width="9.33203125" style="25" customWidth="1"/>
    <col min="13066" max="13317" width="9.33203125" style="25"/>
    <col min="13318" max="13318" width="19.5" style="25" customWidth="1"/>
    <col min="13319" max="13319" width="71.33203125" style="25" customWidth="1"/>
    <col min="13320" max="13320" width="21.5" style="25" customWidth="1"/>
    <col min="13321" max="13321" width="9.33203125" style="25" customWidth="1"/>
    <col min="13322" max="13573" width="9.33203125" style="25"/>
    <col min="13574" max="13574" width="19.5" style="25" customWidth="1"/>
    <col min="13575" max="13575" width="71.33203125" style="25" customWidth="1"/>
    <col min="13576" max="13576" width="21.5" style="25" customWidth="1"/>
    <col min="13577" max="13577" width="9.33203125" style="25" customWidth="1"/>
    <col min="13578" max="13829" width="9.33203125" style="25"/>
    <col min="13830" max="13830" width="19.5" style="25" customWidth="1"/>
    <col min="13831" max="13831" width="71.33203125" style="25" customWidth="1"/>
    <col min="13832" max="13832" width="21.5" style="25" customWidth="1"/>
    <col min="13833" max="13833" width="9.33203125" style="25" customWidth="1"/>
    <col min="13834" max="14085" width="9.33203125" style="25"/>
    <col min="14086" max="14086" width="19.5" style="25" customWidth="1"/>
    <col min="14087" max="14087" width="71.33203125" style="25" customWidth="1"/>
    <col min="14088" max="14088" width="21.5" style="25" customWidth="1"/>
    <col min="14089" max="14089" width="9.33203125" style="25" customWidth="1"/>
    <col min="14090" max="14341" width="9.33203125" style="25"/>
    <col min="14342" max="14342" width="19.5" style="25" customWidth="1"/>
    <col min="14343" max="14343" width="71.33203125" style="25" customWidth="1"/>
    <col min="14344" max="14344" width="21.5" style="25" customWidth="1"/>
    <col min="14345" max="14345" width="9.33203125" style="25" customWidth="1"/>
    <col min="14346" max="14597" width="9.33203125" style="25"/>
    <col min="14598" max="14598" width="19.5" style="25" customWidth="1"/>
    <col min="14599" max="14599" width="71.33203125" style="25" customWidth="1"/>
    <col min="14600" max="14600" width="21.5" style="25" customWidth="1"/>
    <col min="14601" max="14601" width="9.33203125" style="25" customWidth="1"/>
    <col min="14602" max="14853" width="9.33203125" style="25"/>
    <col min="14854" max="14854" width="19.5" style="25" customWidth="1"/>
    <col min="14855" max="14855" width="71.33203125" style="25" customWidth="1"/>
    <col min="14856" max="14856" width="21.5" style="25" customWidth="1"/>
    <col min="14857" max="14857" width="9.33203125" style="25" customWidth="1"/>
    <col min="14858" max="15109" width="9.33203125" style="25"/>
    <col min="15110" max="15110" width="19.5" style="25" customWidth="1"/>
    <col min="15111" max="15111" width="71.33203125" style="25" customWidth="1"/>
    <col min="15112" max="15112" width="21.5" style="25" customWidth="1"/>
    <col min="15113" max="15113" width="9.33203125" style="25" customWidth="1"/>
    <col min="15114" max="15365" width="9.33203125" style="25"/>
    <col min="15366" max="15366" width="19.5" style="25" customWidth="1"/>
    <col min="15367" max="15367" width="71.33203125" style="25" customWidth="1"/>
    <col min="15368" max="15368" width="21.5" style="25" customWidth="1"/>
    <col min="15369" max="15369" width="9.33203125" style="25" customWidth="1"/>
    <col min="15370" max="15621" width="9.33203125" style="25"/>
    <col min="15622" max="15622" width="19.5" style="25" customWidth="1"/>
    <col min="15623" max="15623" width="71.33203125" style="25" customWidth="1"/>
    <col min="15624" max="15624" width="21.5" style="25" customWidth="1"/>
    <col min="15625" max="15625" width="9.33203125" style="25" customWidth="1"/>
    <col min="15626" max="15877" width="9.33203125" style="25"/>
    <col min="15878" max="15878" width="19.5" style="25" customWidth="1"/>
    <col min="15879" max="15879" width="71.33203125" style="25" customWidth="1"/>
    <col min="15880" max="15880" width="21.5" style="25" customWidth="1"/>
    <col min="15881" max="15881" width="9.33203125" style="25" customWidth="1"/>
    <col min="15882" max="16133" width="9.33203125" style="25"/>
    <col min="16134" max="16134" width="19.5" style="25" customWidth="1"/>
    <col min="16135" max="16135" width="71.33203125" style="25" customWidth="1"/>
    <col min="16136" max="16136" width="21.5" style="25" customWidth="1"/>
    <col min="16137" max="16137" width="9.33203125" style="25" customWidth="1"/>
    <col min="16138" max="16384" width="9.33203125" style="25"/>
  </cols>
  <sheetData>
    <row r="1" spans="1:12" x14ac:dyDescent="0.2">
      <c r="A1" s="1774" t="s">
        <v>804</v>
      </c>
      <c r="B1" s="1774"/>
      <c r="C1" s="1774"/>
      <c r="D1" s="1774"/>
      <c r="E1" s="1774"/>
      <c r="F1" s="1774"/>
      <c r="G1" s="1774"/>
      <c r="H1" s="1774"/>
      <c r="I1" s="25"/>
      <c r="J1" s="25"/>
      <c r="K1" s="25"/>
      <c r="L1" s="25"/>
    </row>
    <row r="2" spans="1:12" x14ac:dyDescent="0.2">
      <c r="A2" s="1774" t="s">
        <v>725</v>
      </c>
      <c r="B2" s="1774"/>
      <c r="C2" s="1774"/>
      <c r="D2" s="1774"/>
      <c r="E2" s="1774"/>
      <c r="F2" s="1774"/>
      <c r="G2" s="1774"/>
      <c r="H2" s="1774"/>
      <c r="I2" s="25"/>
      <c r="J2" s="25"/>
      <c r="K2" s="25"/>
      <c r="L2" s="25"/>
    </row>
    <row r="3" spans="1:12" x14ac:dyDescent="0.2">
      <c r="C3" s="982"/>
      <c r="D3" s="982"/>
      <c r="E3" s="982"/>
      <c r="F3" s="982"/>
      <c r="G3" s="982"/>
      <c r="H3" s="982"/>
      <c r="I3" s="982"/>
      <c r="J3" s="982"/>
      <c r="K3" s="982"/>
      <c r="L3" s="982"/>
    </row>
    <row r="4" spans="1:12" s="24" customFormat="1" ht="16.5" customHeight="1" thickBot="1" x14ac:dyDescent="0.25">
      <c r="A4" s="169"/>
      <c r="B4" s="170"/>
      <c r="C4" s="982"/>
      <c r="D4" s="982"/>
      <c r="E4" s="982"/>
      <c r="F4" s="982"/>
      <c r="G4" s="982"/>
      <c r="H4" s="982"/>
      <c r="I4" s="982"/>
      <c r="J4" s="982"/>
      <c r="K4" s="982"/>
      <c r="L4" s="982"/>
    </row>
    <row r="5" spans="1:12" s="38" customFormat="1" ht="21.2" customHeight="1" x14ac:dyDescent="0.2">
      <c r="A5" s="36" t="s">
        <v>84</v>
      </c>
      <c r="B5" s="37" t="s">
        <v>9</v>
      </c>
      <c r="C5" s="1913" t="s">
        <v>141</v>
      </c>
      <c r="D5" s="1914"/>
      <c r="E5" s="1914"/>
      <c r="F5" s="1914"/>
      <c r="G5" s="1914"/>
      <c r="H5" s="1915"/>
    </row>
    <row r="6" spans="1:12" s="38" customFormat="1" ht="26.45" customHeight="1" thickBot="1" x14ac:dyDescent="0.25">
      <c r="A6" s="39" t="s">
        <v>578</v>
      </c>
      <c r="B6" s="40" t="s">
        <v>404</v>
      </c>
      <c r="C6" s="1916">
        <v>1</v>
      </c>
      <c r="D6" s="1917"/>
      <c r="E6" s="1917"/>
      <c r="F6" s="1917"/>
      <c r="G6" s="1917"/>
      <c r="H6" s="1918"/>
    </row>
    <row r="7" spans="1:12" s="270" customFormat="1" ht="15.95" customHeight="1" thickBot="1" x14ac:dyDescent="0.3">
      <c r="A7" s="1919" t="s">
        <v>362</v>
      </c>
      <c r="B7" s="1919"/>
      <c r="C7" s="1919"/>
      <c r="D7" s="1919"/>
      <c r="E7" s="1919"/>
      <c r="F7" s="1919"/>
      <c r="G7" s="1919"/>
      <c r="H7" s="1919"/>
    </row>
    <row r="8" spans="1:12" ht="57.75" customHeight="1" thickBot="1" x14ac:dyDescent="0.25">
      <c r="A8" s="641" t="s">
        <v>142</v>
      </c>
      <c r="B8" s="42" t="s">
        <v>36</v>
      </c>
      <c r="C8" s="42" t="str">
        <f>'26._köt_össz_bev'!C9</f>
        <v>2023. évi eredeti előirányzat
2/2023. (II.14.)</v>
      </c>
      <c r="D8" s="191" t="str">
        <f>'26._köt_össz_bev'!D9</f>
        <v>Módosított előirányzat a 14/2023.  (VI.29.)  rendelet szerint</v>
      </c>
      <c r="E8" s="42" t="str">
        <f>'26._köt_össz_bev'!E9</f>
        <v>Módosított előirányzat a 18/2023. (IX.26.)  rendelet szerint</v>
      </c>
      <c r="F8" s="42" t="str">
        <f>'26._köt_össz_bev'!F9</f>
        <v>Módosított előirányzat 2023.09.30-án</v>
      </c>
      <c r="G8" s="42" t="str">
        <f>'26._köt_össz_bev'!G9</f>
        <v>Módosított előirányzat a …../2023. (II…..)  rendelet szerint</v>
      </c>
      <c r="H8" s="126" t="str">
        <f>'26._köt_össz_bev'!H9</f>
        <v>Változás a 14/2023. (VI.29.) rendelethez képest</v>
      </c>
      <c r="I8" s="191" t="str">
        <f>'26._köt_össz_bev'!I9</f>
        <v>2023. évi teljesítés              2023.06.30-ig</v>
      </c>
      <c r="J8" s="42" t="str">
        <f>'26._köt_össz_bev'!J9</f>
        <v>2023. évi teljesítés              2023.09.30-ig</v>
      </c>
      <c r="K8" s="42" t="str">
        <f>'26._köt_össz_bev'!K9</f>
        <v>2023. évi teljesítés              2023.12.31-ig</v>
      </c>
      <c r="L8" s="42" t="str">
        <f>'26._köt_össz_bev'!L9</f>
        <v>Teljesítés %-a</v>
      </c>
    </row>
    <row r="9" spans="1:12" s="46" customFormat="1" ht="12.95" customHeight="1" thickBot="1" x14ac:dyDescent="0.25">
      <c r="A9" s="43" t="s">
        <v>297</v>
      </c>
      <c r="B9" s="44" t="s">
        <v>298</v>
      </c>
      <c r="C9" s="44" t="s">
        <v>299</v>
      </c>
      <c r="D9" s="182" t="s">
        <v>300</v>
      </c>
      <c r="E9" s="565" t="s">
        <v>301</v>
      </c>
      <c r="F9" s="565"/>
      <c r="G9" s="565"/>
      <c r="H9" s="45" t="s">
        <v>388</v>
      </c>
      <c r="I9" s="180"/>
      <c r="J9" s="45"/>
      <c r="K9" s="45"/>
      <c r="L9" s="45"/>
    </row>
    <row r="10" spans="1:12" s="46" customFormat="1" ht="15.95" customHeight="1" thickBot="1" x14ac:dyDescent="0.25">
      <c r="A10" s="1921" t="s">
        <v>37</v>
      </c>
      <c r="B10" s="1922"/>
      <c r="C10" s="1922"/>
      <c r="D10" s="1922"/>
      <c r="E10" s="1922"/>
      <c r="F10" s="1922"/>
      <c r="G10" s="1922"/>
      <c r="H10" s="1923"/>
      <c r="I10" s="273"/>
      <c r="J10" s="519"/>
      <c r="K10" s="519"/>
      <c r="L10" s="519"/>
    </row>
    <row r="11" spans="1:12" s="46" customFormat="1" ht="12.2" customHeight="1" thickBot="1" x14ac:dyDescent="0.25">
      <c r="A11" s="14" t="s">
        <v>12</v>
      </c>
      <c r="B11" s="72" t="s">
        <v>622</v>
      </c>
      <c r="C11" s="113">
        <f>+C19+C20+C21+C22+C23</f>
        <v>0</v>
      </c>
      <c r="D11" s="186">
        <f t="shared" ref="D11:K11" si="0">+D19+D20+D21+D22+D23</f>
        <v>0</v>
      </c>
      <c r="E11" s="566">
        <f t="shared" si="0"/>
        <v>0</v>
      </c>
      <c r="F11" s="566">
        <f t="shared" si="0"/>
        <v>0</v>
      </c>
      <c r="G11" s="566">
        <f t="shared" si="0"/>
        <v>0</v>
      </c>
      <c r="H11" s="28">
        <f>+E11-D11</f>
        <v>0</v>
      </c>
      <c r="I11" s="628">
        <f t="shared" si="0"/>
        <v>0</v>
      </c>
      <c r="J11" s="28">
        <f t="shared" si="0"/>
        <v>0</v>
      </c>
      <c r="K11" s="28">
        <f t="shared" si="0"/>
        <v>0</v>
      </c>
      <c r="L11" s="28">
        <f t="shared" ref="L11" si="1">+L12+L13+L14+L15+L16+L17+L18</f>
        <v>0</v>
      </c>
    </row>
    <row r="12" spans="1:12" s="26" customFormat="1" ht="12.2" customHeight="1" x14ac:dyDescent="0.2">
      <c r="A12" s="12" t="s">
        <v>91</v>
      </c>
      <c r="B12" s="73" t="s">
        <v>188</v>
      </c>
      <c r="C12" s="114"/>
      <c r="D12" s="185"/>
      <c r="E12" s="567"/>
      <c r="F12" s="567"/>
      <c r="G12" s="567"/>
      <c r="H12" s="16">
        <f t="shared" ref="H12:H75" si="2">+E12-D12</f>
        <v>0</v>
      </c>
      <c r="I12" s="626"/>
      <c r="J12" s="16"/>
      <c r="K12" s="16"/>
      <c r="L12" s="16"/>
    </row>
    <row r="13" spans="1:12" s="54" customFormat="1" ht="12.2" customHeight="1" x14ac:dyDescent="0.2">
      <c r="A13" s="1003" t="s">
        <v>92</v>
      </c>
      <c r="B13" s="345" t="s">
        <v>532</v>
      </c>
      <c r="C13" s="401"/>
      <c r="D13" s="325"/>
      <c r="E13" s="568"/>
      <c r="F13" s="568"/>
      <c r="G13" s="568"/>
      <c r="H13" s="327">
        <f t="shared" si="2"/>
        <v>0</v>
      </c>
      <c r="I13" s="627"/>
      <c r="J13" s="327"/>
      <c r="K13" s="327"/>
      <c r="L13" s="327"/>
    </row>
    <row r="14" spans="1:12" s="54" customFormat="1" ht="12.2" customHeight="1" x14ac:dyDescent="0.2">
      <c r="A14" s="1003" t="s">
        <v>93</v>
      </c>
      <c r="B14" s="345" t="s">
        <v>533</v>
      </c>
      <c r="C14" s="401"/>
      <c r="D14" s="325"/>
      <c r="E14" s="568"/>
      <c r="F14" s="568"/>
      <c r="G14" s="568"/>
      <c r="H14" s="327">
        <f t="shared" si="2"/>
        <v>0</v>
      </c>
      <c r="I14" s="627"/>
      <c r="J14" s="327"/>
      <c r="K14" s="327"/>
      <c r="L14" s="327"/>
    </row>
    <row r="15" spans="1:12" s="54" customFormat="1" ht="12.2" customHeight="1" x14ac:dyDescent="0.2">
      <c r="A15" s="1003" t="s">
        <v>90</v>
      </c>
      <c r="B15" s="345" t="s">
        <v>534</v>
      </c>
      <c r="C15" s="401"/>
      <c r="D15" s="325"/>
      <c r="E15" s="568"/>
      <c r="F15" s="568"/>
      <c r="G15" s="568"/>
      <c r="H15" s="327">
        <f t="shared" si="2"/>
        <v>0</v>
      </c>
      <c r="I15" s="627"/>
      <c r="J15" s="327"/>
      <c r="K15" s="327"/>
      <c r="L15" s="327"/>
    </row>
    <row r="16" spans="1:12" s="54" customFormat="1" ht="12.2" customHeight="1" x14ac:dyDescent="0.2">
      <c r="A16" s="1003" t="s">
        <v>147</v>
      </c>
      <c r="B16" s="345" t="s">
        <v>189</v>
      </c>
      <c r="C16" s="401"/>
      <c r="D16" s="325"/>
      <c r="E16" s="568"/>
      <c r="F16" s="568"/>
      <c r="G16" s="568"/>
      <c r="H16" s="327">
        <f t="shared" si="2"/>
        <v>0</v>
      </c>
      <c r="I16" s="627"/>
      <c r="J16" s="327"/>
      <c r="K16" s="327"/>
      <c r="L16" s="327"/>
    </row>
    <row r="17" spans="1:12" s="54" customFormat="1" ht="12.2" customHeight="1" x14ac:dyDescent="0.2">
      <c r="A17" s="1005" t="s">
        <v>149</v>
      </c>
      <c r="B17" s="345" t="s">
        <v>271</v>
      </c>
      <c r="C17" s="401"/>
      <c r="D17" s="325"/>
      <c r="E17" s="568"/>
      <c r="F17" s="568"/>
      <c r="G17" s="568"/>
      <c r="H17" s="327">
        <f t="shared" si="2"/>
        <v>0</v>
      </c>
      <c r="I17" s="627"/>
      <c r="J17" s="327"/>
      <c r="K17" s="327"/>
      <c r="L17" s="327"/>
    </row>
    <row r="18" spans="1:12" s="26" customFormat="1" ht="12.2" customHeight="1" x14ac:dyDescent="0.2">
      <c r="A18" s="1005" t="s">
        <v>151</v>
      </c>
      <c r="B18" s="822" t="s">
        <v>272</v>
      </c>
      <c r="C18" s="401"/>
      <c r="D18" s="625"/>
      <c r="E18" s="569"/>
      <c r="F18" s="569"/>
      <c r="G18" s="569"/>
      <c r="H18" s="525">
        <f t="shared" si="2"/>
        <v>0</v>
      </c>
      <c r="I18" s="629"/>
      <c r="J18" s="525"/>
      <c r="K18" s="525"/>
      <c r="L18" s="525"/>
    </row>
    <row r="19" spans="1:12" s="26" customFormat="1" ht="12.2" customHeight="1" x14ac:dyDescent="0.2">
      <c r="A19" s="1010" t="s">
        <v>153</v>
      </c>
      <c r="B19" s="687" t="s">
        <v>623</v>
      </c>
      <c r="C19" s="401">
        <f>+C12+C13+C14+C15+C16+C17+C18</f>
        <v>0</v>
      </c>
      <c r="D19" s="662">
        <f t="shared" ref="D19:K19" si="3">+D12+D13+D14+D15+D16+D17+D18</f>
        <v>0</v>
      </c>
      <c r="E19" s="576">
        <f t="shared" si="3"/>
        <v>0</v>
      </c>
      <c r="F19" s="576">
        <f t="shared" si="3"/>
        <v>0</v>
      </c>
      <c r="G19" s="576">
        <f t="shared" si="3"/>
        <v>0</v>
      </c>
      <c r="H19" s="527">
        <f t="shared" si="2"/>
        <v>0</v>
      </c>
      <c r="I19" s="826">
        <f t="shared" si="3"/>
        <v>0</v>
      </c>
      <c r="J19" s="527">
        <f t="shared" si="3"/>
        <v>0</v>
      </c>
      <c r="K19" s="527">
        <f t="shared" si="3"/>
        <v>0</v>
      </c>
      <c r="L19" s="527">
        <f t="shared" ref="L19" si="4">+L12+L13+L14+L15+L16+L17+L18</f>
        <v>0</v>
      </c>
    </row>
    <row r="20" spans="1:12" s="26" customFormat="1" ht="12.2" customHeight="1" x14ac:dyDescent="0.2">
      <c r="A20" s="12" t="s">
        <v>154</v>
      </c>
      <c r="B20" s="73" t="s">
        <v>159</v>
      </c>
      <c r="C20" s="114"/>
      <c r="D20" s="185"/>
      <c r="E20" s="567"/>
      <c r="F20" s="567"/>
      <c r="G20" s="567"/>
      <c r="H20" s="16">
        <f t="shared" si="2"/>
        <v>0</v>
      </c>
      <c r="I20" s="626"/>
      <c r="J20" s="16"/>
      <c r="K20" s="16"/>
      <c r="L20" s="16"/>
    </row>
    <row r="21" spans="1:12" s="26" customFormat="1" ht="12.2" customHeight="1" x14ac:dyDescent="0.2">
      <c r="A21" s="12" t="s">
        <v>156</v>
      </c>
      <c r="B21" s="345" t="s">
        <v>190</v>
      </c>
      <c r="C21" s="401"/>
      <c r="D21" s="325"/>
      <c r="E21" s="568"/>
      <c r="F21" s="568"/>
      <c r="G21" s="568"/>
      <c r="H21" s="327">
        <f t="shared" si="2"/>
        <v>0</v>
      </c>
      <c r="I21" s="627"/>
      <c r="J21" s="327"/>
      <c r="K21" s="327"/>
      <c r="L21" s="327"/>
    </row>
    <row r="22" spans="1:12" s="26" customFormat="1" ht="12.2" customHeight="1" x14ac:dyDescent="0.2">
      <c r="A22" s="12" t="s">
        <v>276</v>
      </c>
      <c r="B22" s="345" t="s">
        <v>191</v>
      </c>
      <c r="C22" s="401"/>
      <c r="D22" s="325"/>
      <c r="E22" s="568"/>
      <c r="F22" s="568"/>
      <c r="G22" s="568"/>
      <c r="H22" s="327">
        <f t="shared" si="2"/>
        <v>0</v>
      </c>
      <c r="I22" s="627"/>
      <c r="J22" s="327"/>
      <c r="K22" s="327"/>
      <c r="L22" s="327"/>
    </row>
    <row r="23" spans="1:12" s="26" customFormat="1" ht="12.2" customHeight="1" x14ac:dyDescent="0.2">
      <c r="A23" s="12" t="s">
        <v>595</v>
      </c>
      <c r="B23" s="345" t="s">
        <v>192</v>
      </c>
      <c r="C23" s="401"/>
      <c r="D23" s="325"/>
      <c r="E23" s="568"/>
      <c r="F23" s="568"/>
      <c r="G23" s="568"/>
      <c r="H23" s="327">
        <f t="shared" si="2"/>
        <v>0</v>
      </c>
      <c r="I23" s="627"/>
      <c r="J23" s="327"/>
      <c r="K23" s="327"/>
      <c r="L23" s="327"/>
    </row>
    <row r="24" spans="1:12" s="54" customFormat="1" ht="12.2" customHeight="1" thickBot="1" x14ac:dyDescent="0.25">
      <c r="A24" s="12" t="s">
        <v>596</v>
      </c>
      <c r="B24" s="496" t="s">
        <v>643</v>
      </c>
      <c r="C24" s="504"/>
      <c r="D24" s="625"/>
      <c r="E24" s="569"/>
      <c r="F24" s="569"/>
      <c r="G24" s="569"/>
      <c r="H24" s="525">
        <f t="shared" si="2"/>
        <v>0</v>
      </c>
      <c r="I24" s="629"/>
      <c r="J24" s="525"/>
      <c r="K24" s="525"/>
      <c r="L24" s="525"/>
    </row>
    <row r="25" spans="1:12" s="54" customFormat="1" ht="12.2" customHeight="1" thickBot="1" x14ac:dyDescent="0.25">
      <c r="A25" s="14" t="s">
        <v>13</v>
      </c>
      <c r="B25" s="72" t="s">
        <v>597</v>
      </c>
      <c r="C25" s="113">
        <f>+C26+C27+C28+C29</f>
        <v>0</v>
      </c>
      <c r="D25" s="186">
        <f t="shared" ref="D25:K25" si="5">+D26+D27+D28+D29</f>
        <v>0</v>
      </c>
      <c r="E25" s="566">
        <f t="shared" si="5"/>
        <v>0</v>
      </c>
      <c r="F25" s="566">
        <f t="shared" si="5"/>
        <v>0</v>
      </c>
      <c r="G25" s="566">
        <f t="shared" si="5"/>
        <v>0</v>
      </c>
      <c r="H25" s="28">
        <f t="shared" si="2"/>
        <v>0</v>
      </c>
      <c r="I25" s="628">
        <f t="shared" si="5"/>
        <v>0</v>
      </c>
      <c r="J25" s="28">
        <f t="shared" si="5"/>
        <v>0</v>
      </c>
      <c r="K25" s="28">
        <f t="shared" si="5"/>
        <v>0</v>
      </c>
      <c r="L25" s="28">
        <f t="shared" ref="L25" si="6">+L26+L27+L28+L29</f>
        <v>0</v>
      </c>
    </row>
    <row r="26" spans="1:12" s="54" customFormat="1" ht="12.2" customHeight="1" x14ac:dyDescent="0.2">
      <c r="A26" s="12" t="s">
        <v>94</v>
      </c>
      <c r="B26" s="716" t="s">
        <v>193</v>
      </c>
      <c r="C26" s="114"/>
      <c r="D26" s="185"/>
      <c r="E26" s="567"/>
      <c r="F26" s="567"/>
      <c r="G26" s="567"/>
      <c r="H26" s="16">
        <f t="shared" si="2"/>
        <v>0</v>
      </c>
      <c r="I26" s="626"/>
      <c r="J26" s="16"/>
      <c r="K26" s="16"/>
      <c r="L26" s="16"/>
    </row>
    <row r="27" spans="1:12" s="54" customFormat="1" ht="12.2" customHeight="1" x14ac:dyDescent="0.2">
      <c r="A27" s="1003" t="s">
        <v>95</v>
      </c>
      <c r="B27" s="717" t="s">
        <v>194</v>
      </c>
      <c r="C27" s="401"/>
      <c r="D27" s="325"/>
      <c r="E27" s="568"/>
      <c r="F27" s="568"/>
      <c r="G27" s="568"/>
      <c r="H27" s="327">
        <f t="shared" si="2"/>
        <v>0</v>
      </c>
      <c r="I27" s="627"/>
      <c r="J27" s="327"/>
      <c r="K27" s="327"/>
      <c r="L27" s="327"/>
    </row>
    <row r="28" spans="1:12" s="54" customFormat="1" ht="12.2" customHeight="1" x14ac:dyDescent="0.2">
      <c r="A28" s="1003" t="s">
        <v>96</v>
      </c>
      <c r="B28" s="717" t="s">
        <v>196</v>
      </c>
      <c r="C28" s="401"/>
      <c r="D28" s="325"/>
      <c r="E28" s="568"/>
      <c r="F28" s="568"/>
      <c r="G28" s="568"/>
      <c r="H28" s="327">
        <f t="shared" si="2"/>
        <v>0</v>
      </c>
      <c r="I28" s="627"/>
      <c r="J28" s="327"/>
      <c r="K28" s="327"/>
      <c r="L28" s="327"/>
    </row>
    <row r="29" spans="1:12" s="54" customFormat="1" ht="12.2" customHeight="1" x14ac:dyDescent="0.2">
      <c r="A29" s="1003" t="s">
        <v>97</v>
      </c>
      <c r="B29" s="717" t="s">
        <v>197</v>
      </c>
      <c r="C29" s="401"/>
      <c r="D29" s="325"/>
      <c r="E29" s="568"/>
      <c r="F29" s="568"/>
      <c r="G29" s="568"/>
      <c r="H29" s="327">
        <f t="shared" si="2"/>
        <v>0</v>
      </c>
      <c r="I29" s="627"/>
      <c r="J29" s="327"/>
      <c r="K29" s="327"/>
      <c r="L29" s="327"/>
    </row>
    <row r="30" spans="1:12" s="54" customFormat="1" ht="12.2" customHeight="1" thickBot="1" x14ac:dyDescent="0.25">
      <c r="A30" s="1005" t="s">
        <v>321</v>
      </c>
      <c r="B30" s="496" t="s">
        <v>273</v>
      </c>
      <c r="C30" s="504"/>
      <c r="D30" s="625"/>
      <c r="E30" s="569"/>
      <c r="F30" s="569"/>
      <c r="G30" s="569"/>
      <c r="H30" s="525">
        <f t="shared" si="2"/>
        <v>0</v>
      </c>
      <c r="I30" s="629"/>
      <c r="J30" s="525"/>
      <c r="K30" s="525"/>
      <c r="L30" s="525"/>
    </row>
    <row r="31" spans="1:12" s="54" customFormat="1" ht="12.2" customHeight="1" thickBot="1" x14ac:dyDescent="0.25">
      <c r="A31" s="14" t="s">
        <v>625</v>
      </c>
      <c r="B31" s="72" t="s">
        <v>598</v>
      </c>
      <c r="C31" s="1023">
        <f>C32+C34+C36+C37+C40</f>
        <v>602835137</v>
      </c>
      <c r="D31" s="187">
        <f t="shared" ref="D31:K31" si="7">D32+D34+D36+D37+D40</f>
        <v>616450137</v>
      </c>
      <c r="E31" s="532">
        <f t="shared" si="7"/>
        <v>690517637</v>
      </c>
      <c r="F31" s="532">
        <f t="shared" si="7"/>
        <v>0</v>
      </c>
      <c r="G31" s="532">
        <f t="shared" si="7"/>
        <v>0</v>
      </c>
      <c r="H31" s="74">
        <f>+E31-D31</f>
        <v>74067500</v>
      </c>
      <c r="I31" s="638">
        <f t="shared" si="7"/>
        <v>0</v>
      </c>
      <c r="J31" s="74">
        <f t="shared" si="7"/>
        <v>0</v>
      </c>
      <c r="K31" s="74">
        <f t="shared" si="7"/>
        <v>0</v>
      </c>
      <c r="L31" s="74">
        <f t="shared" ref="L31" si="8">L32+L34+L36+L37+L40</f>
        <v>0</v>
      </c>
    </row>
    <row r="32" spans="1:12" s="54" customFormat="1" ht="12.2" customHeight="1" x14ac:dyDescent="0.2">
      <c r="A32" s="12" t="s">
        <v>98</v>
      </c>
      <c r="B32" s="716" t="s">
        <v>278</v>
      </c>
      <c r="C32" s="115">
        <f>C33</f>
        <v>0</v>
      </c>
      <c r="D32" s="200">
        <f t="shared" ref="D32:K32" si="9">D33</f>
        <v>0</v>
      </c>
      <c r="E32" s="570">
        <f t="shared" si="9"/>
        <v>0</v>
      </c>
      <c r="F32" s="570">
        <f t="shared" si="9"/>
        <v>0</v>
      </c>
      <c r="G32" s="570">
        <f t="shared" si="9"/>
        <v>0</v>
      </c>
      <c r="H32" s="75">
        <f t="shared" si="2"/>
        <v>0</v>
      </c>
      <c r="I32" s="637">
        <f t="shared" si="9"/>
        <v>0</v>
      </c>
      <c r="J32" s="75">
        <f t="shared" si="9"/>
        <v>0</v>
      </c>
      <c r="K32" s="75">
        <f t="shared" si="9"/>
        <v>0</v>
      </c>
      <c r="L32" s="75">
        <f t="shared" ref="L32" si="10">L33</f>
        <v>0</v>
      </c>
    </row>
    <row r="33" spans="1:12" s="54" customFormat="1" ht="12.2" customHeight="1" x14ac:dyDescent="0.2">
      <c r="A33" s="1003" t="s">
        <v>599</v>
      </c>
      <c r="B33" s="717" t="s">
        <v>230</v>
      </c>
      <c r="C33" s="401"/>
      <c r="D33" s="325"/>
      <c r="E33" s="568"/>
      <c r="F33" s="568"/>
      <c r="G33" s="568"/>
      <c r="H33" s="327">
        <f t="shared" si="2"/>
        <v>0</v>
      </c>
      <c r="I33" s="627"/>
      <c r="J33" s="327"/>
      <c r="K33" s="327"/>
      <c r="L33" s="327"/>
    </row>
    <row r="34" spans="1:12" s="54" customFormat="1" ht="12.2" customHeight="1" x14ac:dyDescent="0.2">
      <c r="A34" s="1003" t="s">
        <v>99</v>
      </c>
      <c r="B34" s="716" t="s">
        <v>279</v>
      </c>
      <c r="C34" s="401">
        <f>C35</f>
        <v>602835137</v>
      </c>
      <c r="D34" s="325">
        <f t="shared" ref="D34:K34" si="11">D35</f>
        <v>616450137</v>
      </c>
      <c r="E34" s="568">
        <f t="shared" si="11"/>
        <v>690517637</v>
      </c>
      <c r="F34" s="568">
        <f t="shared" si="11"/>
        <v>0</v>
      </c>
      <c r="G34" s="568">
        <f t="shared" si="11"/>
        <v>0</v>
      </c>
      <c r="H34" s="327">
        <f t="shared" si="2"/>
        <v>74067500</v>
      </c>
      <c r="I34" s="627">
        <f t="shared" si="11"/>
        <v>0</v>
      </c>
      <c r="J34" s="327">
        <f t="shared" si="11"/>
        <v>0</v>
      </c>
      <c r="K34" s="327">
        <f t="shared" si="11"/>
        <v>0</v>
      </c>
      <c r="L34" s="327">
        <f t="shared" ref="L34" si="12">L35</f>
        <v>0</v>
      </c>
    </row>
    <row r="35" spans="1:12" s="54" customFormat="1" ht="12.2" customHeight="1" x14ac:dyDescent="0.2">
      <c r="A35" s="1003" t="s">
        <v>600</v>
      </c>
      <c r="B35" s="717" t="s">
        <v>280</v>
      </c>
      <c r="C35" s="401">
        <v>602835137</v>
      </c>
      <c r="D35" s="325">
        <f>602835137+13615000</f>
        <v>616450137</v>
      </c>
      <c r="E35" s="568">
        <f>616450137+74067500</f>
        <v>690517637</v>
      </c>
      <c r="F35" s="568"/>
      <c r="G35" s="568"/>
      <c r="H35" s="327">
        <f t="shared" si="2"/>
        <v>74067500</v>
      </c>
      <c r="I35" s="627"/>
      <c r="J35" s="327"/>
      <c r="K35" s="327"/>
      <c r="L35" s="327"/>
    </row>
    <row r="36" spans="1:12" s="54" customFormat="1" ht="12.2" customHeight="1" x14ac:dyDescent="0.2">
      <c r="A36" s="1003" t="s">
        <v>106</v>
      </c>
      <c r="B36" s="717" t="s">
        <v>198</v>
      </c>
      <c r="C36" s="401"/>
      <c r="D36" s="325"/>
      <c r="E36" s="568"/>
      <c r="F36" s="568"/>
      <c r="G36" s="568"/>
      <c r="H36" s="327">
        <f t="shared" si="2"/>
        <v>0</v>
      </c>
      <c r="I36" s="627"/>
      <c r="J36" s="327"/>
      <c r="K36" s="327"/>
      <c r="L36" s="327"/>
    </row>
    <row r="37" spans="1:12" s="54" customFormat="1" ht="12.2" customHeight="1" x14ac:dyDescent="0.2">
      <c r="A37" s="1003" t="s">
        <v>195</v>
      </c>
      <c r="B37" s="717" t="s">
        <v>199</v>
      </c>
      <c r="C37" s="401">
        <f>SUM(C38:C39)</f>
        <v>0</v>
      </c>
      <c r="D37" s="325">
        <f t="shared" ref="D37:K37" si="13">SUM(D38:D39)</f>
        <v>0</v>
      </c>
      <c r="E37" s="568">
        <f t="shared" si="13"/>
        <v>0</v>
      </c>
      <c r="F37" s="568">
        <f t="shared" si="13"/>
        <v>0</v>
      </c>
      <c r="G37" s="568">
        <f t="shared" si="13"/>
        <v>0</v>
      </c>
      <c r="H37" s="327">
        <f t="shared" si="2"/>
        <v>0</v>
      </c>
      <c r="I37" s="627">
        <f t="shared" si="13"/>
        <v>0</v>
      </c>
      <c r="J37" s="327">
        <f t="shared" si="13"/>
        <v>0</v>
      </c>
      <c r="K37" s="327">
        <f t="shared" si="13"/>
        <v>0</v>
      </c>
      <c r="L37" s="327">
        <f t="shared" ref="L37" si="14">SUM(L38:L39)</f>
        <v>0</v>
      </c>
    </row>
    <row r="38" spans="1:12" s="54" customFormat="1" ht="12.2" customHeight="1" x14ac:dyDescent="0.2">
      <c r="A38" s="1005" t="s">
        <v>322</v>
      </c>
      <c r="B38" s="717" t="s">
        <v>231</v>
      </c>
      <c r="C38" s="504"/>
      <c r="D38" s="625"/>
      <c r="E38" s="569"/>
      <c r="F38" s="569"/>
      <c r="G38" s="569"/>
      <c r="H38" s="525">
        <f t="shared" si="2"/>
        <v>0</v>
      </c>
      <c r="I38" s="629"/>
      <c r="J38" s="525"/>
      <c r="K38" s="525"/>
      <c r="L38" s="525"/>
    </row>
    <row r="39" spans="1:12" s="54" customFormat="1" ht="12.2" customHeight="1" x14ac:dyDescent="0.2">
      <c r="A39" s="1005" t="s">
        <v>601</v>
      </c>
      <c r="B39" s="717" t="s">
        <v>792</v>
      </c>
      <c r="C39" s="504"/>
      <c r="D39" s="625"/>
      <c r="E39" s="569"/>
      <c r="F39" s="569"/>
      <c r="G39" s="569"/>
      <c r="H39" s="525">
        <f t="shared" si="2"/>
        <v>0</v>
      </c>
      <c r="I39" s="629"/>
      <c r="J39" s="525"/>
      <c r="K39" s="525"/>
      <c r="L39" s="525"/>
    </row>
    <row r="40" spans="1:12" s="54" customFormat="1" ht="12.2" customHeight="1" thickBot="1" x14ac:dyDescent="0.25">
      <c r="A40" s="1005" t="s">
        <v>602</v>
      </c>
      <c r="B40" s="496" t="s">
        <v>118</v>
      </c>
      <c r="C40" s="504"/>
      <c r="D40" s="625"/>
      <c r="E40" s="569"/>
      <c r="F40" s="569"/>
      <c r="G40" s="569"/>
      <c r="H40" s="525">
        <f t="shared" si="2"/>
        <v>0</v>
      </c>
      <c r="I40" s="629"/>
      <c r="J40" s="525"/>
      <c r="K40" s="525"/>
      <c r="L40" s="525"/>
    </row>
    <row r="41" spans="1:12" s="54" customFormat="1" ht="12.2" customHeight="1" thickBot="1" x14ac:dyDescent="0.25">
      <c r="A41" s="14" t="s">
        <v>15</v>
      </c>
      <c r="B41" s="72" t="s">
        <v>626</v>
      </c>
      <c r="C41" s="113">
        <f>SUM(C42:C52)</f>
        <v>0</v>
      </c>
      <c r="D41" s="186">
        <f t="shared" ref="D41:K41" si="15">SUM(D42:D52)</f>
        <v>0</v>
      </c>
      <c r="E41" s="566">
        <f t="shared" si="15"/>
        <v>0</v>
      </c>
      <c r="F41" s="566">
        <f t="shared" si="15"/>
        <v>0</v>
      </c>
      <c r="G41" s="566">
        <f t="shared" si="15"/>
        <v>0</v>
      </c>
      <c r="H41" s="28">
        <f t="shared" si="2"/>
        <v>0</v>
      </c>
      <c r="I41" s="628">
        <f t="shared" si="15"/>
        <v>0</v>
      </c>
      <c r="J41" s="28">
        <f t="shared" si="15"/>
        <v>0</v>
      </c>
      <c r="K41" s="28">
        <f t="shared" si="15"/>
        <v>0</v>
      </c>
      <c r="L41" s="28">
        <f t="shared" ref="L41" si="16">SUM(L42:L52)</f>
        <v>0</v>
      </c>
    </row>
    <row r="42" spans="1:12" s="54" customFormat="1" ht="12.2" customHeight="1" x14ac:dyDescent="0.2">
      <c r="A42" s="12" t="s">
        <v>100</v>
      </c>
      <c r="B42" s="716" t="s">
        <v>143</v>
      </c>
      <c r="C42" s="114"/>
      <c r="D42" s="185"/>
      <c r="E42" s="567"/>
      <c r="F42" s="567"/>
      <c r="G42" s="567"/>
      <c r="H42" s="16">
        <f t="shared" si="2"/>
        <v>0</v>
      </c>
      <c r="I42" s="626"/>
      <c r="J42" s="16"/>
      <c r="K42" s="16"/>
      <c r="L42" s="16"/>
    </row>
    <row r="43" spans="1:12" s="54" customFormat="1" ht="12.2" customHeight="1" x14ac:dyDescent="0.2">
      <c r="A43" s="1003" t="s">
        <v>101</v>
      </c>
      <c r="B43" s="717" t="s">
        <v>144</v>
      </c>
      <c r="C43" s="401"/>
      <c r="D43" s="325"/>
      <c r="E43" s="568"/>
      <c r="F43" s="568"/>
      <c r="G43" s="568"/>
      <c r="H43" s="327">
        <f t="shared" si="2"/>
        <v>0</v>
      </c>
      <c r="I43" s="627"/>
      <c r="J43" s="327"/>
      <c r="K43" s="327"/>
      <c r="L43" s="327"/>
    </row>
    <row r="44" spans="1:12" s="54" customFormat="1" ht="12.2" customHeight="1" x14ac:dyDescent="0.2">
      <c r="A44" s="1003" t="s">
        <v>164</v>
      </c>
      <c r="B44" s="717" t="s">
        <v>274</v>
      </c>
      <c r="C44" s="401"/>
      <c r="D44" s="325"/>
      <c r="E44" s="568"/>
      <c r="F44" s="568"/>
      <c r="G44" s="568"/>
      <c r="H44" s="327">
        <f t="shared" si="2"/>
        <v>0</v>
      </c>
      <c r="I44" s="627"/>
      <c r="J44" s="327"/>
      <c r="K44" s="327"/>
      <c r="L44" s="327"/>
    </row>
    <row r="45" spans="1:12" s="54" customFormat="1" ht="12.2" customHeight="1" x14ac:dyDescent="0.2">
      <c r="A45" s="1003" t="s">
        <v>200</v>
      </c>
      <c r="B45" s="717" t="s">
        <v>146</v>
      </c>
      <c r="C45" s="401"/>
      <c r="D45" s="325"/>
      <c r="E45" s="568"/>
      <c r="F45" s="568"/>
      <c r="G45" s="568"/>
      <c r="H45" s="327">
        <f t="shared" si="2"/>
        <v>0</v>
      </c>
      <c r="I45" s="627"/>
      <c r="J45" s="327"/>
      <c r="K45" s="327"/>
      <c r="L45" s="327"/>
    </row>
    <row r="46" spans="1:12" s="54" customFormat="1" ht="12.2" customHeight="1" x14ac:dyDescent="0.2">
      <c r="A46" s="1003" t="s">
        <v>282</v>
      </c>
      <c r="B46" s="717" t="s">
        <v>148</v>
      </c>
      <c r="C46" s="401"/>
      <c r="D46" s="325"/>
      <c r="E46" s="568"/>
      <c r="F46" s="568"/>
      <c r="G46" s="568"/>
      <c r="H46" s="327">
        <f t="shared" si="2"/>
        <v>0</v>
      </c>
      <c r="I46" s="627"/>
      <c r="J46" s="327"/>
      <c r="K46" s="327"/>
      <c r="L46" s="327"/>
    </row>
    <row r="47" spans="1:12" s="54" customFormat="1" ht="12.2" customHeight="1" x14ac:dyDescent="0.2">
      <c r="A47" s="1003" t="s">
        <v>603</v>
      </c>
      <c r="B47" s="717" t="s">
        <v>203</v>
      </c>
      <c r="C47" s="401"/>
      <c r="D47" s="325"/>
      <c r="E47" s="568"/>
      <c r="F47" s="568"/>
      <c r="G47" s="568"/>
      <c r="H47" s="327">
        <f t="shared" si="2"/>
        <v>0</v>
      </c>
      <c r="I47" s="627"/>
      <c r="J47" s="327"/>
      <c r="K47" s="327"/>
      <c r="L47" s="327"/>
    </row>
    <row r="48" spans="1:12" s="54" customFormat="1" ht="12.2" customHeight="1" x14ac:dyDescent="0.2">
      <c r="A48" s="1003" t="s">
        <v>604</v>
      </c>
      <c r="B48" s="717" t="s">
        <v>204</v>
      </c>
      <c r="C48" s="401"/>
      <c r="D48" s="325"/>
      <c r="E48" s="568"/>
      <c r="F48" s="568"/>
      <c r="G48" s="568"/>
      <c r="H48" s="327">
        <f t="shared" si="2"/>
        <v>0</v>
      </c>
      <c r="I48" s="627"/>
      <c r="J48" s="327"/>
      <c r="K48" s="327"/>
      <c r="L48" s="327"/>
    </row>
    <row r="49" spans="1:12" s="54" customFormat="1" ht="12.2" customHeight="1" x14ac:dyDescent="0.2">
      <c r="A49" s="1003" t="s">
        <v>605</v>
      </c>
      <c r="B49" s="717" t="s">
        <v>302</v>
      </c>
      <c r="C49" s="401"/>
      <c r="D49" s="325"/>
      <c r="E49" s="568"/>
      <c r="F49" s="568"/>
      <c r="G49" s="568"/>
      <c r="H49" s="327">
        <f t="shared" si="2"/>
        <v>0</v>
      </c>
      <c r="I49" s="627"/>
      <c r="J49" s="327"/>
      <c r="K49" s="327"/>
      <c r="L49" s="327"/>
    </row>
    <row r="50" spans="1:12" s="54" customFormat="1" ht="12.2" customHeight="1" x14ac:dyDescent="0.2">
      <c r="A50" s="1003" t="s">
        <v>606</v>
      </c>
      <c r="B50" s="717" t="s">
        <v>155</v>
      </c>
      <c r="C50" s="402"/>
      <c r="D50" s="326"/>
      <c r="E50" s="573"/>
      <c r="F50" s="573"/>
      <c r="G50" s="573"/>
      <c r="H50" s="328">
        <f t="shared" si="2"/>
        <v>0</v>
      </c>
      <c r="I50" s="666"/>
      <c r="J50" s="328"/>
      <c r="K50" s="328"/>
      <c r="L50" s="328"/>
    </row>
    <row r="51" spans="1:12" s="54" customFormat="1" ht="12.2" customHeight="1" x14ac:dyDescent="0.2">
      <c r="A51" s="1005" t="s">
        <v>607</v>
      </c>
      <c r="B51" s="496" t="s">
        <v>275</v>
      </c>
      <c r="C51" s="1029"/>
      <c r="D51" s="661"/>
      <c r="E51" s="571"/>
      <c r="F51" s="571"/>
      <c r="G51" s="571"/>
      <c r="H51" s="526">
        <f t="shared" si="2"/>
        <v>0</v>
      </c>
      <c r="I51" s="667"/>
      <c r="J51" s="526"/>
      <c r="K51" s="526"/>
      <c r="L51" s="526"/>
    </row>
    <row r="52" spans="1:12" s="54" customFormat="1" ht="12.2" customHeight="1" thickBot="1" x14ac:dyDescent="0.25">
      <c r="A52" s="1005" t="s">
        <v>608</v>
      </c>
      <c r="B52" s="496" t="s">
        <v>157</v>
      </c>
      <c r="C52" s="1029"/>
      <c r="D52" s="661"/>
      <c r="E52" s="571"/>
      <c r="F52" s="571"/>
      <c r="G52" s="571"/>
      <c r="H52" s="526">
        <f t="shared" si="2"/>
        <v>0</v>
      </c>
      <c r="I52" s="667"/>
      <c r="J52" s="526"/>
      <c r="K52" s="526"/>
      <c r="L52" s="526"/>
    </row>
    <row r="53" spans="1:12" s="54" customFormat="1" ht="12.2" customHeight="1" thickBot="1" x14ac:dyDescent="0.25">
      <c r="A53" s="14" t="s">
        <v>16</v>
      </c>
      <c r="B53" s="72" t="s">
        <v>609</v>
      </c>
      <c r="C53" s="113">
        <f>SUM(C54:C58)</f>
        <v>0</v>
      </c>
      <c r="D53" s="186">
        <f t="shared" ref="D53:K53" si="17">SUM(D54:D58)</f>
        <v>0</v>
      </c>
      <c r="E53" s="566">
        <f t="shared" si="17"/>
        <v>0</v>
      </c>
      <c r="F53" s="566">
        <f t="shared" si="17"/>
        <v>0</v>
      </c>
      <c r="G53" s="566">
        <f t="shared" si="17"/>
        <v>0</v>
      </c>
      <c r="H53" s="28">
        <f t="shared" si="2"/>
        <v>0</v>
      </c>
      <c r="I53" s="628">
        <f t="shared" si="17"/>
        <v>0</v>
      </c>
      <c r="J53" s="28">
        <f t="shared" si="17"/>
        <v>0</v>
      </c>
      <c r="K53" s="28">
        <f t="shared" si="17"/>
        <v>0</v>
      </c>
      <c r="L53" s="28">
        <f t="shared" ref="L53" si="18">SUM(L54:L58)</f>
        <v>0</v>
      </c>
    </row>
    <row r="54" spans="1:12" s="54" customFormat="1" ht="12.2" customHeight="1" x14ac:dyDescent="0.2">
      <c r="A54" s="12" t="s">
        <v>89</v>
      </c>
      <c r="B54" s="716" t="s">
        <v>167</v>
      </c>
      <c r="C54" s="116"/>
      <c r="D54" s="201"/>
      <c r="E54" s="572"/>
      <c r="F54" s="572"/>
      <c r="G54" s="572"/>
      <c r="H54" s="23">
        <f t="shared" si="2"/>
        <v>0</v>
      </c>
      <c r="I54" s="668"/>
      <c r="J54" s="23"/>
      <c r="K54" s="23"/>
      <c r="L54" s="23"/>
    </row>
    <row r="55" spans="1:12" s="54" customFormat="1" ht="12.2" customHeight="1" x14ac:dyDescent="0.2">
      <c r="A55" s="1003" t="s">
        <v>102</v>
      </c>
      <c r="B55" s="717" t="s">
        <v>168</v>
      </c>
      <c r="C55" s="402"/>
      <c r="D55" s="326"/>
      <c r="E55" s="573"/>
      <c r="F55" s="573"/>
      <c r="G55" s="573"/>
      <c r="H55" s="328">
        <f t="shared" si="2"/>
        <v>0</v>
      </c>
      <c r="I55" s="666"/>
      <c r="J55" s="328"/>
      <c r="K55" s="328"/>
      <c r="L55" s="328"/>
    </row>
    <row r="56" spans="1:12" s="54" customFormat="1" ht="12.2" customHeight="1" x14ac:dyDescent="0.2">
      <c r="A56" s="1003" t="s">
        <v>103</v>
      </c>
      <c r="B56" s="717" t="s">
        <v>169</v>
      </c>
      <c r="C56" s="402"/>
      <c r="D56" s="326"/>
      <c r="E56" s="573"/>
      <c r="F56" s="573"/>
      <c r="G56" s="573"/>
      <c r="H56" s="328">
        <f t="shared" si="2"/>
        <v>0</v>
      </c>
      <c r="I56" s="666"/>
      <c r="J56" s="328"/>
      <c r="K56" s="328"/>
      <c r="L56" s="328"/>
    </row>
    <row r="57" spans="1:12" s="54" customFormat="1" ht="12.2" customHeight="1" x14ac:dyDescent="0.2">
      <c r="A57" s="1003" t="s">
        <v>201</v>
      </c>
      <c r="B57" s="717" t="s">
        <v>207</v>
      </c>
      <c r="C57" s="402"/>
      <c r="D57" s="326"/>
      <c r="E57" s="573"/>
      <c r="F57" s="573"/>
      <c r="G57" s="573"/>
      <c r="H57" s="328">
        <f t="shared" si="2"/>
        <v>0</v>
      </c>
      <c r="I57" s="666"/>
      <c r="J57" s="328"/>
      <c r="K57" s="328"/>
      <c r="L57" s="328"/>
    </row>
    <row r="58" spans="1:12" s="54" customFormat="1" ht="12.2" customHeight="1" thickBot="1" x14ac:dyDescent="0.25">
      <c r="A58" s="1005" t="s">
        <v>202</v>
      </c>
      <c r="B58" s="496" t="s">
        <v>209</v>
      </c>
      <c r="C58" s="1029"/>
      <c r="D58" s="661"/>
      <c r="E58" s="571"/>
      <c r="F58" s="571"/>
      <c r="G58" s="571"/>
      <c r="H58" s="526">
        <f t="shared" si="2"/>
        <v>0</v>
      </c>
      <c r="I58" s="667"/>
      <c r="J58" s="526"/>
      <c r="K58" s="526"/>
      <c r="L58" s="526"/>
    </row>
    <row r="59" spans="1:12" s="54" customFormat="1" ht="12.2" customHeight="1" thickBot="1" x14ac:dyDescent="0.25">
      <c r="A59" s="14" t="s">
        <v>17</v>
      </c>
      <c r="B59" s="72" t="s">
        <v>627</v>
      </c>
      <c r="C59" s="113">
        <f>SUM(C60:C61)</f>
        <v>0</v>
      </c>
      <c r="D59" s="186">
        <f t="shared" ref="D59:K59" si="19">SUM(D60:D61)</f>
        <v>0</v>
      </c>
      <c r="E59" s="566">
        <f t="shared" si="19"/>
        <v>0</v>
      </c>
      <c r="F59" s="566">
        <f t="shared" si="19"/>
        <v>0</v>
      </c>
      <c r="G59" s="566">
        <f t="shared" si="19"/>
        <v>0</v>
      </c>
      <c r="H59" s="28">
        <f t="shared" si="2"/>
        <v>0</v>
      </c>
      <c r="I59" s="628">
        <f t="shared" si="19"/>
        <v>0</v>
      </c>
      <c r="J59" s="28">
        <f t="shared" si="19"/>
        <v>0</v>
      </c>
      <c r="K59" s="28">
        <f t="shared" si="19"/>
        <v>0</v>
      </c>
      <c r="L59" s="28">
        <f t="shared" ref="L59" si="20">SUM(L60:L61)</f>
        <v>0</v>
      </c>
    </row>
    <row r="60" spans="1:12" s="54" customFormat="1" ht="12.2" customHeight="1" x14ac:dyDescent="0.2">
      <c r="A60" s="1003" t="s">
        <v>104</v>
      </c>
      <c r="B60" s="717" t="s">
        <v>210</v>
      </c>
      <c r="C60" s="401"/>
      <c r="D60" s="325"/>
      <c r="E60" s="568"/>
      <c r="F60" s="568"/>
      <c r="G60" s="568"/>
      <c r="H60" s="327">
        <f t="shared" si="2"/>
        <v>0</v>
      </c>
      <c r="I60" s="627"/>
      <c r="J60" s="327"/>
      <c r="K60" s="327"/>
      <c r="L60" s="327"/>
    </row>
    <row r="61" spans="1:12" s="54" customFormat="1" ht="12.2" customHeight="1" x14ac:dyDescent="0.2">
      <c r="A61" s="1003" t="s">
        <v>105</v>
      </c>
      <c r="B61" s="717" t="s">
        <v>211</v>
      </c>
      <c r="C61" s="401"/>
      <c r="D61" s="325"/>
      <c r="E61" s="568"/>
      <c r="F61" s="568"/>
      <c r="G61" s="568"/>
      <c r="H61" s="327">
        <f t="shared" si="2"/>
        <v>0</v>
      </c>
      <c r="I61" s="627"/>
      <c r="J61" s="327"/>
      <c r="K61" s="327"/>
      <c r="L61" s="327"/>
    </row>
    <row r="62" spans="1:12" s="54" customFormat="1" ht="12.2" customHeight="1" thickBot="1" x14ac:dyDescent="0.25">
      <c r="A62" s="1005" t="s">
        <v>610</v>
      </c>
      <c r="B62" s="496" t="s">
        <v>642</v>
      </c>
      <c r="C62" s="504"/>
      <c r="D62" s="625"/>
      <c r="E62" s="569"/>
      <c r="F62" s="569"/>
      <c r="G62" s="569"/>
      <c r="H62" s="525">
        <f t="shared" si="2"/>
        <v>0</v>
      </c>
      <c r="I62" s="629"/>
      <c r="J62" s="525"/>
      <c r="K62" s="525"/>
      <c r="L62" s="525"/>
    </row>
    <row r="63" spans="1:12" s="54" customFormat="1" ht="12.2" customHeight="1" thickBot="1" x14ac:dyDescent="0.25">
      <c r="A63" s="14" t="s">
        <v>18</v>
      </c>
      <c r="B63" s="347" t="s">
        <v>380</v>
      </c>
      <c r="C63" s="113">
        <f>SUM(C64:C65)</f>
        <v>0</v>
      </c>
      <c r="D63" s="186">
        <f t="shared" ref="D63:K63" si="21">SUM(D64:D65)</f>
        <v>0</v>
      </c>
      <c r="E63" s="566">
        <f t="shared" si="21"/>
        <v>0</v>
      </c>
      <c r="F63" s="566">
        <f t="shared" si="21"/>
        <v>0</v>
      </c>
      <c r="G63" s="566">
        <f t="shared" si="21"/>
        <v>0</v>
      </c>
      <c r="H63" s="28">
        <f t="shared" si="2"/>
        <v>0</v>
      </c>
      <c r="I63" s="628">
        <f t="shared" si="21"/>
        <v>0</v>
      </c>
      <c r="J63" s="28">
        <f t="shared" si="21"/>
        <v>0</v>
      </c>
      <c r="K63" s="28">
        <f t="shared" si="21"/>
        <v>0</v>
      </c>
      <c r="L63" s="28">
        <f t="shared" ref="L63" si="22">SUM(L64:L65)</f>
        <v>0</v>
      </c>
    </row>
    <row r="64" spans="1:12" s="54" customFormat="1" ht="12.2" customHeight="1" x14ac:dyDescent="0.2">
      <c r="A64" s="12" t="s">
        <v>107</v>
      </c>
      <c r="B64" s="717" t="s">
        <v>212</v>
      </c>
      <c r="C64" s="402"/>
      <c r="D64" s="326"/>
      <c r="E64" s="573"/>
      <c r="F64" s="573"/>
      <c r="G64" s="573"/>
      <c r="H64" s="328">
        <f t="shared" si="2"/>
        <v>0</v>
      </c>
      <c r="I64" s="666"/>
      <c r="J64" s="328"/>
      <c r="K64" s="328"/>
      <c r="L64" s="328"/>
    </row>
    <row r="65" spans="1:12" s="54" customFormat="1" ht="12.2" customHeight="1" x14ac:dyDescent="0.2">
      <c r="A65" s="1003" t="s">
        <v>108</v>
      </c>
      <c r="B65" s="717" t="s">
        <v>213</v>
      </c>
      <c r="C65" s="402"/>
      <c r="D65" s="326"/>
      <c r="E65" s="573"/>
      <c r="F65" s="573"/>
      <c r="G65" s="573"/>
      <c r="H65" s="328">
        <f t="shared" si="2"/>
        <v>0</v>
      </c>
      <c r="I65" s="666"/>
      <c r="J65" s="328"/>
      <c r="K65" s="328"/>
      <c r="L65" s="328"/>
    </row>
    <row r="66" spans="1:12" s="54" customFormat="1" ht="12.2" customHeight="1" thickBot="1" x14ac:dyDescent="0.25">
      <c r="A66" s="172" t="s">
        <v>323</v>
      </c>
      <c r="B66" s="718" t="s">
        <v>368</v>
      </c>
      <c r="C66" s="402"/>
      <c r="D66" s="326"/>
      <c r="E66" s="573"/>
      <c r="F66" s="573"/>
      <c r="G66" s="573"/>
      <c r="H66" s="328">
        <f t="shared" si="2"/>
        <v>0</v>
      </c>
      <c r="I66" s="666"/>
      <c r="J66" s="328"/>
      <c r="K66" s="328"/>
      <c r="L66" s="328"/>
    </row>
    <row r="67" spans="1:12" s="54" customFormat="1" ht="12.2" customHeight="1" thickBot="1" x14ac:dyDescent="0.25">
      <c r="A67" s="348" t="s">
        <v>19</v>
      </c>
      <c r="B67" s="719" t="s">
        <v>628</v>
      </c>
      <c r="C67" s="1023">
        <f>+C11+C25+C31+C41+C53+C59+C63</f>
        <v>602835137</v>
      </c>
      <c r="D67" s="187">
        <f t="shared" ref="D67:K67" si="23">+D11+D25+D31+D41+D53+D59+D63</f>
        <v>616450137</v>
      </c>
      <c r="E67" s="532">
        <f t="shared" si="23"/>
        <v>690517637</v>
      </c>
      <c r="F67" s="532">
        <f t="shared" si="23"/>
        <v>0</v>
      </c>
      <c r="G67" s="532">
        <f t="shared" si="23"/>
        <v>0</v>
      </c>
      <c r="H67" s="74">
        <f t="shared" si="2"/>
        <v>74067500</v>
      </c>
      <c r="I67" s="638">
        <f t="shared" si="23"/>
        <v>0</v>
      </c>
      <c r="J67" s="74">
        <f t="shared" si="23"/>
        <v>0</v>
      </c>
      <c r="K67" s="74">
        <f t="shared" si="23"/>
        <v>0</v>
      </c>
      <c r="L67" s="74">
        <f t="shared" ref="L67" si="24">+L11+L19+L25+L31+L41+L53+L59+L63</f>
        <v>0</v>
      </c>
    </row>
    <row r="68" spans="1:12" s="54" customFormat="1" ht="12.2" customHeight="1" thickBot="1" x14ac:dyDescent="0.25">
      <c r="A68" s="63" t="s">
        <v>20</v>
      </c>
      <c r="B68" s="347" t="s">
        <v>629</v>
      </c>
      <c r="C68" s="113">
        <f>SUM(C69:C71)</f>
        <v>0</v>
      </c>
      <c r="D68" s="186">
        <f t="shared" ref="D68:K68" si="25">SUM(D69:D71)</f>
        <v>0</v>
      </c>
      <c r="E68" s="566">
        <f t="shared" si="25"/>
        <v>0</v>
      </c>
      <c r="F68" s="566">
        <f t="shared" si="25"/>
        <v>0</v>
      </c>
      <c r="G68" s="566">
        <f t="shared" si="25"/>
        <v>0</v>
      </c>
      <c r="H68" s="28">
        <f t="shared" si="2"/>
        <v>0</v>
      </c>
      <c r="I68" s="628">
        <f t="shared" si="25"/>
        <v>0</v>
      </c>
      <c r="J68" s="28">
        <f t="shared" si="25"/>
        <v>0</v>
      </c>
      <c r="K68" s="28">
        <f t="shared" si="25"/>
        <v>0</v>
      </c>
      <c r="L68" s="28">
        <f t="shared" ref="L68" si="26">SUM(L69:L71)</f>
        <v>0</v>
      </c>
    </row>
    <row r="69" spans="1:12" s="54" customFormat="1" ht="12.2" customHeight="1" x14ac:dyDescent="0.2">
      <c r="A69" s="12" t="s">
        <v>171</v>
      </c>
      <c r="B69" s="716" t="s">
        <v>215</v>
      </c>
      <c r="C69" s="402"/>
      <c r="D69" s="326"/>
      <c r="E69" s="573"/>
      <c r="F69" s="573"/>
      <c r="G69" s="573"/>
      <c r="H69" s="328">
        <f t="shared" si="2"/>
        <v>0</v>
      </c>
      <c r="I69" s="666"/>
      <c r="J69" s="328"/>
      <c r="K69" s="328"/>
      <c r="L69" s="328"/>
    </row>
    <row r="70" spans="1:12" s="54" customFormat="1" ht="12.2" customHeight="1" x14ac:dyDescent="0.2">
      <c r="A70" s="1003" t="s">
        <v>172</v>
      </c>
      <c r="B70" s="717" t="s">
        <v>324</v>
      </c>
      <c r="C70" s="402"/>
      <c r="D70" s="326"/>
      <c r="E70" s="573"/>
      <c r="F70" s="573"/>
      <c r="G70" s="573"/>
      <c r="H70" s="328">
        <f t="shared" si="2"/>
        <v>0</v>
      </c>
      <c r="I70" s="666"/>
      <c r="J70" s="328"/>
      <c r="K70" s="328"/>
      <c r="L70" s="328"/>
    </row>
    <row r="71" spans="1:12" s="54" customFormat="1" ht="12.2" customHeight="1" thickBot="1" x14ac:dyDescent="0.25">
      <c r="A71" s="1005" t="s">
        <v>173</v>
      </c>
      <c r="B71" s="717" t="s">
        <v>513</v>
      </c>
      <c r="C71" s="402"/>
      <c r="D71" s="326"/>
      <c r="E71" s="573"/>
      <c r="F71" s="573"/>
      <c r="G71" s="573"/>
      <c r="H71" s="328">
        <f t="shared" si="2"/>
        <v>0</v>
      </c>
      <c r="I71" s="666"/>
      <c r="J71" s="328"/>
      <c r="K71" s="328"/>
      <c r="L71" s="328"/>
    </row>
    <row r="72" spans="1:12" s="54" customFormat="1" ht="12.2" customHeight="1" thickBot="1" x14ac:dyDescent="0.25">
      <c r="A72" s="63" t="s">
        <v>21</v>
      </c>
      <c r="B72" s="347" t="s">
        <v>611</v>
      </c>
      <c r="C72" s="113">
        <f>SUM(C73:C75)</f>
        <v>0</v>
      </c>
      <c r="D72" s="186">
        <f t="shared" ref="D72:K72" si="27">SUM(D73:D75)</f>
        <v>0</v>
      </c>
      <c r="E72" s="566">
        <f t="shared" si="27"/>
        <v>0</v>
      </c>
      <c r="F72" s="566">
        <f t="shared" si="27"/>
        <v>0</v>
      </c>
      <c r="G72" s="566">
        <f t="shared" si="27"/>
        <v>0</v>
      </c>
      <c r="H72" s="28">
        <f t="shared" si="2"/>
        <v>0</v>
      </c>
      <c r="I72" s="628">
        <f t="shared" si="27"/>
        <v>0</v>
      </c>
      <c r="J72" s="28">
        <f t="shared" si="27"/>
        <v>0</v>
      </c>
      <c r="K72" s="28">
        <f t="shared" si="27"/>
        <v>0</v>
      </c>
      <c r="L72" s="28">
        <f t="shared" ref="L72" si="28">SUM(L73:L75)</f>
        <v>0</v>
      </c>
    </row>
    <row r="73" spans="1:12" s="54" customFormat="1" ht="12.2" customHeight="1" x14ac:dyDescent="0.2">
      <c r="A73" s="12" t="s">
        <v>214</v>
      </c>
      <c r="B73" s="716" t="s">
        <v>218</v>
      </c>
      <c r="C73" s="402"/>
      <c r="D73" s="326"/>
      <c r="E73" s="573"/>
      <c r="F73" s="573"/>
      <c r="G73" s="573"/>
      <c r="H73" s="328">
        <f t="shared" si="2"/>
        <v>0</v>
      </c>
      <c r="I73" s="666"/>
      <c r="J73" s="328"/>
      <c r="K73" s="328"/>
      <c r="L73" s="328"/>
    </row>
    <row r="74" spans="1:12" s="54" customFormat="1" ht="12.2" customHeight="1" x14ac:dyDescent="0.2">
      <c r="A74" s="12" t="s">
        <v>640</v>
      </c>
      <c r="B74" s="716" t="s">
        <v>390</v>
      </c>
      <c r="C74" s="402"/>
      <c r="D74" s="326"/>
      <c r="E74" s="573"/>
      <c r="F74" s="573"/>
      <c r="G74" s="573"/>
      <c r="H74" s="328">
        <f t="shared" si="2"/>
        <v>0</v>
      </c>
      <c r="I74" s="666"/>
      <c r="J74" s="328"/>
      <c r="K74" s="328"/>
      <c r="L74" s="328"/>
    </row>
    <row r="75" spans="1:12" s="54" customFormat="1" ht="12.2" customHeight="1" thickBot="1" x14ac:dyDescent="0.25">
      <c r="A75" s="1003" t="s">
        <v>216</v>
      </c>
      <c r="B75" s="717" t="s">
        <v>535</v>
      </c>
      <c r="C75" s="402"/>
      <c r="D75" s="326"/>
      <c r="E75" s="573"/>
      <c r="F75" s="573"/>
      <c r="G75" s="573"/>
      <c r="H75" s="328">
        <f t="shared" si="2"/>
        <v>0</v>
      </c>
      <c r="I75" s="666"/>
      <c r="J75" s="328"/>
      <c r="K75" s="328"/>
      <c r="L75" s="328"/>
    </row>
    <row r="76" spans="1:12" s="54" customFormat="1" ht="12.2" customHeight="1" thickBot="1" x14ac:dyDescent="0.25">
      <c r="A76" s="63" t="s">
        <v>22</v>
      </c>
      <c r="B76" s="347" t="s">
        <v>612</v>
      </c>
      <c r="C76" s="113">
        <f>SUM(C77:C78)</f>
        <v>0</v>
      </c>
      <c r="D76" s="186">
        <f t="shared" ref="D76:K76" si="29">SUM(D77:D78)</f>
        <v>0</v>
      </c>
      <c r="E76" s="566">
        <f t="shared" si="29"/>
        <v>0</v>
      </c>
      <c r="F76" s="566">
        <f t="shared" si="29"/>
        <v>0</v>
      </c>
      <c r="G76" s="566">
        <f t="shared" si="29"/>
        <v>0</v>
      </c>
      <c r="H76" s="28">
        <f t="shared" ref="H76:H84" si="30">+E76-D76</f>
        <v>0</v>
      </c>
      <c r="I76" s="628">
        <f t="shared" si="29"/>
        <v>0</v>
      </c>
      <c r="J76" s="28">
        <f t="shared" si="29"/>
        <v>0</v>
      </c>
      <c r="K76" s="28">
        <f t="shared" si="29"/>
        <v>0</v>
      </c>
      <c r="L76" s="28">
        <f t="shared" ref="L76" si="31">SUM(L77:L78)</f>
        <v>0</v>
      </c>
    </row>
    <row r="77" spans="1:12" s="54" customFormat="1" ht="12.2" customHeight="1" x14ac:dyDescent="0.2">
      <c r="A77" s="12" t="s">
        <v>217</v>
      </c>
      <c r="B77" s="59" t="s">
        <v>369</v>
      </c>
      <c r="C77" s="402"/>
      <c r="D77" s="326"/>
      <c r="E77" s="573"/>
      <c r="F77" s="573"/>
      <c r="G77" s="573"/>
      <c r="H77" s="328">
        <f t="shared" si="30"/>
        <v>0</v>
      </c>
      <c r="I77" s="666"/>
      <c r="J77" s="328"/>
      <c r="K77" s="328"/>
      <c r="L77" s="328"/>
    </row>
    <row r="78" spans="1:12" s="54" customFormat="1" ht="12.2" customHeight="1" thickBot="1" x14ac:dyDescent="0.25">
      <c r="A78" s="1005" t="s">
        <v>219</v>
      </c>
      <c r="B78" s="59" t="s">
        <v>370</v>
      </c>
      <c r="C78" s="402"/>
      <c r="D78" s="326"/>
      <c r="E78" s="573"/>
      <c r="F78" s="573"/>
      <c r="G78" s="573"/>
      <c r="H78" s="328">
        <f t="shared" si="30"/>
        <v>0</v>
      </c>
      <c r="I78" s="666"/>
      <c r="J78" s="328"/>
      <c r="K78" s="328"/>
      <c r="L78" s="328"/>
    </row>
    <row r="79" spans="1:12" s="26" customFormat="1" ht="12.2" customHeight="1" thickBot="1" x14ac:dyDescent="0.25">
      <c r="A79" s="63" t="s">
        <v>23</v>
      </c>
      <c r="B79" s="347" t="s">
        <v>613</v>
      </c>
      <c r="C79" s="113">
        <f>SUM(C80:C82)</f>
        <v>0</v>
      </c>
      <c r="D79" s="186">
        <f t="shared" ref="D79:K79" si="32">SUM(D80:D82)</f>
        <v>0</v>
      </c>
      <c r="E79" s="566">
        <f t="shared" si="32"/>
        <v>0</v>
      </c>
      <c r="F79" s="566">
        <f t="shared" si="32"/>
        <v>0</v>
      </c>
      <c r="G79" s="566">
        <f t="shared" si="32"/>
        <v>0</v>
      </c>
      <c r="H79" s="28">
        <f t="shared" si="30"/>
        <v>0</v>
      </c>
      <c r="I79" s="628">
        <f t="shared" si="32"/>
        <v>0</v>
      </c>
      <c r="J79" s="28">
        <f t="shared" si="32"/>
        <v>0</v>
      </c>
      <c r="K79" s="28">
        <f t="shared" si="32"/>
        <v>0</v>
      </c>
      <c r="L79" s="28">
        <f t="shared" ref="L79" si="33">SUM(L80:L82)</f>
        <v>0</v>
      </c>
    </row>
    <row r="80" spans="1:12" s="54" customFormat="1" ht="12.2" customHeight="1" x14ac:dyDescent="0.2">
      <c r="A80" s="12" t="s">
        <v>220</v>
      </c>
      <c r="B80" s="716" t="s">
        <v>303</v>
      </c>
      <c r="C80" s="402"/>
      <c r="D80" s="326"/>
      <c r="E80" s="573"/>
      <c r="F80" s="573"/>
      <c r="G80" s="573"/>
      <c r="H80" s="328">
        <f t="shared" si="30"/>
        <v>0</v>
      </c>
      <c r="I80" s="666"/>
      <c r="J80" s="328"/>
      <c r="K80" s="328"/>
      <c r="L80" s="328"/>
    </row>
    <row r="81" spans="1:16" s="54" customFormat="1" ht="12.2" customHeight="1" x14ac:dyDescent="0.2">
      <c r="A81" s="1003" t="s">
        <v>221</v>
      </c>
      <c r="B81" s="717" t="s">
        <v>304</v>
      </c>
      <c r="C81" s="402"/>
      <c r="D81" s="326"/>
      <c r="E81" s="573"/>
      <c r="F81" s="573"/>
      <c r="G81" s="573"/>
      <c r="H81" s="328">
        <f t="shared" si="30"/>
        <v>0</v>
      </c>
      <c r="I81" s="666"/>
      <c r="J81" s="328"/>
      <c r="K81" s="328"/>
      <c r="L81" s="328"/>
    </row>
    <row r="82" spans="1:16" s="54" customFormat="1" ht="12.2" customHeight="1" thickBot="1" x14ac:dyDescent="0.25">
      <c r="A82" s="1005" t="s">
        <v>325</v>
      </c>
      <c r="B82" s="496" t="s">
        <v>378</v>
      </c>
      <c r="C82" s="402"/>
      <c r="D82" s="326"/>
      <c r="E82" s="573"/>
      <c r="F82" s="573"/>
      <c r="G82" s="573"/>
      <c r="H82" s="328">
        <f t="shared" si="30"/>
        <v>0</v>
      </c>
      <c r="I82" s="666"/>
      <c r="J82" s="328"/>
      <c r="K82" s="328"/>
      <c r="L82" s="328"/>
    </row>
    <row r="83" spans="1:16" s="26" customFormat="1" ht="12.2" customHeight="1" thickBot="1" x14ac:dyDescent="0.25">
      <c r="A83" s="63" t="s">
        <v>24</v>
      </c>
      <c r="B83" s="347" t="s">
        <v>614</v>
      </c>
      <c r="C83" s="1023">
        <f>+C68+C72+C76+C79</f>
        <v>0</v>
      </c>
      <c r="D83" s="187">
        <f t="shared" ref="D83:K83" si="34">+D68+D72+D76+D79</f>
        <v>0</v>
      </c>
      <c r="E83" s="532">
        <f t="shared" si="34"/>
        <v>0</v>
      </c>
      <c r="F83" s="532">
        <f t="shared" si="34"/>
        <v>0</v>
      </c>
      <c r="G83" s="532">
        <f t="shared" si="34"/>
        <v>0</v>
      </c>
      <c r="H83" s="74">
        <f t="shared" si="30"/>
        <v>0</v>
      </c>
      <c r="I83" s="638">
        <f t="shared" si="34"/>
        <v>0</v>
      </c>
      <c r="J83" s="74">
        <f t="shared" si="34"/>
        <v>0</v>
      </c>
      <c r="K83" s="74">
        <f t="shared" si="34"/>
        <v>0</v>
      </c>
      <c r="L83" s="74">
        <f t="shared" ref="L83" si="35">+L68+L72+L76+L79</f>
        <v>0</v>
      </c>
    </row>
    <row r="84" spans="1:16" s="26" customFormat="1" ht="12.2" customHeight="1" thickBot="1" x14ac:dyDescent="0.25">
      <c r="A84" s="80" t="s">
        <v>25</v>
      </c>
      <c r="B84" s="561" t="s">
        <v>635</v>
      </c>
      <c r="C84" s="1023">
        <f>+C67+C83</f>
        <v>602835137</v>
      </c>
      <c r="D84" s="624">
        <f t="shared" ref="D84:K84" si="36">+D67+D83</f>
        <v>616450137</v>
      </c>
      <c r="E84" s="532">
        <f t="shared" si="36"/>
        <v>690517637</v>
      </c>
      <c r="F84" s="532">
        <f t="shared" si="36"/>
        <v>0</v>
      </c>
      <c r="G84" s="532">
        <f t="shared" si="36"/>
        <v>0</v>
      </c>
      <c r="H84" s="74">
        <f t="shared" si="30"/>
        <v>74067500</v>
      </c>
      <c r="I84" s="638">
        <f t="shared" si="36"/>
        <v>0</v>
      </c>
      <c r="J84" s="74">
        <f t="shared" si="36"/>
        <v>0</v>
      </c>
      <c r="K84" s="74">
        <f t="shared" si="36"/>
        <v>0</v>
      </c>
      <c r="L84" s="74">
        <f t="shared" ref="L84" si="37">+L67+L83</f>
        <v>0</v>
      </c>
      <c r="N84" s="111"/>
    </row>
    <row r="85" spans="1:16" s="54" customFormat="1" ht="15" customHeight="1" x14ac:dyDescent="0.2">
      <c r="A85" s="274"/>
      <c r="B85" s="275"/>
      <c r="C85" s="144"/>
      <c r="D85" s="66"/>
      <c r="E85" s="66"/>
      <c r="F85" s="66"/>
      <c r="G85" s="66"/>
      <c r="H85" s="144"/>
      <c r="I85" s="144"/>
      <c r="J85" s="144"/>
      <c r="K85" s="144"/>
      <c r="L85" s="144"/>
      <c r="N85" s="54" t="b">
        <f>D84=D132</f>
        <v>1</v>
      </c>
    </row>
    <row r="86" spans="1:16" ht="13.5" thickBot="1" x14ac:dyDescent="0.25">
      <c r="A86" s="1912" t="s">
        <v>385</v>
      </c>
      <c r="B86" s="1912"/>
      <c r="C86" s="1912"/>
      <c r="D86" s="1912"/>
      <c r="E86" s="1912"/>
      <c r="F86" s="1912"/>
      <c r="G86" s="1912"/>
      <c r="H86" s="1912"/>
      <c r="I86" s="25"/>
      <c r="J86" s="25"/>
      <c r="K86" s="25"/>
      <c r="L86" s="25"/>
    </row>
    <row r="87" spans="1:16" s="554" customFormat="1" ht="53.45" customHeight="1" thickBot="1" x14ac:dyDescent="0.25">
      <c r="A87" s="641"/>
      <c r="B87" s="642" t="s">
        <v>38</v>
      </c>
      <c r="C87" s="21" t="str">
        <f>C8</f>
        <v>2023. évi eredeti előirányzat
2/2023. (II.14.)</v>
      </c>
      <c r="D87" s="166" t="str">
        <f t="shared" ref="D87:L87" si="38">D8</f>
        <v>Módosított előirányzat a 14/2023.  (VI.29.)  rendelet szerint</v>
      </c>
      <c r="E87" s="21" t="str">
        <f t="shared" si="38"/>
        <v>Módosított előirányzat a 18/2023. (IX.26.)  rendelet szerint</v>
      </c>
      <c r="F87" s="21" t="str">
        <f t="shared" si="38"/>
        <v>Módosított előirányzat 2023.09.30-án</v>
      </c>
      <c r="G87" s="21" t="str">
        <f t="shared" si="38"/>
        <v>Módosított előirányzat a …../2023. (II…..)  rendelet szerint</v>
      </c>
      <c r="H87" s="32" t="str">
        <f t="shared" si="38"/>
        <v>Változás a 14/2023. (VI.29.) rendelethez képest</v>
      </c>
      <c r="I87" s="166" t="str">
        <f t="shared" si="38"/>
        <v>2023. évi teljesítés              2023.06.30-ig</v>
      </c>
      <c r="J87" s="21" t="str">
        <f t="shared" si="38"/>
        <v>2023. évi teljesítés              2023.09.30-ig</v>
      </c>
      <c r="K87" s="21" t="str">
        <f t="shared" si="38"/>
        <v>2023. évi teljesítés              2023.12.31-ig</v>
      </c>
      <c r="L87" s="21" t="str">
        <f t="shared" si="38"/>
        <v>Teljesítés %-a</v>
      </c>
    </row>
    <row r="88" spans="1:16" s="31" customFormat="1" ht="12.2" customHeight="1" thickBot="1" x14ac:dyDescent="0.25">
      <c r="A88" s="76" t="s">
        <v>12</v>
      </c>
      <c r="B88" s="815" t="s">
        <v>547</v>
      </c>
      <c r="C88" s="1021">
        <f>C89+C91+C92+C93+C94</f>
        <v>0</v>
      </c>
      <c r="D88" s="183">
        <f t="shared" ref="D88:K88" si="39">D89+D91+D92+D93+D94</f>
        <v>0</v>
      </c>
      <c r="E88" s="574">
        <f t="shared" si="39"/>
        <v>0</v>
      </c>
      <c r="F88" s="574">
        <f t="shared" si="39"/>
        <v>0</v>
      </c>
      <c r="G88" s="574">
        <f t="shared" si="39"/>
        <v>0</v>
      </c>
      <c r="H88" s="77">
        <f t="shared" ref="H88:H131" si="40">+E88-D88</f>
        <v>0</v>
      </c>
      <c r="I88" s="670">
        <f t="shared" si="39"/>
        <v>0</v>
      </c>
      <c r="J88" s="77">
        <f t="shared" si="39"/>
        <v>0</v>
      </c>
      <c r="K88" s="77">
        <f t="shared" si="39"/>
        <v>0</v>
      </c>
      <c r="L88" s="77">
        <f t="shared" ref="L88" si="41">L89+L91+L92+L93+L94+L101</f>
        <v>0</v>
      </c>
    </row>
    <row r="89" spans="1:16" ht="12.2" customHeight="1" x14ac:dyDescent="0.2">
      <c r="A89" s="99" t="s">
        <v>91</v>
      </c>
      <c r="B89" s="50" t="s">
        <v>68</v>
      </c>
      <c r="C89" s="117"/>
      <c r="D89" s="184"/>
      <c r="E89" s="575"/>
      <c r="F89" s="575"/>
      <c r="G89" s="575"/>
      <c r="H89" s="78">
        <f t="shared" si="40"/>
        <v>0</v>
      </c>
      <c r="I89" s="671"/>
      <c r="J89" s="78"/>
      <c r="K89" s="78"/>
      <c r="L89" s="78"/>
    </row>
    <row r="90" spans="1:16" ht="12.2" customHeight="1" x14ac:dyDescent="0.2">
      <c r="A90" s="1003" t="s">
        <v>305</v>
      </c>
      <c r="B90" s="335" t="s">
        <v>270</v>
      </c>
      <c r="C90" s="114"/>
      <c r="D90" s="185"/>
      <c r="E90" s="567"/>
      <c r="F90" s="567"/>
      <c r="G90" s="567"/>
      <c r="H90" s="16">
        <f t="shared" si="40"/>
        <v>0</v>
      </c>
      <c r="I90" s="626"/>
      <c r="J90" s="16"/>
      <c r="K90" s="16"/>
      <c r="L90" s="16"/>
    </row>
    <row r="91" spans="1:16" ht="12.2" customHeight="1" x14ac:dyDescent="0.2">
      <c r="A91" s="1003" t="s">
        <v>92</v>
      </c>
      <c r="B91" s="330" t="s">
        <v>87</v>
      </c>
      <c r="C91" s="401"/>
      <c r="D91" s="325"/>
      <c r="E91" s="568"/>
      <c r="F91" s="568"/>
      <c r="G91" s="568"/>
      <c r="H91" s="327">
        <f t="shared" si="40"/>
        <v>0</v>
      </c>
      <c r="I91" s="627"/>
      <c r="J91" s="327"/>
      <c r="K91" s="327"/>
      <c r="L91" s="327"/>
    </row>
    <row r="92" spans="1:16" ht="12.2" customHeight="1" x14ac:dyDescent="0.2">
      <c r="A92" s="1003" t="s">
        <v>93</v>
      </c>
      <c r="B92" s="330" t="s">
        <v>69</v>
      </c>
      <c r="C92" s="504"/>
      <c r="D92" s="625"/>
      <c r="E92" s="569"/>
      <c r="F92" s="569"/>
      <c r="G92" s="569"/>
      <c r="H92" s="525">
        <f t="shared" si="40"/>
        <v>0</v>
      </c>
      <c r="I92" s="629"/>
      <c r="J92" s="525"/>
      <c r="K92" s="525"/>
      <c r="L92" s="525"/>
    </row>
    <row r="93" spans="1:16" ht="12.2" customHeight="1" x14ac:dyDescent="0.2">
      <c r="A93" s="1003" t="s">
        <v>90</v>
      </c>
      <c r="B93" s="330" t="s">
        <v>80</v>
      </c>
      <c r="C93" s="504"/>
      <c r="D93" s="625"/>
      <c r="E93" s="569"/>
      <c r="F93" s="569"/>
      <c r="G93" s="569"/>
      <c r="H93" s="525">
        <f t="shared" si="40"/>
        <v>0</v>
      </c>
      <c r="I93" s="629"/>
      <c r="J93" s="525"/>
      <c r="K93" s="525"/>
      <c r="L93" s="525"/>
      <c r="P93" s="25" t="s">
        <v>385</v>
      </c>
    </row>
    <row r="94" spans="1:16" ht="12.2" customHeight="1" x14ac:dyDescent="0.2">
      <c r="A94" s="1003" t="s">
        <v>147</v>
      </c>
      <c r="B94" s="52" t="s">
        <v>88</v>
      </c>
      <c r="C94" s="504">
        <f>SUM(C95:C101)</f>
        <v>0</v>
      </c>
      <c r="D94" s="625">
        <f t="shared" ref="D94:K94" si="42">SUM(D95:D101)</f>
        <v>0</v>
      </c>
      <c r="E94" s="569">
        <f t="shared" si="42"/>
        <v>0</v>
      </c>
      <c r="F94" s="569">
        <f t="shared" si="42"/>
        <v>0</v>
      </c>
      <c r="G94" s="569">
        <f t="shared" si="42"/>
        <v>0</v>
      </c>
      <c r="H94" s="525">
        <f t="shared" si="40"/>
        <v>0</v>
      </c>
      <c r="I94" s="629">
        <f t="shared" si="42"/>
        <v>0</v>
      </c>
      <c r="J94" s="525">
        <f t="shared" si="42"/>
        <v>0</v>
      </c>
      <c r="K94" s="525">
        <f t="shared" si="42"/>
        <v>0</v>
      </c>
      <c r="L94" s="525">
        <f t="shared" ref="L94" si="43">SUM(L95:L100)</f>
        <v>0</v>
      </c>
    </row>
    <row r="95" spans="1:16" ht="12.2" customHeight="1" x14ac:dyDescent="0.2">
      <c r="A95" s="1003" t="s">
        <v>306</v>
      </c>
      <c r="B95" s="693" t="s">
        <v>554</v>
      </c>
      <c r="C95" s="504"/>
      <c r="D95" s="625"/>
      <c r="E95" s="569"/>
      <c r="F95" s="569"/>
      <c r="G95" s="569"/>
      <c r="H95" s="525">
        <f t="shared" si="40"/>
        <v>0</v>
      </c>
      <c r="I95" s="629"/>
      <c r="J95" s="525"/>
      <c r="K95" s="525"/>
      <c r="L95" s="525"/>
    </row>
    <row r="96" spans="1:16" ht="12.2" customHeight="1" x14ac:dyDescent="0.2">
      <c r="A96" s="1003" t="s">
        <v>307</v>
      </c>
      <c r="B96" s="816" t="s">
        <v>647</v>
      </c>
      <c r="C96" s="504"/>
      <c r="D96" s="625"/>
      <c r="E96" s="569"/>
      <c r="F96" s="569"/>
      <c r="G96" s="569"/>
      <c r="H96" s="525">
        <f t="shared" si="40"/>
        <v>0</v>
      </c>
      <c r="I96" s="629"/>
      <c r="J96" s="525"/>
      <c r="K96" s="525"/>
      <c r="L96" s="525"/>
    </row>
    <row r="97" spans="1:16" ht="12.2" customHeight="1" x14ac:dyDescent="0.2">
      <c r="A97" s="1003" t="s">
        <v>308</v>
      </c>
      <c r="B97" s="816" t="s">
        <v>646</v>
      </c>
      <c r="C97" s="504"/>
      <c r="D97" s="625"/>
      <c r="E97" s="569"/>
      <c r="F97" s="569"/>
      <c r="G97" s="569"/>
      <c r="H97" s="525">
        <f t="shared" si="40"/>
        <v>0</v>
      </c>
      <c r="I97" s="629"/>
      <c r="J97" s="525"/>
      <c r="K97" s="525"/>
      <c r="L97" s="525"/>
    </row>
    <row r="98" spans="1:16" ht="12.2" customHeight="1" x14ac:dyDescent="0.2">
      <c r="A98" s="1003" t="s">
        <v>309</v>
      </c>
      <c r="B98" s="816" t="s">
        <v>645</v>
      </c>
      <c r="C98" s="504"/>
      <c r="D98" s="625"/>
      <c r="E98" s="504"/>
      <c r="F98" s="569"/>
      <c r="G98" s="569"/>
      <c r="H98" s="525">
        <f t="shared" si="40"/>
        <v>0</v>
      </c>
      <c r="I98" s="629"/>
      <c r="J98" s="525"/>
      <c r="K98" s="525"/>
      <c r="L98" s="525"/>
    </row>
    <row r="99" spans="1:16" ht="12.2" customHeight="1" x14ac:dyDescent="0.2">
      <c r="A99" s="1003" t="s">
        <v>310</v>
      </c>
      <c r="B99" s="816" t="s">
        <v>650</v>
      </c>
      <c r="C99" s="504"/>
      <c r="D99" s="625"/>
      <c r="E99" s="504"/>
      <c r="F99" s="569"/>
      <c r="G99" s="569"/>
      <c r="H99" s="525">
        <f t="shared" si="40"/>
        <v>0</v>
      </c>
      <c r="I99" s="629"/>
      <c r="J99" s="525"/>
      <c r="K99" s="525"/>
      <c r="L99" s="525"/>
      <c r="P99" s="25" t="s">
        <v>385</v>
      </c>
    </row>
    <row r="100" spans="1:16" ht="12.2" customHeight="1" x14ac:dyDescent="0.2">
      <c r="A100" s="1003" t="s">
        <v>361</v>
      </c>
      <c r="B100" s="816" t="s">
        <v>644</v>
      </c>
      <c r="C100" s="504"/>
      <c r="D100" s="625"/>
      <c r="E100" s="504"/>
      <c r="F100" s="569"/>
      <c r="G100" s="569"/>
      <c r="H100" s="525">
        <f t="shared" si="40"/>
        <v>0</v>
      </c>
      <c r="I100" s="629"/>
      <c r="J100" s="525"/>
      <c r="K100" s="525"/>
      <c r="L100" s="525"/>
    </row>
    <row r="101" spans="1:16" ht="12.2" customHeight="1" x14ac:dyDescent="0.2">
      <c r="A101" s="1003" t="s">
        <v>615</v>
      </c>
      <c r="B101" s="817" t="s">
        <v>649</v>
      </c>
      <c r="C101" s="1028">
        <f>+C102+C103</f>
        <v>0</v>
      </c>
      <c r="D101" s="662">
        <f t="shared" ref="D101:K101" si="44">+D102+D103</f>
        <v>0</v>
      </c>
      <c r="E101" s="576">
        <f t="shared" si="44"/>
        <v>0</v>
      </c>
      <c r="F101" s="576">
        <f t="shared" si="44"/>
        <v>0</v>
      </c>
      <c r="G101" s="576">
        <f t="shared" si="44"/>
        <v>0</v>
      </c>
      <c r="H101" s="527">
        <f t="shared" si="40"/>
        <v>0</v>
      </c>
      <c r="I101" s="826">
        <f t="shared" si="44"/>
        <v>0</v>
      </c>
      <c r="J101" s="527">
        <f t="shared" si="44"/>
        <v>0</v>
      </c>
      <c r="K101" s="527">
        <f t="shared" si="44"/>
        <v>0</v>
      </c>
      <c r="L101" s="527">
        <f t="shared" ref="L101" si="45">+L102+L103</f>
        <v>0</v>
      </c>
    </row>
    <row r="102" spans="1:16" ht="12.75" customHeight="1" x14ac:dyDescent="0.2">
      <c r="A102" s="12" t="s">
        <v>616</v>
      </c>
      <c r="B102" s="818" t="s">
        <v>617</v>
      </c>
      <c r="C102" s="114"/>
      <c r="D102" s="185"/>
      <c r="E102" s="567"/>
      <c r="F102" s="567"/>
      <c r="G102" s="567"/>
      <c r="H102" s="16">
        <f t="shared" si="40"/>
        <v>0</v>
      </c>
      <c r="I102" s="626"/>
      <c r="J102" s="16"/>
      <c r="K102" s="16"/>
      <c r="L102" s="16"/>
    </row>
    <row r="103" spans="1:16" ht="12.75" customHeight="1" x14ac:dyDescent="0.2">
      <c r="A103" s="1005" t="s">
        <v>618</v>
      </c>
      <c r="B103" s="819" t="s">
        <v>619</v>
      </c>
      <c r="C103" s="401">
        <f>SUM(C104:C105)</f>
        <v>0</v>
      </c>
      <c r="D103" s="325">
        <f t="shared" ref="D103:K103" si="46">SUM(D104:D105)</f>
        <v>0</v>
      </c>
      <c r="E103" s="568">
        <f t="shared" si="46"/>
        <v>0</v>
      </c>
      <c r="F103" s="568">
        <f t="shared" si="46"/>
        <v>0</v>
      </c>
      <c r="G103" s="568">
        <f t="shared" si="46"/>
        <v>0</v>
      </c>
      <c r="H103" s="327">
        <f t="shared" si="40"/>
        <v>0</v>
      </c>
      <c r="I103" s="627">
        <f t="shared" si="46"/>
        <v>0</v>
      </c>
      <c r="J103" s="327">
        <f t="shared" si="46"/>
        <v>0</v>
      </c>
      <c r="K103" s="327">
        <f t="shared" si="46"/>
        <v>0</v>
      </c>
      <c r="L103" s="327">
        <f t="shared" ref="L103" si="47">SUM(L104:L105)</f>
        <v>0</v>
      </c>
    </row>
    <row r="104" spans="1:16" ht="12.75" customHeight="1" x14ac:dyDescent="0.2">
      <c r="A104" s="1005" t="s">
        <v>620</v>
      </c>
      <c r="B104" s="820" t="s">
        <v>648</v>
      </c>
      <c r="C104" s="401"/>
      <c r="D104" s="325"/>
      <c r="E104" s="568"/>
      <c r="F104" s="568"/>
      <c r="G104" s="568"/>
      <c r="H104" s="327">
        <f t="shared" si="40"/>
        <v>0</v>
      </c>
      <c r="I104" s="627"/>
      <c r="J104" s="327"/>
      <c r="K104" s="327"/>
      <c r="L104" s="327"/>
    </row>
    <row r="105" spans="1:16" ht="12.75" customHeight="1" thickBot="1" x14ac:dyDescent="0.25">
      <c r="A105" s="1005" t="s">
        <v>621</v>
      </c>
      <c r="B105" s="820" t="s">
        <v>636</v>
      </c>
      <c r="C105" s="401"/>
      <c r="D105" s="325"/>
      <c r="E105" s="568"/>
      <c r="F105" s="568"/>
      <c r="G105" s="568"/>
      <c r="H105" s="327">
        <f t="shared" si="40"/>
        <v>0</v>
      </c>
      <c r="I105" s="627"/>
      <c r="J105" s="327"/>
      <c r="K105" s="327"/>
      <c r="L105" s="327"/>
    </row>
    <row r="106" spans="1:16" ht="12.2" customHeight="1" thickBot="1" x14ac:dyDescent="0.25">
      <c r="A106" s="14" t="s">
        <v>13</v>
      </c>
      <c r="B106" s="100" t="s">
        <v>384</v>
      </c>
      <c r="C106" s="113">
        <f>+C107+C109+C111</f>
        <v>0</v>
      </c>
      <c r="D106" s="186">
        <f t="shared" ref="D106:K106" si="48">+D107+D109+D111</f>
        <v>0</v>
      </c>
      <c r="E106" s="566">
        <f t="shared" si="48"/>
        <v>0</v>
      </c>
      <c r="F106" s="566">
        <f t="shared" si="48"/>
        <v>0</v>
      </c>
      <c r="G106" s="566">
        <f t="shared" si="48"/>
        <v>0</v>
      </c>
      <c r="H106" s="28">
        <f t="shared" si="40"/>
        <v>0</v>
      </c>
      <c r="I106" s="628">
        <f t="shared" si="48"/>
        <v>0</v>
      </c>
      <c r="J106" s="28">
        <f t="shared" si="48"/>
        <v>0</v>
      </c>
      <c r="K106" s="28">
        <f t="shared" si="48"/>
        <v>0</v>
      </c>
      <c r="L106" s="28">
        <f t="shared" ref="L106" si="49">+L107+L109+L111</f>
        <v>0</v>
      </c>
    </row>
    <row r="107" spans="1:16" ht="12.2" customHeight="1" x14ac:dyDescent="0.2">
      <c r="A107" s="12" t="s">
        <v>94</v>
      </c>
      <c r="B107" s="330" t="s">
        <v>119</v>
      </c>
      <c r="C107" s="114"/>
      <c r="D107" s="185"/>
      <c r="E107" s="567"/>
      <c r="F107" s="567"/>
      <c r="G107" s="567"/>
      <c r="H107" s="16">
        <f t="shared" si="40"/>
        <v>0</v>
      </c>
      <c r="I107" s="626"/>
      <c r="J107" s="16"/>
      <c r="K107" s="16"/>
      <c r="L107" s="16"/>
    </row>
    <row r="108" spans="1:16" ht="12.2" customHeight="1" x14ac:dyDescent="0.2">
      <c r="A108" s="12" t="s">
        <v>316</v>
      </c>
      <c r="B108" s="819" t="s">
        <v>225</v>
      </c>
      <c r="C108" s="114"/>
      <c r="D108" s="185"/>
      <c r="E108" s="567"/>
      <c r="F108" s="567"/>
      <c r="G108" s="567"/>
      <c r="H108" s="16">
        <f t="shared" si="40"/>
        <v>0</v>
      </c>
      <c r="I108" s="626"/>
      <c r="J108" s="16"/>
      <c r="K108" s="16"/>
      <c r="L108" s="16"/>
    </row>
    <row r="109" spans="1:16" ht="12.2" customHeight="1" x14ac:dyDescent="0.2">
      <c r="A109" s="12" t="s">
        <v>95</v>
      </c>
      <c r="B109" s="354" t="s">
        <v>2</v>
      </c>
      <c r="C109" s="401"/>
      <c r="D109" s="325"/>
      <c r="E109" s="568"/>
      <c r="F109" s="568"/>
      <c r="G109" s="568"/>
      <c r="H109" s="327">
        <f t="shared" si="40"/>
        <v>0</v>
      </c>
      <c r="I109" s="627"/>
      <c r="J109" s="327"/>
      <c r="K109" s="327"/>
      <c r="L109" s="327"/>
    </row>
    <row r="110" spans="1:16" ht="12.2" customHeight="1" x14ac:dyDescent="0.2">
      <c r="A110" s="12" t="s">
        <v>315</v>
      </c>
      <c r="B110" s="819" t="s">
        <v>553</v>
      </c>
      <c r="C110" s="401"/>
      <c r="D110" s="325"/>
      <c r="E110" s="568"/>
      <c r="F110" s="568"/>
      <c r="G110" s="568"/>
      <c r="H110" s="327">
        <f t="shared" si="40"/>
        <v>0</v>
      </c>
      <c r="I110" s="627"/>
      <c r="J110" s="327"/>
      <c r="K110" s="327"/>
      <c r="L110" s="327"/>
    </row>
    <row r="111" spans="1:16" ht="12.2" customHeight="1" x14ac:dyDescent="0.2">
      <c r="A111" s="12" t="s">
        <v>96</v>
      </c>
      <c r="B111" s="496" t="s">
        <v>268</v>
      </c>
      <c r="C111" s="401">
        <f>SUM(C112:C115)</f>
        <v>0</v>
      </c>
      <c r="D111" s="325">
        <f t="shared" ref="D111:K111" si="50">SUM(D112:D115)</f>
        <v>0</v>
      </c>
      <c r="E111" s="568">
        <f t="shared" si="50"/>
        <v>0</v>
      </c>
      <c r="F111" s="568">
        <f t="shared" si="50"/>
        <v>0</v>
      </c>
      <c r="G111" s="568">
        <f t="shared" si="50"/>
        <v>0</v>
      </c>
      <c r="H111" s="327">
        <f t="shared" si="40"/>
        <v>0</v>
      </c>
      <c r="I111" s="627">
        <f t="shared" si="50"/>
        <v>0</v>
      </c>
      <c r="J111" s="327">
        <f t="shared" si="50"/>
        <v>0</v>
      </c>
      <c r="K111" s="327">
        <f t="shared" si="50"/>
        <v>0</v>
      </c>
      <c r="L111" s="327">
        <f t="shared" ref="L111" si="51">SUM(L112:L115)</f>
        <v>0</v>
      </c>
      <c r="O111" s="18"/>
    </row>
    <row r="112" spans="1:16" ht="12.2" customHeight="1" x14ac:dyDescent="0.2">
      <c r="A112" s="12" t="s">
        <v>317</v>
      </c>
      <c r="B112" s="351" t="s">
        <v>226</v>
      </c>
      <c r="C112" s="401"/>
      <c r="D112" s="325"/>
      <c r="E112" s="568"/>
      <c r="F112" s="568"/>
      <c r="G112" s="568"/>
      <c r="H112" s="327">
        <f t="shared" si="40"/>
        <v>0</v>
      </c>
      <c r="I112" s="627"/>
      <c r="J112" s="327"/>
      <c r="K112" s="327"/>
      <c r="L112" s="327"/>
    </row>
    <row r="113" spans="1:18" ht="12.2" customHeight="1" x14ac:dyDescent="0.2">
      <c r="A113" s="12" t="s">
        <v>318</v>
      </c>
      <c r="B113" s="351" t="s">
        <v>227</v>
      </c>
      <c r="C113" s="401"/>
      <c r="D113" s="325"/>
      <c r="E113" s="568"/>
      <c r="F113" s="568"/>
      <c r="G113" s="568"/>
      <c r="H113" s="327">
        <f t="shared" si="40"/>
        <v>0</v>
      </c>
      <c r="I113" s="627"/>
      <c r="J113" s="327"/>
      <c r="K113" s="327"/>
      <c r="L113" s="327"/>
    </row>
    <row r="114" spans="1:18" ht="12.2" customHeight="1" x14ac:dyDescent="0.2">
      <c r="A114" s="12" t="s">
        <v>319</v>
      </c>
      <c r="B114" s="351" t="s">
        <v>224</v>
      </c>
      <c r="C114" s="401"/>
      <c r="D114" s="325"/>
      <c r="E114" s="568"/>
      <c r="F114" s="568"/>
      <c r="G114" s="568"/>
      <c r="H114" s="327">
        <f t="shared" si="40"/>
        <v>0</v>
      </c>
      <c r="I114" s="627"/>
      <c r="J114" s="327"/>
      <c r="K114" s="327"/>
      <c r="L114" s="327"/>
      <c r="M114" s="1924"/>
      <c r="N114" s="1925"/>
      <c r="O114" s="1925"/>
      <c r="P114" s="1925"/>
      <c r="Q114" s="1925"/>
      <c r="R114" s="1925"/>
    </row>
    <row r="115" spans="1:18" ht="12.2" customHeight="1" thickBot="1" x14ac:dyDescent="0.25">
      <c r="A115" s="12" t="s">
        <v>320</v>
      </c>
      <c r="B115" s="351" t="s">
        <v>228</v>
      </c>
      <c r="C115" s="504"/>
      <c r="D115" s="625"/>
      <c r="E115" s="569"/>
      <c r="F115" s="569"/>
      <c r="G115" s="569"/>
      <c r="H115" s="525">
        <f t="shared" si="40"/>
        <v>0</v>
      </c>
      <c r="I115" s="629"/>
      <c r="J115" s="525"/>
      <c r="K115" s="525"/>
      <c r="L115" s="525"/>
    </row>
    <row r="116" spans="1:18" ht="12.2" customHeight="1" thickBot="1" x14ac:dyDescent="0.25">
      <c r="A116" s="14" t="s">
        <v>14</v>
      </c>
      <c r="B116" s="56" t="s">
        <v>540</v>
      </c>
      <c r="C116" s="113">
        <f>+C88+C106</f>
        <v>0</v>
      </c>
      <c r="D116" s="186">
        <f t="shared" ref="D116:K116" si="52">+D88+D106</f>
        <v>0</v>
      </c>
      <c r="E116" s="566">
        <f t="shared" si="52"/>
        <v>0</v>
      </c>
      <c r="F116" s="566">
        <f t="shared" si="52"/>
        <v>0</v>
      </c>
      <c r="G116" s="566">
        <f t="shared" si="52"/>
        <v>0</v>
      </c>
      <c r="H116" s="28">
        <f t="shared" si="40"/>
        <v>0</v>
      </c>
      <c r="I116" s="628">
        <f t="shared" si="52"/>
        <v>0</v>
      </c>
      <c r="J116" s="28">
        <f t="shared" si="52"/>
        <v>0</v>
      </c>
      <c r="K116" s="28">
        <f t="shared" si="52"/>
        <v>0</v>
      </c>
      <c r="L116" s="28">
        <f t="shared" ref="L116" si="53">+L88+L106</f>
        <v>0</v>
      </c>
    </row>
    <row r="117" spans="1:18" ht="12.2" customHeight="1" thickBot="1" x14ac:dyDescent="0.25">
      <c r="A117" s="14" t="s">
        <v>15</v>
      </c>
      <c r="B117" s="56" t="s">
        <v>541</v>
      </c>
      <c r="C117" s="113">
        <f>+C118+C119+C120</f>
        <v>0</v>
      </c>
      <c r="D117" s="186">
        <f t="shared" ref="D117:K117" si="54">+D118+D119+D120</f>
        <v>0</v>
      </c>
      <c r="E117" s="566">
        <f t="shared" si="54"/>
        <v>0</v>
      </c>
      <c r="F117" s="566">
        <f t="shared" si="54"/>
        <v>0</v>
      </c>
      <c r="G117" s="566">
        <f t="shared" si="54"/>
        <v>0</v>
      </c>
      <c r="H117" s="28">
        <f t="shared" si="40"/>
        <v>0</v>
      </c>
      <c r="I117" s="628">
        <f t="shared" si="54"/>
        <v>0</v>
      </c>
      <c r="J117" s="28">
        <f t="shared" si="54"/>
        <v>0</v>
      </c>
      <c r="K117" s="28">
        <f t="shared" si="54"/>
        <v>0</v>
      </c>
      <c r="L117" s="28">
        <f t="shared" ref="L117" si="55">+L118+L119+L120</f>
        <v>0</v>
      </c>
    </row>
    <row r="118" spans="1:18" s="31" customFormat="1" ht="12.2" customHeight="1" x14ac:dyDescent="0.2">
      <c r="A118" s="12" t="s">
        <v>100</v>
      </c>
      <c r="B118" s="17" t="s">
        <v>397</v>
      </c>
      <c r="C118" s="401"/>
      <c r="D118" s="325"/>
      <c r="E118" s="568"/>
      <c r="F118" s="568"/>
      <c r="G118" s="568"/>
      <c r="H118" s="327">
        <f t="shared" si="40"/>
        <v>0</v>
      </c>
      <c r="I118" s="627"/>
      <c r="J118" s="327"/>
      <c r="K118" s="327"/>
      <c r="L118" s="327"/>
    </row>
    <row r="119" spans="1:18" ht="12.2" customHeight="1" x14ac:dyDescent="0.2">
      <c r="A119" s="12" t="s">
        <v>101</v>
      </c>
      <c r="B119" s="17" t="s">
        <v>243</v>
      </c>
      <c r="C119" s="401"/>
      <c r="D119" s="325"/>
      <c r="E119" s="568"/>
      <c r="F119" s="568"/>
      <c r="G119" s="568"/>
      <c r="H119" s="327">
        <f t="shared" si="40"/>
        <v>0</v>
      </c>
      <c r="I119" s="627"/>
      <c r="J119" s="327"/>
      <c r="K119" s="327"/>
      <c r="L119" s="327"/>
    </row>
    <row r="120" spans="1:18" ht="12.2" customHeight="1" thickBot="1" x14ac:dyDescent="0.25">
      <c r="A120" s="13" t="s">
        <v>164</v>
      </c>
      <c r="B120" s="52" t="s">
        <v>244</v>
      </c>
      <c r="C120" s="401"/>
      <c r="D120" s="325"/>
      <c r="E120" s="568"/>
      <c r="F120" s="568"/>
      <c r="G120" s="568"/>
      <c r="H120" s="327">
        <f t="shared" si="40"/>
        <v>0</v>
      </c>
      <c r="I120" s="627"/>
      <c r="J120" s="327"/>
      <c r="K120" s="327"/>
      <c r="L120" s="327"/>
    </row>
    <row r="121" spans="1:18" ht="12.2" customHeight="1" thickBot="1" x14ac:dyDescent="0.25">
      <c r="A121" s="14" t="s">
        <v>16</v>
      </c>
      <c r="B121" s="56" t="s">
        <v>545</v>
      </c>
      <c r="C121" s="113">
        <f>+C122+C124+C123</f>
        <v>0</v>
      </c>
      <c r="D121" s="186">
        <f t="shared" ref="D121:K121" si="56">+D122+D124+D123</f>
        <v>0</v>
      </c>
      <c r="E121" s="566">
        <f t="shared" si="56"/>
        <v>0</v>
      </c>
      <c r="F121" s="566">
        <f t="shared" si="56"/>
        <v>0</v>
      </c>
      <c r="G121" s="566">
        <f t="shared" si="56"/>
        <v>0</v>
      </c>
      <c r="H121" s="28">
        <f t="shared" si="40"/>
        <v>0</v>
      </c>
      <c r="I121" s="628">
        <f t="shared" si="56"/>
        <v>0</v>
      </c>
      <c r="J121" s="28">
        <f t="shared" si="56"/>
        <v>0</v>
      </c>
      <c r="K121" s="28">
        <f t="shared" si="56"/>
        <v>0</v>
      </c>
      <c r="L121" s="28">
        <f t="shared" ref="L121" si="57">+L122+L124</f>
        <v>0</v>
      </c>
    </row>
    <row r="122" spans="1:18" ht="12.2" customHeight="1" x14ac:dyDescent="0.2">
      <c r="A122" s="12" t="s">
        <v>89</v>
      </c>
      <c r="B122" s="17" t="s">
        <v>391</v>
      </c>
      <c r="C122" s="401"/>
      <c r="D122" s="325"/>
      <c r="E122" s="568"/>
      <c r="F122" s="568"/>
      <c r="G122" s="568"/>
      <c r="H122" s="327">
        <f t="shared" si="40"/>
        <v>0</v>
      </c>
      <c r="I122" s="627"/>
      <c r="J122" s="327"/>
      <c r="K122" s="327"/>
      <c r="L122" s="327"/>
    </row>
    <row r="123" spans="1:18" ht="12.2" customHeight="1" x14ac:dyDescent="0.2">
      <c r="A123" s="12" t="s">
        <v>102</v>
      </c>
      <c r="B123" s="17" t="s">
        <v>392</v>
      </c>
      <c r="C123" s="401"/>
      <c r="D123" s="325"/>
      <c r="E123" s="568"/>
      <c r="F123" s="568"/>
      <c r="G123" s="568"/>
      <c r="H123" s="327">
        <f t="shared" si="40"/>
        <v>0</v>
      </c>
      <c r="I123" s="627"/>
      <c r="J123" s="327"/>
      <c r="K123" s="327"/>
      <c r="L123" s="327"/>
    </row>
    <row r="124" spans="1:18" ht="12.2" customHeight="1" thickBot="1" x14ac:dyDescent="0.25">
      <c r="A124" s="12" t="s">
        <v>103</v>
      </c>
      <c r="B124" s="717" t="s">
        <v>536</v>
      </c>
      <c r="C124" s="401"/>
      <c r="D124" s="325"/>
      <c r="E124" s="568"/>
      <c r="F124" s="568"/>
      <c r="G124" s="568"/>
      <c r="H124" s="327">
        <f t="shared" si="40"/>
        <v>0</v>
      </c>
      <c r="I124" s="627"/>
      <c r="J124" s="327"/>
      <c r="K124" s="327"/>
      <c r="L124" s="327"/>
    </row>
    <row r="125" spans="1:18" ht="12.2" customHeight="1" thickBot="1" x14ac:dyDescent="0.25">
      <c r="A125" s="14" t="s">
        <v>17</v>
      </c>
      <c r="B125" s="56" t="s">
        <v>542</v>
      </c>
      <c r="C125" s="1023">
        <f>+C126+C127+C128+C129+C130</f>
        <v>602835137</v>
      </c>
      <c r="D125" s="187">
        <f t="shared" ref="D125:K125" si="58">+D126+D127+D128+D129+D130</f>
        <v>616450137</v>
      </c>
      <c r="E125" s="532">
        <f t="shared" si="58"/>
        <v>690517637</v>
      </c>
      <c r="F125" s="532">
        <f t="shared" si="58"/>
        <v>690517637</v>
      </c>
      <c r="G125" s="532">
        <f t="shared" si="58"/>
        <v>2285982</v>
      </c>
      <c r="H125" s="74">
        <f t="shared" si="40"/>
        <v>74067500</v>
      </c>
      <c r="I125" s="638">
        <f t="shared" si="58"/>
        <v>2285984</v>
      </c>
      <c r="J125" s="74">
        <f t="shared" si="58"/>
        <v>471061422</v>
      </c>
      <c r="K125" s="74">
        <f t="shared" si="58"/>
        <v>0</v>
      </c>
      <c r="L125" s="74">
        <f t="shared" ref="L125" si="59">+L126+L127+L128+L129+L130</f>
        <v>120.37188727982608</v>
      </c>
      <c r="P125" s="79"/>
    </row>
    <row r="126" spans="1:18" x14ac:dyDescent="0.2">
      <c r="A126" s="12" t="s">
        <v>104</v>
      </c>
      <c r="B126" s="17" t="s">
        <v>240</v>
      </c>
      <c r="C126" s="401">
        <f>'28._Int.össz_államig'!C46</f>
        <v>596783973</v>
      </c>
      <c r="D126" s="325">
        <f>'28._Int.össz_államig'!D46</f>
        <v>607398973</v>
      </c>
      <c r="E126" s="401">
        <f>'28._Int.össz_államig'!E46</f>
        <v>681466473</v>
      </c>
      <c r="F126" s="568">
        <f>'28._Int.össz_államig'!F46</f>
        <v>681466473</v>
      </c>
      <c r="G126" s="568">
        <f>'28._Int.össz_államig'!G46</f>
        <v>2285982</v>
      </c>
      <c r="H126" s="327">
        <f t="shared" si="40"/>
        <v>74067500</v>
      </c>
      <c r="I126" s="627">
        <f>'28._Int.össz_államig'!I46</f>
        <v>2285984</v>
      </c>
      <c r="J126" s="327">
        <f>'28._Int.össz_államig'!J46</f>
        <v>466360515</v>
      </c>
      <c r="K126" s="327">
        <f>'28._Int.össz_államig'!K46</f>
        <v>0</v>
      </c>
      <c r="L126" s="327">
        <f>'28._Int.össz_államig'!L46</f>
        <v>68.4348436023499</v>
      </c>
    </row>
    <row r="127" spans="1:18" ht="12.2" customHeight="1" x14ac:dyDescent="0.2">
      <c r="A127" s="12" t="s">
        <v>105</v>
      </c>
      <c r="B127" s="17" t="s">
        <v>241</v>
      </c>
      <c r="C127" s="401">
        <f>'28._Int.össz_államig'!C47</f>
        <v>6051164</v>
      </c>
      <c r="D127" s="325">
        <f>'28._Int.össz_államig'!D47</f>
        <v>9051164</v>
      </c>
      <c r="E127" s="401">
        <f>'28._Int.össz_államig'!E47</f>
        <v>9051164</v>
      </c>
      <c r="F127" s="568">
        <f>'28._Int.össz_államig'!F47</f>
        <v>9051164</v>
      </c>
      <c r="G127" s="568">
        <f>'28._Int.össz_államig'!G47</f>
        <v>0</v>
      </c>
      <c r="H127" s="327">
        <f t="shared" si="40"/>
        <v>0</v>
      </c>
      <c r="I127" s="627">
        <f>'28._Int.össz_államig'!I47</f>
        <v>0</v>
      </c>
      <c r="J127" s="327">
        <f>'28._Int.össz_államig'!J47</f>
        <v>4700907</v>
      </c>
      <c r="K127" s="327">
        <f>'28._Int.össz_államig'!K47</f>
        <v>0</v>
      </c>
      <c r="L127" s="327">
        <f>'28._Int.össz_államig'!L47</f>
        <v>51.937043677476183</v>
      </c>
    </row>
    <row r="128" spans="1:18" s="31" customFormat="1" ht="12.2" customHeight="1" x14ac:dyDescent="0.2">
      <c r="A128" s="12" t="s">
        <v>205</v>
      </c>
      <c r="B128" s="17" t="s">
        <v>398</v>
      </c>
      <c r="C128" s="401"/>
      <c r="D128" s="325"/>
      <c r="E128" s="568"/>
      <c r="F128" s="568"/>
      <c r="G128" s="568"/>
      <c r="H128" s="327">
        <f t="shared" si="40"/>
        <v>0</v>
      </c>
      <c r="I128" s="627"/>
      <c r="J128" s="327"/>
      <c r="K128" s="327"/>
      <c r="L128" s="327"/>
    </row>
    <row r="129" spans="1:12" s="31" customFormat="1" ht="12.2" customHeight="1" x14ac:dyDescent="0.2">
      <c r="A129" s="13" t="s">
        <v>206</v>
      </c>
      <c r="B129" s="52" t="s">
        <v>229</v>
      </c>
      <c r="C129" s="401"/>
      <c r="D129" s="325"/>
      <c r="E129" s="568"/>
      <c r="F129" s="568"/>
      <c r="G129" s="568"/>
      <c r="H129" s="327">
        <f t="shared" si="40"/>
        <v>0</v>
      </c>
      <c r="I129" s="627"/>
      <c r="J129" s="327"/>
      <c r="K129" s="327"/>
      <c r="L129" s="327"/>
    </row>
    <row r="130" spans="1:12" s="31" customFormat="1" ht="12.2" customHeight="1" thickBot="1" x14ac:dyDescent="0.25">
      <c r="A130" s="172" t="s">
        <v>208</v>
      </c>
      <c r="B130" s="173" t="s">
        <v>399</v>
      </c>
      <c r="C130" s="1081"/>
      <c r="D130" s="664"/>
      <c r="E130" s="578"/>
      <c r="F130" s="578"/>
      <c r="G130" s="578"/>
      <c r="H130" s="528">
        <f t="shared" si="40"/>
        <v>0</v>
      </c>
      <c r="I130" s="672"/>
      <c r="J130" s="528"/>
      <c r="K130" s="528"/>
      <c r="L130" s="528"/>
    </row>
    <row r="131" spans="1:12" ht="12.2" customHeight="1" thickBot="1" x14ac:dyDescent="0.25">
      <c r="A131" s="14" t="s">
        <v>18</v>
      </c>
      <c r="B131" s="56" t="s">
        <v>544</v>
      </c>
      <c r="C131" s="1024">
        <f>+C117+C121+C125</f>
        <v>602835137</v>
      </c>
      <c r="D131" s="349">
        <f t="shared" ref="D131:K131" si="60">+D117+D121+D125</f>
        <v>616450137</v>
      </c>
      <c r="E131" s="579">
        <f t="shared" si="60"/>
        <v>690517637</v>
      </c>
      <c r="F131" s="579">
        <f t="shared" si="60"/>
        <v>690517637</v>
      </c>
      <c r="G131" s="579">
        <f t="shared" si="60"/>
        <v>2285982</v>
      </c>
      <c r="H131" s="560">
        <f t="shared" si="40"/>
        <v>74067500</v>
      </c>
      <c r="I131" s="673">
        <f t="shared" si="60"/>
        <v>2285984</v>
      </c>
      <c r="J131" s="560">
        <f t="shared" si="60"/>
        <v>471061422</v>
      </c>
      <c r="K131" s="560">
        <f t="shared" si="60"/>
        <v>0</v>
      </c>
      <c r="L131" s="560">
        <f t="shared" ref="L131" si="61">+L117+L121+L125</f>
        <v>120.37188727982608</v>
      </c>
    </row>
    <row r="132" spans="1:12" s="562" customFormat="1" ht="15" customHeight="1" thickBot="1" x14ac:dyDescent="0.25">
      <c r="A132" s="80" t="s">
        <v>19</v>
      </c>
      <c r="B132" s="561" t="s">
        <v>543</v>
      </c>
      <c r="C132" s="1024">
        <f>+C116+C131</f>
        <v>602835137</v>
      </c>
      <c r="D132" s="349">
        <f t="shared" ref="D132:K132" si="62">+D116+D131</f>
        <v>616450137</v>
      </c>
      <c r="E132" s="579">
        <f t="shared" si="62"/>
        <v>690517637</v>
      </c>
      <c r="F132" s="579">
        <f t="shared" si="62"/>
        <v>690517637</v>
      </c>
      <c r="G132" s="579">
        <f t="shared" si="62"/>
        <v>2285982</v>
      </c>
      <c r="H132" s="560">
        <f>+E132-D132</f>
        <v>74067500</v>
      </c>
      <c r="I132" s="673">
        <f t="shared" si="62"/>
        <v>2285984</v>
      </c>
      <c r="J132" s="560">
        <f t="shared" si="62"/>
        <v>471061422</v>
      </c>
      <c r="K132" s="560">
        <f t="shared" si="62"/>
        <v>0</v>
      </c>
      <c r="L132" s="560">
        <f t="shared" ref="L132" si="63">+L116+L131</f>
        <v>120.37188727982608</v>
      </c>
    </row>
    <row r="133" spans="1:12" ht="13.5" thickBot="1" x14ac:dyDescent="0.25">
      <c r="A133" s="529"/>
      <c r="B133" s="530"/>
      <c r="C133" s="531"/>
      <c r="D133" s="531"/>
      <c r="E133" s="531"/>
      <c r="F133" s="531"/>
      <c r="G133" s="531"/>
      <c r="H133" s="531"/>
      <c r="I133" s="531"/>
      <c r="J133" s="531"/>
      <c r="K133" s="531"/>
      <c r="L133" s="531"/>
    </row>
    <row r="134" spans="1:12" ht="15" customHeight="1" thickBot="1" x14ac:dyDescent="0.25">
      <c r="A134" s="69" t="s">
        <v>292</v>
      </c>
      <c r="B134" s="70"/>
      <c r="C134" s="136">
        <v>0</v>
      </c>
      <c r="D134" s="635">
        <v>0</v>
      </c>
      <c r="E134" s="136">
        <v>0</v>
      </c>
      <c r="F134" s="581">
        <v>0</v>
      </c>
      <c r="G134" s="136">
        <v>0</v>
      </c>
      <c r="H134" s="611">
        <f>+E134-D134</f>
        <v>0</v>
      </c>
      <c r="I134" s="611">
        <v>0</v>
      </c>
      <c r="J134" s="611">
        <v>0</v>
      </c>
      <c r="K134" s="611">
        <v>0</v>
      </c>
      <c r="L134" s="611">
        <v>0</v>
      </c>
    </row>
    <row r="135" spans="1:12" ht="14.25" hidden="1" customHeight="1" thickBot="1" x14ac:dyDescent="0.25">
      <c r="A135" s="69" t="s">
        <v>291</v>
      </c>
      <c r="B135" s="70"/>
      <c r="C135" s="136">
        <v>0</v>
      </c>
      <c r="D135" s="635">
        <v>0</v>
      </c>
      <c r="E135" s="136">
        <v>0</v>
      </c>
      <c r="F135" s="581">
        <v>0</v>
      </c>
      <c r="G135" s="136">
        <v>0</v>
      </c>
      <c r="H135" s="611">
        <f t="shared" ref="H135" si="64">+D135-C135</f>
        <v>0</v>
      </c>
      <c r="I135" s="611">
        <v>0</v>
      </c>
      <c r="J135" s="611">
        <v>0</v>
      </c>
      <c r="K135" s="611">
        <v>0</v>
      </c>
      <c r="L135" s="611">
        <v>0</v>
      </c>
    </row>
    <row r="136" spans="1:12" x14ac:dyDescent="0.2">
      <c r="C136" s="694">
        <f>C132-C84</f>
        <v>0</v>
      </c>
      <c r="D136" s="27"/>
      <c r="E136" s="27"/>
      <c r="F136" s="27"/>
      <c r="G136" s="27"/>
      <c r="H136" s="27" t="s">
        <v>734</v>
      </c>
      <c r="I136" s="27"/>
      <c r="J136" s="27"/>
      <c r="K136" s="27"/>
      <c r="L136" s="27"/>
    </row>
  </sheetData>
  <sheetProtection formatCells="0"/>
  <mergeCells count="8">
    <mergeCell ref="M114:R114"/>
    <mergeCell ref="A10:H10"/>
    <mergeCell ref="A86:H86"/>
    <mergeCell ref="A1:H1"/>
    <mergeCell ref="A2:H2"/>
    <mergeCell ref="C5:H5"/>
    <mergeCell ref="C6:H6"/>
    <mergeCell ref="A7:H7"/>
  </mergeCells>
  <printOptions horizontalCentered="1"/>
  <pageMargins left="0.39370078740157483" right="0.39370078740157483" top="0.59055118110236227" bottom="0.39370078740157483" header="0.78740157480314965" footer="0.78740157480314965"/>
  <pageSetup paperSize="9" scale="74" orientation="portrait" r:id="rId1"/>
  <headerFooter alignWithMargins="0"/>
  <rowBreaks count="2" manualBreakCount="2">
    <brk id="67" max="7" man="1"/>
    <brk id="85" max="7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73"/>
  <sheetViews>
    <sheetView view="pageBreakPreview" zoomScale="130" zoomScaleNormal="100" zoomScaleSheetLayoutView="130" workbookViewId="0">
      <selection activeCell="A2" sqref="A2:H2"/>
    </sheetView>
  </sheetViews>
  <sheetFormatPr defaultRowHeight="12.75" x14ac:dyDescent="0.2"/>
  <cols>
    <col min="1" max="1" width="13.83203125" style="35" customWidth="1"/>
    <col min="2" max="2" width="64.6640625" style="25" customWidth="1"/>
    <col min="3" max="3" width="17.1640625" style="25" customWidth="1"/>
    <col min="4" max="4" width="15.83203125" style="25" customWidth="1"/>
    <col min="5" max="5" width="16.5" style="25" customWidth="1"/>
    <col min="6" max="7" width="16" style="25" hidden="1" customWidth="1"/>
    <col min="8" max="8" width="15.83203125" style="25" customWidth="1"/>
    <col min="9" max="9" width="24.1640625" style="25" hidden="1" customWidth="1"/>
    <col min="10" max="10" width="21.6640625" style="25" hidden="1" customWidth="1"/>
    <col min="11" max="12" width="17" style="25" hidden="1" customWidth="1"/>
    <col min="13" max="14" width="9.33203125" style="25" customWidth="1"/>
    <col min="15" max="15" width="16.1640625" style="25" customWidth="1"/>
    <col min="16" max="19" width="9.33203125" style="25" customWidth="1"/>
    <col min="20" max="260" width="9.33203125" style="25"/>
    <col min="261" max="261" width="13.83203125" style="25" customWidth="1"/>
    <col min="262" max="262" width="79.1640625" style="25" customWidth="1"/>
    <col min="263" max="263" width="21.6640625" style="25" customWidth="1"/>
    <col min="264" max="516" width="9.33203125" style="25"/>
    <col min="517" max="517" width="13.83203125" style="25" customWidth="1"/>
    <col min="518" max="518" width="79.1640625" style="25" customWidth="1"/>
    <col min="519" max="519" width="21.6640625" style="25" customWidth="1"/>
    <col min="520" max="772" width="9.33203125" style="25"/>
    <col min="773" max="773" width="13.83203125" style="25" customWidth="1"/>
    <col min="774" max="774" width="79.1640625" style="25" customWidth="1"/>
    <col min="775" max="775" width="21.6640625" style="25" customWidth="1"/>
    <col min="776" max="1028" width="9.33203125" style="25"/>
    <col min="1029" max="1029" width="13.83203125" style="25" customWidth="1"/>
    <col min="1030" max="1030" width="79.1640625" style="25" customWidth="1"/>
    <col min="1031" max="1031" width="21.6640625" style="25" customWidth="1"/>
    <col min="1032" max="1284" width="9.33203125" style="25"/>
    <col min="1285" max="1285" width="13.83203125" style="25" customWidth="1"/>
    <col min="1286" max="1286" width="79.1640625" style="25" customWidth="1"/>
    <col min="1287" max="1287" width="21.6640625" style="25" customWidth="1"/>
    <col min="1288" max="1540" width="9.33203125" style="25"/>
    <col min="1541" max="1541" width="13.83203125" style="25" customWidth="1"/>
    <col min="1542" max="1542" width="79.1640625" style="25" customWidth="1"/>
    <col min="1543" max="1543" width="21.6640625" style="25" customWidth="1"/>
    <col min="1544" max="1796" width="9.33203125" style="25"/>
    <col min="1797" max="1797" width="13.83203125" style="25" customWidth="1"/>
    <col min="1798" max="1798" width="79.1640625" style="25" customWidth="1"/>
    <col min="1799" max="1799" width="21.6640625" style="25" customWidth="1"/>
    <col min="1800" max="2052" width="9.33203125" style="25"/>
    <col min="2053" max="2053" width="13.83203125" style="25" customWidth="1"/>
    <col min="2054" max="2054" width="79.1640625" style="25" customWidth="1"/>
    <col min="2055" max="2055" width="21.6640625" style="25" customWidth="1"/>
    <col min="2056" max="2308" width="9.33203125" style="25"/>
    <col min="2309" max="2309" width="13.83203125" style="25" customWidth="1"/>
    <col min="2310" max="2310" width="79.1640625" style="25" customWidth="1"/>
    <col min="2311" max="2311" width="21.6640625" style="25" customWidth="1"/>
    <col min="2312" max="2564" width="9.33203125" style="25"/>
    <col min="2565" max="2565" width="13.83203125" style="25" customWidth="1"/>
    <col min="2566" max="2566" width="79.1640625" style="25" customWidth="1"/>
    <col min="2567" max="2567" width="21.6640625" style="25" customWidth="1"/>
    <col min="2568" max="2820" width="9.33203125" style="25"/>
    <col min="2821" max="2821" width="13.83203125" style="25" customWidth="1"/>
    <col min="2822" max="2822" width="79.1640625" style="25" customWidth="1"/>
    <col min="2823" max="2823" width="21.6640625" style="25" customWidth="1"/>
    <col min="2824" max="3076" width="9.33203125" style="25"/>
    <col min="3077" max="3077" width="13.83203125" style="25" customWidth="1"/>
    <col min="3078" max="3078" width="79.1640625" style="25" customWidth="1"/>
    <col min="3079" max="3079" width="21.6640625" style="25" customWidth="1"/>
    <col min="3080" max="3332" width="9.33203125" style="25"/>
    <col min="3333" max="3333" width="13.83203125" style="25" customWidth="1"/>
    <col min="3334" max="3334" width="79.1640625" style="25" customWidth="1"/>
    <col min="3335" max="3335" width="21.6640625" style="25" customWidth="1"/>
    <col min="3336" max="3588" width="9.33203125" style="25"/>
    <col min="3589" max="3589" width="13.83203125" style="25" customWidth="1"/>
    <col min="3590" max="3590" width="79.1640625" style="25" customWidth="1"/>
    <col min="3591" max="3591" width="21.6640625" style="25" customWidth="1"/>
    <col min="3592" max="3844" width="9.33203125" style="25"/>
    <col min="3845" max="3845" width="13.83203125" style="25" customWidth="1"/>
    <col min="3846" max="3846" width="79.1640625" style="25" customWidth="1"/>
    <col min="3847" max="3847" width="21.6640625" style="25" customWidth="1"/>
    <col min="3848" max="4100" width="9.33203125" style="25"/>
    <col min="4101" max="4101" width="13.83203125" style="25" customWidth="1"/>
    <col min="4102" max="4102" width="79.1640625" style="25" customWidth="1"/>
    <col min="4103" max="4103" width="21.6640625" style="25" customWidth="1"/>
    <col min="4104" max="4356" width="9.33203125" style="25"/>
    <col min="4357" max="4357" width="13.83203125" style="25" customWidth="1"/>
    <col min="4358" max="4358" width="79.1640625" style="25" customWidth="1"/>
    <col min="4359" max="4359" width="21.6640625" style="25" customWidth="1"/>
    <col min="4360" max="4612" width="9.33203125" style="25"/>
    <col min="4613" max="4613" width="13.83203125" style="25" customWidth="1"/>
    <col min="4614" max="4614" width="79.1640625" style="25" customWidth="1"/>
    <col min="4615" max="4615" width="21.6640625" style="25" customWidth="1"/>
    <col min="4616" max="4868" width="9.33203125" style="25"/>
    <col min="4869" max="4869" width="13.83203125" style="25" customWidth="1"/>
    <col min="4870" max="4870" width="79.1640625" style="25" customWidth="1"/>
    <col min="4871" max="4871" width="21.6640625" style="25" customWidth="1"/>
    <col min="4872" max="5124" width="9.33203125" style="25"/>
    <col min="5125" max="5125" width="13.83203125" style="25" customWidth="1"/>
    <col min="5126" max="5126" width="79.1640625" style="25" customWidth="1"/>
    <col min="5127" max="5127" width="21.6640625" style="25" customWidth="1"/>
    <col min="5128" max="5380" width="9.33203125" style="25"/>
    <col min="5381" max="5381" width="13.83203125" style="25" customWidth="1"/>
    <col min="5382" max="5382" width="79.1640625" style="25" customWidth="1"/>
    <col min="5383" max="5383" width="21.6640625" style="25" customWidth="1"/>
    <col min="5384" max="5636" width="9.33203125" style="25"/>
    <col min="5637" max="5637" width="13.83203125" style="25" customWidth="1"/>
    <col min="5638" max="5638" width="79.1640625" style="25" customWidth="1"/>
    <col min="5639" max="5639" width="21.6640625" style="25" customWidth="1"/>
    <col min="5640" max="5892" width="9.33203125" style="25"/>
    <col min="5893" max="5893" width="13.83203125" style="25" customWidth="1"/>
    <col min="5894" max="5894" width="79.1640625" style="25" customWidth="1"/>
    <col min="5895" max="5895" width="21.6640625" style="25" customWidth="1"/>
    <col min="5896" max="6148" width="9.33203125" style="25"/>
    <col min="6149" max="6149" width="13.83203125" style="25" customWidth="1"/>
    <col min="6150" max="6150" width="79.1640625" style="25" customWidth="1"/>
    <col min="6151" max="6151" width="21.6640625" style="25" customWidth="1"/>
    <col min="6152" max="6404" width="9.33203125" style="25"/>
    <col min="6405" max="6405" width="13.83203125" style="25" customWidth="1"/>
    <col min="6406" max="6406" width="79.1640625" style="25" customWidth="1"/>
    <col min="6407" max="6407" width="21.6640625" style="25" customWidth="1"/>
    <col min="6408" max="6660" width="9.33203125" style="25"/>
    <col min="6661" max="6661" width="13.83203125" style="25" customWidth="1"/>
    <col min="6662" max="6662" width="79.1640625" style="25" customWidth="1"/>
    <col min="6663" max="6663" width="21.6640625" style="25" customWidth="1"/>
    <col min="6664" max="6916" width="9.33203125" style="25"/>
    <col min="6917" max="6917" width="13.83203125" style="25" customWidth="1"/>
    <col min="6918" max="6918" width="79.1640625" style="25" customWidth="1"/>
    <col min="6919" max="6919" width="21.6640625" style="25" customWidth="1"/>
    <col min="6920" max="7172" width="9.33203125" style="25"/>
    <col min="7173" max="7173" width="13.83203125" style="25" customWidth="1"/>
    <col min="7174" max="7174" width="79.1640625" style="25" customWidth="1"/>
    <col min="7175" max="7175" width="21.6640625" style="25" customWidth="1"/>
    <col min="7176" max="7428" width="9.33203125" style="25"/>
    <col min="7429" max="7429" width="13.83203125" style="25" customWidth="1"/>
    <col min="7430" max="7430" width="79.1640625" style="25" customWidth="1"/>
    <col min="7431" max="7431" width="21.6640625" style="25" customWidth="1"/>
    <col min="7432" max="7684" width="9.33203125" style="25"/>
    <col min="7685" max="7685" width="13.83203125" style="25" customWidth="1"/>
    <col min="7686" max="7686" width="79.1640625" style="25" customWidth="1"/>
    <col min="7687" max="7687" width="21.6640625" style="25" customWidth="1"/>
    <col min="7688" max="7940" width="9.33203125" style="25"/>
    <col min="7941" max="7941" width="13.83203125" style="25" customWidth="1"/>
    <col min="7942" max="7942" width="79.1640625" style="25" customWidth="1"/>
    <col min="7943" max="7943" width="21.6640625" style="25" customWidth="1"/>
    <col min="7944" max="8196" width="9.33203125" style="25"/>
    <col min="8197" max="8197" width="13.83203125" style="25" customWidth="1"/>
    <col min="8198" max="8198" width="79.1640625" style="25" customWidth="1"/>
    <col min="8199" max="8199" width="21.6640625" style="25" customWidth="1"/>
    <col min="8200" max="8452" width="9.33203125" style="25"/>
    <col min="8453" max="8453" width="13.83203125" style="25" customWidth="1"/>
    <col min="8454" max="8454" width="79.1640625" style="25" customWidth="1"/>
    <col min="8455" max="8455" width="21.6640625" style="25" customWidth="1"/>
    <col min="8456" max="8708" width="9.33203125" style="25"/>
    <col min="8709" max="8709" width="13.83203125" style="25" customWidth="1"/>
    <col min="8710" max="8710" width="79.1640625" style="25" customWidth="1"/>
    <col min="8711" max="8711" width="21.6640625" style="25" customWidth="1"/>
    <col min="8712" max="8964" width="9.33203125" style="25"/>
    <col min="8965" max="8965" width="13.83203125" style="25" customWidth="1"/>
    <col min="8966" max="8966" width="79.1640625" style="25" customWidth="1"/>
    <col min="8967" max="8967" width="21.6640625" style="25" customWidth="1"/>
    <col min="8968" max="9220" width="9.33203125" style="25"/>
    <col min="9221" max="9221" width="13.83203125" style="25" customWidth="1"/>
    <col min="9222" max="9222" width="79.1640625" style="25" customWidth="1"/>
    <col min="9223" max="9223" width="21.6640625" style="25" customWidth="1"/>
    <col min="9224" max="9476" width="9.33203125" style="25"/>
    <col min="9477" max="9477" width="13.83203125" style="25" customWidth="1"/>
    <col min="9478" max="9478" width="79.1640625" style="25" customWidth="1"/>
    <col min="9479" max="9479" width="21.6640625" style="25" customWidth="1"/>
    <col min="9480" max="9732" width="9.33203125" style="25"/>
    <col min="9733" max="9733" width="13.83203125" style="25" customWidth="1"/>
    <col min="9734" max="9734" width="79.1640625" style="25" customWidth="1"/>
    <col min="9735" max="9735" width="21.6640625" style="25" customWidth="1"/>
    <col min="9736" max="9988" width="9.33203125" style="25"/>
    <col min="9989" max="9989" width="13.83203125" style="25" customWidth="1"/>
    <col min="9990" max="9990" width="79.1640625" style="25" customWidth="1"/>
    <col min="9991" max="9991" width="21.6640625" style="25" customWidth="1"/>
    <col min="9992" max="10244" width="9.33203125" style="25"/>
    <col min="10245" max="10245" width="13.83203125" style="25" customWidth="1"/>
    <col min="10246" max="10246" width="79.1640625" style="25" customWidth="1"/>
    <col min="10247" max="10247" width="21.6640625" style="25" customWidth="1"/>
    <col min="10248" max="10500" width="9.33203125" style="25"/>
    <col min="10501" max="10501" width="13.83203125" style="25" customWidth="1"/>
    <col min="10502" max="10502" width="79.1640625" style="25" customWidth="1"/>
    <col min="10503" max="10503" width="21.6640625" style="25" customWidth="1"/>
    <col min="10504" max="10756" width="9.33203125" style="25"/>
    <col min="10757" max="10757" width="13.83203125" style="25" customWidth="1"/>
    <col min="10758" max="10758" width="79.1640625" style="25" customWidth="1"/>
    <col min="10759" max="10759" width="21.6640625" style="25" customWidth="1"/>
    <col min="10760" max="11012" width="9.33203125" style="25"/>
    <col min="11013" max="11013" width="13.83203125" style="25" customWidth="1"/>
    <col min="11014" max="11014" width="79.1640625" style="25" customWidth="1"/>
    <col min="11015" max="11015" width="21.6640625" style="25" customWidth="1"/>
    <col min="11016" max="11268" width="9.33203125" style="25"/>
    <col min="11269" max="11269" width="13.83203125" style="25" customWidth="1"/>
    <col min="11270" max="11270" width="79.1640625" style="25" customWidth="1"/>
    <col min="11271" max="11271" width="21.6640625" style="25" customWidth="1"/>
    <col min="11272" max="11524" width="9.33203125" style="25"/>
    <col min="11525" max="11525" width="13.83203125" style="25" customWidth="1"/>
    <col min="11526" max="11526" width="79.1640625" style="25" customWidth="1"/>
    <col min="11527" max="11527" width="21.6640625" style="25" customWidth="1"/>
    <col min="11528" max="11780" width="9.33203125" style="25"/>
    <col min="11781" max="11781" width="13.83203125" style="25" customWidth="1"/>
    <col min="11782" max="11782" width="79.1640625" style="25" customWidth="1"/>
    <col min="11783" max="11783" width="21.6640625" style="25" customWidth="1"/>
    <col min="11784" max="12036" width="9.33203125" style="25"/>
    <col min="12037" max="12037" width="13.83203125" style="25" customWidth="1"/>
    <col min="12038" max="12038" width="79.1640625" style="25" customWidth="1"/>
    <col min="12039" max="12039" width="21.6640625" style="25" customWidth="1"/>
    <col min="12040" max="12292" width="9.33203125" style="25"/>
    <col min="12293" max="12293" width="13.83203125" style="25" customWidth="1"/>
    <col min="12294" max="12294" width="79.1640625" style="25" customWidth="1"/>
    <col min="12295" max="12295" width="21.6640625" style="25" customWidth="1"/>
    <col min="12296" max="12548" width="9.33203125" style="25"/>
    <col min="12549" max="12549" width="13.83203125" style="25" customWidth="1"/>
    <col min="12550" max="12550" width="79.1640625" style="25" customWidth="1"/>
    <col min="12551" max="12551" width="21.6640625" style="25" customWidth="1"/>
    <col min="12552" max="12804" width="9.33203125" style="25"/>
    <col min="12805" max="12805" width="13.83203125" style="25" customWidth="1"/>
    <col min="12806" max="12806" width="79.1640625" style="25" customWidth="1"/>
    <col min="12807" max="12807" width="21.6640625" style="25" customWidth="1"/>
    <col min="12808" max="13060" width="9.33203125" style="25"/>
    <col min="13061" max="13061" width="13.83203125" style="25" customWidth="1"/>
    <col min="13062" max="13062" width="79.1640625" style="25" customWidth="1"/>
    <col min="13063" max="13063" width="21.6640625" style="25" customWidth="1"/>
    <col min="13064" max="13316" width="9.33203125" style="25"/>
    <col min="13317" max="13317" width="13.83203125" style="25" customWidth="1"/>
    <col min="13318" max="13318" width="79.1640625" style="25" customWidth="1"/>
    <col min="13319" max="13319" width="21.6640625" style="25" customWidth="1"/>
    <col min="13320" max="13572" width="9.33203125" style="25"/>
    <col min="13573" max="13573" width="13.83203125" style="25" customWidth="1"/>
    <col min="13574" max="13574" width="79.1640625" style="25" customWidth="1"/>
    <col min="13575" max="13575" width="21.6640625" style="25" customWidth="1"/>
    <col min="13576" max="13828" width="9.33203125" style="25"/>
    <col min="13829" max="13829" width="13.83203125" style="25" customWidth="1"/>
    <col min="13830" max="13830" width="79.1640625" style="25" customWidth="1"/>
    <col min="13831" max="13831" width="21.6640625" style="25" customWidth="1"/>
    <col min="13832" max="14084" width="9.33203125" style="25"/>
    <col min="14085" max="14085" width="13.83203125" style="25" customWidth="1"/>
    <col min="14086" max="14086" width="79.1640625" style="25" customWidth="1"/>
    <col min="14087" max="14087" width="21.6640625" style="25" customWidth="1"/>
    <col min="14088" max="14340" width="9.33203125" style="25"/>
    <col min="14341" max="14341" width="13.83203125" style="25" customWidth="1"/>
    <col min="14342" max="14342" width="79.1640625" style="25" customWidth="1"/>
    <col min="14343" max="14343" width="21.6640625" style="25" customWidth="1"/>
    <col min="14344" max="14596" width="9.33203125" style="25"/>
    <col min="14597" max="14597" width="13.83203125" style="25" customWidth="1"/>
    <col min="14598" max="14598" width="79.1640625" style="25" customWidth="1"/>
    <col min="14599" max="14599" width="21.6640625" style="25" customWidth="1"/>
    <col min="14600" max="14852" width="9.33203125" style="25"/>
    <col min="14853" max="14853" width="13.83203125" style="25" customWidth="1"/>
    <col min="14854" max="14854" width="79.1640625" style="25" customWidth="1"/>
    <col min="14855" max="14855" width="21.6640625" style="25" customWidth="1"/>
    <col min="14856" max="15108" width="9.33203125" style="25"/>
    <col min="15109" max="15109" width="13.83203125" style="25" customWidth="1"/>
    <col min="15110" max="15110" width="79.1640625" style="25" customWidth="1"/>
    <col min="15111" max="15111" width="21.6640625" style="25" customWidth="1"/>
    <col min="15112" max="15364" width="9.33203125" style="25"/>
    <col min="15365" max="15365" width="13.83203125" style="25" customWidth="1"/>
    <col min="15366" max="15366" width="79.1640625" style="25" customWidth="1"/>
    <col min="15367" max="15367" width="21.6640625" style="25" customWidth="1"/>
    <col min="15368" max="15620" width="9.33203125" style="25"/>
    <col min="15621" max="15621" width="13.83203125" style="25" customWidth="1"/>
    <col min="15622" max="15622" width="79.1640625" style="25" customWidth="1"/>
    <col min="15623" max="15623" width="21.6640625" style="25" customWidth="1"/>
    <col min="15624" max="15876" width="9.33203125" style="25"/>
    <col min="15877" max="15877" width="13.83203125" style="25" customWidth="1"/>
    <col min="15878" max="15878" width="79.1640625" style="25" customWidth="1"/>
    <col min="15879" max="15879" width="21.6640625" style="25" customWidth="1"/>
    <col min="15880" max="16132" width="9.33203125" style="25"/>
    <col min="16133" max="16133" width="13.83203125" style="25" customWidth="1"/>
    <col min="16134" max="16134" width="79.1640625" style="25" customWidth="1"/>
    <col min="16135" max="16135" width="21.6640625" style="25" customWidth="1"/>
    <col min="16136" max="16384" width="9.33203125" style="25"/>
  </cols>
  <sheetData>
    <row r="1" spans="1:12" s="535" customFormat="1" ht="12.75" customHeight="1" x14ac:dyDescent="0.2">
      <c r="A1" s="1774" t="s">
        <v>805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740</v>
      </c>
      <c r="B2" s="1774"/>
      <c r="C2" s="1774"/>
      <c r="D2" s="1774"/>
      <c r="E2" s="1774"/>
      <c r="F2" s="1774"/>
      <c r="G2" s="1774"/>
      <c r="H2" s="1774"/>
    </row>
    <row r="3" spans="1:12" s="24" customFormat="1" ht="15" customHeight="1" thickBot="1" x14ac:dyDescent="0.25">
      <c r="A3" s="170"/>
      <c r="C3" s="167"/>
      <c r="D3" s="167"/>
      <c r="E3" s="167"/>
      <c r="F3" s="167"/>
      <c r="G3" s="167"/>
      <c r="H3" s="167"/>
    </row>
    <row r="4" spans="1:12" s="38" customFormat="1" ht="38.25" customHeight="1" x14ac:dyDescent="0.2">
      <c r="A4" s="36" t="s">
        <v>137</v>
      </c>
      <c r="B4" s="37" t="s">
        <v>130</v>
      </c>
      <c r="C4" s="1806" t="s">
        <v>187</v>
      </c>
      <c r="D4" s="1807"/>
      <c r="E4" s="1807"/>
      <c r="F4" s="1807"/>
      <c r="G4" s="1807"/>
      <c r="H4" s="1808"/>
      <c r="I4" s="295"/>
      <c r="J4" s="295"/>
      <c r="K4" s="517"/>
      <c r="L4" s="517"/>
    </row>
    <row r="5" spans="1:12" s="38" customFormat="1" ht="28.5" customHeight="1" thickBot="1" x14ac:dyDescent="0.25">
      <c r="A5" s="39" t="s">
        <v>139</v>
      </c>
      <c r="B5" s="40" t="s">
        <v>402</v>
      </c>
      <c r="C5" s="1926" t="s">
        <v>141</v>
      </c>
      <c r="D5" s="1927"/>
      <c r="E5" s="1927"/>
      <c r="F5" s="1927"/>
      <c r="G5" s="1927"/>
      <c r="H5" s="1928"/>
      <c r="I5" s="296"/>
      <c r="J5" s="296"/>
      <c r="K5" s="518"/>
      <c r="L5" s="518"/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5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91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82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191690792</v>
      </c>
      <c r="D10" s="127">
        <f t="shared" ref="D10:K10" si="0">SUM(D11:D21)</f>
        <v>205624792</v>
      </c>
      <c r="E10" s="582">
        <f t="shared" si="0"/>
        <v>205624792</v>
      </c>
      <c r="F10" s="582">
        <f t="shared" si="0"/>
        <v>305852969</v>
      </c>
      <c r="G10" s="582">
        <f t="shared" si="0"/>
        <v>0</v>
      </c>
      <c r="H10" s="48">
        <f>+E10-D10</f>
        <v>0</v>
      </c>
      <c r="I10" s="1306">
        <f t="shared" si="0"/>
        <v>0</v>
      </c>
      <c r="J10" s="276">
        <f t="shared" si="0"/>
        <v>320118769</v>
      </c>
      <c r="K10" s="276">
        <f t="shared" si="0"/>
        <v>0</v>
      </c>
      <c r="L10" s="276" t="e">
        <f t="shared" ref="L10" si="1">SUM(L11:L21)</f>
        <v>#VALUE!</v>
      </c>
    </row>
    <row r="11" spans="1:12" s="26" customFormat="1" ht="12.2" customHeight="1" x14ac:dyDescent="0.2">
      <c r="A11" s="49" t="s">
        <v>91</v>
      </c>
      <c r="B11" s="50" t="s">
        <v>143</v>
      </c>
      <c r="C11" s="128">
        <f>'29._Hivatal_köt'!C11+'30._TIK_köt'!C11+'31._Humán_köt'!C11+'32._Óvoda_köt'!C11+'33._TMKK_köt'!C11+'34._Rendelő_köt'!C11</f>
        <v>0</v>
      </c>
      <c r="D11" s="192">
        <f>'29._Hivatal_köt'!D11+'30._TIK_köt'!D11+'31._Humán_köt'!D11+'32._Óvoda_köt'!D11+'33._TMKK_köt'!D11+'34._Rendelő_köt'!D11</f>
        <v>0</v>
      </c>
      <c r="E11" s="583">
        <f>'29._Hivatal_köt'!E11+'30._TIK_köt'!E11+'31._Humán_köt'!E11+'32._Óvoda_köt'!E11+'33._TMKK_köt'!E11+'34._Rendelő_köt'!E11</f>
        <v>0</v>
      </c>
      <c r="F11" s="583">
        <f>'29._Hivatal_köt'!F11+'30._TIK_köt'!F11+'31._Humán_köt'!F11+'32._Óvoda_köt'!F11+'33._TMKK_köt'!F11+'34._Rendelő_köt'!F11</f>
        <v>0</v>
      </c>
      <c r="G11" s="583">
        <f>'29._Hivatal_köt'!G11+'30._TIK_köt'!G11+'31._Humán_köt'!G11+'32._Óvoda_köt'!G11+'33._TMKK_köt'!G11+'34._Rendelő_köt'!G11</f>
        <v>0</v>
      </c>
      <c r="H11" s="540">
        <f t="shared" ref="H11:H48" si="2">+E11-D11</f>
        <v>0</v>
      </c>
      <c r="I11" s="1307">
        <f>'29._Hivatal_köt'!I11+'30._TIK_köt'!I11+'31._Humán_köt'!I11+'32._Óvoda_köt'!I11+'33._TMKK_köt'!I11+'34._Rendelő_köt'!I11</f>
        <v>0</v>
      </c>
      <c r="J11" s="277">
        <f>'29._Hivatal_köt'!J11+'30._TIK_köt'!J11+'31._Humán_köt'!J11+'32._Óvoda_köt'!J11+'33._TMKK_köt'!J11+'34._Rendelő_köt'!J11</f>
        <v>4069</v>
      </c>
      <c r="K11" s="277">
        <f>'29._Hivatal_köt'!K11+'30._TIK_köt'!K11+'31._Humán_köt'!K11+'32._Óvoda_köt'!K11+'33._TMKK_köt'!K11+'34._Rendelő_köt'!K11</f>
        <v>0</v>
      </c>
      <c r="L11" s="277" t="e">
        <f>'29._Hivatal_köt'!L11+'30._TIK_köt'!L11+'31._Humán_köt'!L11+'32._Óvoda_köt'!L11+'33._TMKK_köt'!L11+'34._Rendelő_köt'!L11</f>
        <v>#VALUE!</v>
      </c>
    </row>
    <row r="12" spans="1:12" s="26" customFormat="1" ht="12.2" customHeight="1" x14ac:dyDescent="0.2">
      <c r="A12" s="1037" t="s">
        <v>92</v>
      </c>
      <c r="B12" s="330" t="s">
        <v>144</v>
      </c>
      <c r="C12" s="331">
        <f>'29._Hivatal_köt'!C12+'30._TIK_köt'!C12+'31._Humán_köt'!C12+'32._Óvoda_köt'!C12+'33._TMKK_köt'!C12+'34._Rendelő_köt'!C12</f>
        <v>25739785</v>
      </c>
      <c r="D12" s="340">
        <f>'29._Hivatal_köt'!D12+'30._TIK_köt'!D12+'31._Humán_köt'!D12+'32._Óvoda_köt'!D12+'33._TMKK_köt'!D12+'34._Rendelő_köt'!D12</f>
        <v>25739785</v>
      </c>
      <c r="E12" s="88">
        <f>'29._Hivatal_köt'!E12+'30._TIK_köt'!E12+'31._Humán_köt'!E12+'32._Óvoda_köt'!E12+'33._TMKK_köt'!E12+'34._Rendelő_köt'!E12</f>
        <v>25739785</v>
      </c>
      <c r="F12" s="88">
        <f>'29._Hivatal_köt'!F12+'30._TIK_köt'!F12+'31._Humán_köt'!F12+'32._Óvoda_köt'!F12+'33._TMKK_köt'!F12+'34._Rendelő_köt'!F12</f>
        <v>59280848</v>
      </c>
      <c r="G12" s="88">
        <f>'29._Hivatal_köt'!G12+'30._TIK_köt'!G12+'31._Humán_köt'!G12+'32._Óvoda_köt'!G12+'33._TMKK_köt'!G12+'34._Rendelő_köt'!G12</f>
        <v>0</v>
      </c>
      <c r="H12" s="541">
        <f t="shared" si="2"/>
        <v>0</v>
      </c>
      <c r="I12" s="1308">
        <f>'29._Hivatal_köt'!I12+'30._TIK_köt'!I12+'31._Humán_köt'!I12+'32._Óvoda_köt'!I12+'33._TMKK_köt'!I12+'34._Rendelő_köt'!I12</f>
        <v>0</v>
      </c>
      <c r="J12" s="278">
        <f>'29._Hivatal_köt'!J12+'30._TIK_köt'!J12+'31._Humán_köt'!J12+'32._Óvoda_köt'!J12+'33._TMKK_köt'!J12+'34._Rendelő_köt'!J12</f>
        <v>83311600</v>
      </c>
      <c r="K12" s="278">
        <f>'29._Hivatal_köt'!K12+'30._TIK_köt'!K12+'31._Humán_köt'!K12+'32._Óvoda_köt'!K12+'33._TMKK_köt'!K12+'34._Rendelő_köt'!K12</f>
        <v>0</v>
      </c>
      <c r="L12" s="278" t="e">
        <f>'29._Hivatal_köt'!L12+'30._TIK_köt'!L12+'31._Humán_köt'!L12+'32._Óvoda_köt'!L12+'33._TMKK_köt'!L12+'34._Rendelő_köt'!L12</f>
        <v>#VALUE!</v>
      </c>
    </row>
    <row r="13" spans="1:12" s="26" customFormat="1" ht="12.2" customHeight="1" x14ac:dyDescent="0.2">
      <c r="A13" s="1037" t="s">
        <v>93</v>
      </c>
      <c r="B13" s="330" t="s">
        <v>145</v>
      </c>
      <c r="C13" s="331">
        <f>'29._Hivatal_köt'!C13+'30._TIK_köt'!C13+'31._Humán_köt'!C13+'32._Óvoda_köt'!C13+'33._TMKK_köt'!C13+'34._Rendelő_köt'!C13</f>
        <v>6184800</v>
      </c>
      <c r="D13" s="340">
        <f>'29._Hivatal_köt'!D13+'30._TIK_köt'!D13+'31._Humán_köt'!D13+'32._Óvoda_köt'!D13+'33._TMKK_köt'!D13+'34._Rendelő_köt'!D13</f>
        <v>6184800</v>
      </c>
      <c r="E13" s="88">
        <f>'29._Hivatal_köt'!E13+'30._TIK_köt'!E13+'31._Humán_köt'!E13+'32._Óvoda_köt'!E13+'33._TMKK_köt'!E13+'34._Rendelő_köt'!E13</f>
        <v>6184800</v>
      </c>
      <c r="F13" s="88">
        <f>'29._Hivatal_köt'!F13+'30._TIK_köt'!F13+'31._Humán_köt'!F13+'32._Óvoda_köt'!F13+'33._TMKK_köt'!F13+'34._Rendelő_köt'!F13</f>
        <v>6242964</v>
      </c>
      <c r="G13" s="88">
        <f>'29._Hivatal_köt'!G13+'30._TIK_köt'!G13+'31._Humán_köt'!G13+'32._Óvoda_köt'!G13+'33._TMKK_köt'!G13+'34._Rendelő_köt'!G13</f>
        <v>0</v>
      </c>
      <c r="H13" s="541">
        <f t="shared" si="2"/>
        <v>0</v>
      </c>
      <c r="I13" s="1308">
        <f>'29._Hivatal_köt'!I13+'30._TIK_köt'!I13+'31._Humán_köt'!I13+'32._Óvoda_köt'!I13+'33._TMKK_köt'!I13+'34._Rendelő_köt'!I13</f>
        <v>0</v>
      </c>
      <c r="J13" s="278">
        <f>'29._Hivatal_köt'!J13+'30._TIK_köt'!J13+'31._Humán_köt'!J13+'32._Óvoda_köt'!J13+'33._TMKK_köt'!J13+'34._Rendelő_köt'!J13</f>
        <v>7489927</v>
      </c>
      <c r="K13" s="278">
        <f>'29._Hivatal_köt'!K13+'30._TIK_köt'!K13+'31._Humán_köt'!K13+'32._Óvoda_köt'!K13+'33._TMKK_köt'!K13+'34._Rendelő_köt'!K13</f>
        <v>0</v>
      </c>
      <c r="L13" s="278" t="e">
        <f>'29._Hivatal_köt'!L13+'30._TIK_köt'!L13+'31._Humán_köt'!L13+'32._Óvoda_köt'!L13+'33._TMKK_köt'!L13+'34._Rendelő_köt'!L13</f>
        <v>#VALUE!</v>
      </c>
    </row>
    <row r="14" spans="1:12" s="26" customFormat="1" ht="12.2" customHeight="1" x14ac:dyDescent="0.2">
      <c r="A14" s="1037" t="s">
        <v>90</v>
      </c>
      <c r="B14" s="330" t="s">
        <v>146</v>
      </c>
      <c r="C14" s="331">
        <f>'29._Hivatal_köt'!C14+'30._TIK_köt'!C14+'31._Humán_köt'!C14+'32._Óvoda_köt'!C14+'33._TMKK_köt'!C14+'34._Rendelő_köt'!C14</f>
        <v>0</v>
      </c>
      <c r="D14" s="340">
        <f>'29._Hivatal_köt'!D14+'30._TIK_köt'!D14+'31._Humán_köt'!D14+'32._Óvoda_köt'!D14+'33._TMKK_köt'!D14+'34._Rendelő_köt'!D14</f>
        <v>0</v>
      </c>
      <c r="E14" s="88">
        <f>'29._Hivatal_köt'!E14+'30._TIK_köt'!E14+'31._Humán_köt'!E14+'32._Óvoda_köt'!E14+'33._TMKK_köt'!E14+'34._Rendelő_köt'!E14</f>
        <v>0</v>
      </c>
      <c r="F14" s="88">
        <f>'29._Hivatal_köt'!F14+'30._TIK_köt'!F14+'31._Humán_köt'!F14+'32._Óvoda_köt'!F14+'33._TMKK_köt'!F14+'34._Rendelő_köt'!F14</f>
        <v>0</v>
      </c>
      <c r="G14" s="88">
        <f>'29._Hivatal_köt'!G14+'30._TIK_köt'!G14+'31._Humán_köt'!G14+'32._Óvoda_köt'!G14+'33._TMKK_köt'!G14+'34._Rendelő_köt'!G14</f>
        <v>0</v>
      </c>
      <c r="H14" s="541">
        <f t="shared" si="2"/>
        <v>0</v>
      </c>
      <c r="I14" s="1308">
        <f>'29._Hivatal_köt'!I14+'30._TIK_köt'!I14+'31._Humán_köt'!I14+'32._Óvoda_köt'!I14+'33._TMKK_köt'!I14+'34._Rendelő_köt'!I14</f>
        <v>0</v>
      </c>
      <c r="J14" s="278">
        <f>'29._Hivatal_köt'!J14+'30._TIK_köt'!J14+'31._Humán_köt'!J14+'32._Óvoda_köt'!J14+'33._TMKK_köt'!J14+'34._Rendelő_köt'!J14</f>
        <v>0</v>
      </c>
      <c r="K14" s="278">
        <f>'29._Hivatal_köt'!K14+'30._TIK_köt'!K14+'31._Humán_köt'!K14+'32._Óvoda_köt'!K14+'33._TMKK_köt'!K14+'34._Rendelő_köt'!K14</f>
        <v>0</v>
      </c>
      <c r="L14" s="278" t="e">
        <f>'29._Hivatal_köt'!L14+'30._TIK_köt'!L14+'31._Humán_köt'!L14+'32._Óvoda_köt'!L14+'33._TMKK_köt'!L14+'34._Rendelő_köt'!L14</f>
        <v>#VALUE!</v>
      </c>
    </row>
    <row r="15" spans="1:12" s="26" customFormat="1" ht="12.2" customHeight="1" x14ac:dyDescent="0.2">
      <c r="A15" s="1037" t="s">
        <v>147</v>
      </c>
      <c r="B15" s="330" t="s">
        <v>148</v>
      </c>
      <c r="C15" s="331">
        <f>'29._Hivatal_köt'!C15+'30._TIK_köt'!C15+'31._Humán_köt'!C15+'32._Óvoda_köt'!C15+'33._TMKK_köt'!C15+'34._Rendelő_köt'!C15</f>
        <v>121625660</v>
      </c>
      <c r="D15" s="340">
        <f>'29._Hivatal_köt'!D15+'30._TIK_köt'!D15+'31._Humán_köt'!D15+'32._Óvoda_köt'!D15+'33._TMKK_köt'!D15+'34._Rendelő_köt'!D15</f>
        <v>121625660</v>
      </c>
      <c r="E15" s="88">
        <f>'29._Hivatal_köt'!E15+'30._TIK_köt'!E15+'31._Humán_köt'!E15+'32._Óvoda_köt'!E15+'33._TMKK_köt'!E15+'34._Rendelő_köt'!E15</f>
        <v>121625660</v>
      </c>
      <c r="F15" s="88">
        <f>'29._Hivatal_köt'!F15+'30._TIK_köt'!F15+'31._Humán_köt'!F15+'32._Óvoda_köt'!F15+'33._TMKK_köt'!F15+'34._Rendelő_köt'!F15</f>
        <v>176659740</v>
      </c>
      <c r="G15" s="88">
        <f>'29._Hivatal_köt'!G15+'30._TIK_köt'!G15+'31._Humán_köt'!G15+'32._Óvoda_köt'!G15+'33._TMKK_köt'!G15+'34._Rendelő_köt'!G15</f>
        <v>0</v>
      </c>
      <c r="H15" s="541">
        <f t="shared" si="2"/>
        <v>0</v>
      </c>
      <c r="I15" s="1308">
        <f>'29._Hivatal_köt'!I15+'30._TIK_köt'!I15+'31._Humán_köt'!I15+'32._Óvoda_köt'!I15+'33._TMKK_köt'!I15+'34._Rendelő_köt'!I15</f>
        <v>0</v>
      </c>
      <c r="J15" s="278">
        <f>'29._Hivatal_köt'!J15+'30._TIK_köt'!J15+'31._Humán_köt'!J15+'32._Óvoda_köt'!J15+'33._TMKK_köt'!J15+'34._Rendelő_köt'!J15</f>
        <v>163778559</v>
      </c>
      <c r="K15" s="278">
        <f>'29._Hivatal_köt'!K15+'30._TIK_köt'!K15+'31._Humán_köt'!K15+'32._Óvoda_köt'!K15+'33._TMKK_köt'!K15+'34._Rendelő_köt'!K15</f>
        <v>0</v>
      </c>
      <c r="L15" s="278" t="e">
        <f>'29._Hivatal_köt'!L15+'30._TIK_köt'!L15+'31._Humán_köt'!L15+'32._Óvoda_köt'!L15+'33._TMKK_köt'!L15+'34._Rendelő_köt'!L15</f>
        <v>#VALUE!</v>
      </c>
    </row>
    <row r="16" spans="1:12" s="26" customFormat="1" ht="12.2" customHeight="1" x14ac:dyDescent="0.2">
      <c r="A16" s="1037" t="s">
        <v>149</v>
      </c>
      <c r="B16" s="330" t="s">
        <v>150</v>
      </c>
      <c r="C16" s="331">
        <f>'29._Hivatal_köt'!C16+'30._TIK_köt'!C16+'31._Humán_köt'!C16+'32._Óvoda_köt'!C16+'33._TMKK_köt'!C16+'34._Rendelő_köt'!C16</f>
        <v>38140547</v>
      </c>
      <c r="D16" s="340">
        <f>'29._Hivatal_köt'!D16+'30._TIK_köt'!D16+'31._Humán_köt'!D16+'32._Óvoda_köt'!D16+'33._TMKK_köt'!D16+'34._Rendelő_köt'!D16</f>
        <v>38140547</v>
      </c>
      <c r="E16" s="88">
        <f>'29._Hivatal_köt'!E16+'30._TIK_köt'!E16+'31._Humán_köt'!E16+'32._Óvoda_köt'!E16+'33._TMKK_köt'!E16+'34._Rendelő_köt'!E16</f>
        <v>38140547</v>
      </c>
      <c r="F16" s="88">
        <f>'29._Hivatal_köt'!F16+'30._TIK_köt'!F16+'31._Humán_köt'!F16+'32._Óvoda_köt'!F16+'33._TMKK_köt'!F16+'34._Rendelő_köt'!F16</f>
        <v>39368947</v>
      </c>
      <c r="G16" s="88">
        <f>'29._Hivatal_köt'!G16+'30._TIK_köt'!G16+'31._Humán_köt'!G16+'32._Óvoda_köt'!G16+'33._TMKK_köt'!G16+'34._Rendelő_köt'!G16</f>
        <v>0</v>
      </c>
      <c r="H16" s="541">
        <f t="shared" si="2"/>
        <v>0</v>
      </c>
      <c r="I16" s="1308">
        <f>'29._Hivatal_köt'!I16+'30._TIK_köt'!I16+'31._Humán_köt'!I16+'32._Óvoda_köt'!I16+'33._TMKK_köt'!I16+'34._Rendelő_köt'!I16</f>
        <v>0</v>
      </c>
      <c r="J16" s="278">
        <f>'29._Hivatal_köt'!J16+'30._TIK_köt'!J16+'31._Humán_köt'!J16+'32._Óvoda_köt'!J16+'33._TMKK_köt'!J16+'34._Rendelő_köt'!J16</f>
        <v>41652631</v>
      </c>
      <c r="K16" s="278">
        <f>'29._Hivatal_köt'!K16+'30._TIK_köt'!K16+'31._Humán_köt'!K16+'32._Óvoda_köt'!K16+'33._TMKK_köt'!K16+'34._Rendelő_köt'!K16</f>
        <v>0</v>
      </c>
      <c r="L16" s="278" t="e">
        <f>'29._Hivatal_köt'!L16+'30._TIK_köt'!L16+'31._Humán_köt'!L16+'32._Óvoda_köt'!L16+'33._TMKK_köt'!L16+'34._Rendelő_köt'!L16</f>
        <v>#VALUE!</v>
      </c>
    </row>
    <row r="17" spans="1:12" s="26" customFormat="1" ht="12.2" customHeight="1" x14ac:dyDescent="0.2">
      <c r="A17" s="1037" t="s">
        <v>151</v>
      </c>
      <c r="B17" s="52" t="s">
        <v>152</v>
      </c>
      <c r="C17" s="331">
        <f>'29._Hivatal_köt'!C17+'30._TIK_köt'!C17+'31._Humán_köt'!C17+'32._Óvoda_köt'!C17+'33._TMKK_köt'!C17+'34._Rendelő_köt'!C17</f>
        <v>0</v>
      </c>
      <c r="D17" s="340">
        <f>'29._Hivatal_köt'!D17+'30._TIK_köt'!D17+'31._Humán_köt'!D17+'32._Óvoda_köt'!D17+'33._TMKK_köt'!D17+'34._Rendelő_köt'!D17</f>
        <v>13934000</v>
      </c>
      <c r="E17" s="88">
        <f>'29._Hivatal_köt'!E17+'30._TIK_köt'!E17+'31._Humán_köt'!E17+'32._Óvoda_köt'!E17+'33._TMKK_köt'!E17+'34._Rendelő_köt'!E17</f>
        <v>13934000</v>
      </c>
      <c r="F17" s="88">
        <f>'29._Hivatal_köt'!F17+'30._TIK_köt'!F17+'31._Humán_köt'!F17+'32._Óvoda_köt'!F17+'33._TMKK_köt'!F17+'34._Rendelő_köt'!F17</f>
        <v>13934000</v>
      </c>
      <c r="G17" s="88">
        <f>'29._Hivatal_köt'!G17+'30._TIK_köt'!G17+'31._Humán_köt'!G17+'32._Óvoda_köt'!G17+'33._TMKK_köt'!G17+'34._Rendelő_köt'!G17</f>
        <v>0</v>
      </c>
      <c r="H17" s="541">
        <f t="shared" si="2"/>
        <v>0</v>
      </c>
      <c r="I17" s="1308">
        <f>'29._Hivatal_köt'!I17+'30._TIK_köt'!I17+'31._Humán_köt'!I17+'32._Óvoda_köt'!I17+'33._TMKK_köt'!I17+'34._Rendelő_köt'!I17</f>
        <v>0</v>
      </c>
      <c r="J17" s="278">
        <f>'29._Hivatal_köt'!J17+'30._TIK_köt'!J17+'31._Humán_köt'!J17+'32._Óvoda_köt'!J17+'33._TMKK_köt'!J17+'34._Rendelő_köt'!J17</f>
        <v>13934000</v>
      </c>
      <c r="K17" s="278">
        <f>'29._Hivatal_köt'!K17+'30._TIK_köt'!K17+'31._Humán_köt'!K17+'32._Óvoda_köt'!K17+'33._TMKK_köt'!K17+'34._Rendelő_köt'!K17</f>
        <v>0</v>
      </c>
      <c r="L17" s="278" t="e">
        <f>'29._Hivatal_köt'!L17+'30._TIK_köt'!L17+'31._Humán_köt'!L17+'32._Óvoda_köt'!L17+'33._TMKK_köt'!L17+'34._Rendelő_köt'!L17</f>
        <v>#VALUE!</v>
      </c>
    </row>
    <row r="18" spans="1:12" s="26" customFormat="1" ht="12.2" customHeight="1" x14ac:dyDescent="0.2">
      <c r="A18" s="1037" t="s">
        <v>153</v>
      </c>
      <c r="B18" s="345" t="s">
        <v>302</v>
      </c>
      <c r="C18" s="121">
        <f>'29._Hivatal_köt'!C18+'30._TIK_köt'!C18+'31._Humán_köt'!C18+'32._Óvoda_köt'!C18+'33._TMKK_köt'!C18+'34._Rendelő_köt'!C18</f>
        <v>0</v>
      </c>
      <c r="D18" s="188">
        <f>'29._Hivatal_köt'!D18+'30._TIK_köt'!D18+'31._Humán_köt'!D18+'32._Óvoda_köt'!D18+'33._TMKK_köt'!D18+'34._Rendelő_köt'!D18</f>
        <v>0</v>
      </c>
      <c r="E18" s="90">
        <f>'29._Hivatal_köt'!E18+'30._TIK_köt'!E18+'31._Humán_köt'!E18+'32._Óvoda_köt'!E18+'33._TMKK_köt'!E18+'34._Rendelő_köt'!E18</f>
        <v>0</v>
      </c>
      <c r="F18" s="90">
        <f>'29._Hivatal_köt'!F18+'30._TIK_köt'!F18+'31._Humán_köt'!F18+'32._Óvoda_köt'!F18+'33._TMKK_köt'!F18+'34._Rendelő_köt'!F18</f>
        <v>0</v>
      </c>
      <c r="G18" s="90">
        <f>'29._Hivatal_köt'!G18+'30._TIK_köt'!G18+'31._Humán_köt'!G18+'32._Óvoda_köt'!G18+'33._TMKK_köt'!G18+'34._Rendelő_köt'!G18</f>
        <v>0</v>
      </c>
      <c r="H18" s="542">
        <f t="shared" si="2"/>
        <v>0</v>
      </c>
      <c r="I18" s="1309">
        <f>'29._Hivatal_köt'!I18+'30._TIK_köt'!I18+'31._Humán_köt'!I18+'32._Óvoda_köt'!I18+'33._TMKK_köt'!I18+'34._Rendelő_köt'!I18</f>
        <v>0</v>
      </c>
      <c r="J18" s="279">
        <f>'29._Hivatal_köt'!J18+'30._TIK_köt'!J18+'31._Humán_köt'!J18+'32._Óvoda_köt'!J18+'33._TMKK_köt'!J18+'34._Rendelő_köt'!J18</f>
        <v>68</v>
      </c>
      <c r="K18" s="279">
        <f>'29._Hivatal_köt'!K18+'30._TIK_köt'!K18+'31._Humán_köt'!K18+'32._Óvoda_köt'!K18+'33._TMKK_köt'!K18+'34._Rendelő_köt'!K18</f>
        <v>0</v>
      </c>
      <c r="L18" s="279" t="e">
        <f>'29._Hivatal_köt'!L18+'30._TIK_köt'!L18+'31._Humán_köt'!L18+'32._Óvoda_köt'!L18+'33._TMKK_köt'!L18+'34._Rendelő_köt'!L18</f>
        <v>#VALUE!</v>
      </c>
    </row>
    <row r="19" spans="1:12" s="54" customFormat="1" ht="12.2" customHeight="1" x14ac:dyDescent="0.2">
      <c r="A19" s="1037" t="s">
        <v>154</v>
      </c>
      <c r="B19" s="330" t="s">
        <v>155</v>
      </c>
      <c r="C19" s="331">
        <f>'29._Hivatal_köt'!C19+'30._TIK_köt'!C19+'31._Humán_köt'!C19+'32._Óvoda_köt'!C19+'33._TMKK_köt'!C19+'34._Rendelő_köt'!C19</f>
        <v>0</v>
      </c>
      <c r="D19" s="340">
        <f>'29._Hivatal_köt'!D19+'30._TIK_köt'!D19+'31._Humán_köt'!D19+'32._Óvoda_köt'!D19+'33._TMKK_köt'!D19+'34._Rendelő_köt'!D19</f>
        <v>0</v>
      </c>
      <c r="E19" s="88">
        <f>'29._Hivatal_köt'!E19+'30._TIK_köt'!E19+'31._Humán_köt'!E19+'32._Óvoda_köt'!E19+'33._TMKK_köt'!E19+'34._Rendelő_köt'!E19</f>
        <v>0</v>
      </c>
      <c r="F19" s="88">
        <f>'29._Hivatal_köt'!F19+'30._TIK_köt'!F19+'31._Humán_köt'!F19+'32._Óvoda_köt'!F19+'33._TMKK_köt'!F19+'34._Rendelő_köt'!F19</f>
        <v>0</v>
      </c>
      <c r="G19" s="88">
        <f>'29._Hivatal_köt'!G19+'30._TIK_köt'!G19+'31._Humán_köt'!G19+'32._Óvoda_köt'!G19+'33._TMKK_köt'!G19+'34._Rendelő_köt'!G19</f>
        <v>0</v>
      </c>
      <c r="H19" s="541">
        <f t="shared" si="2"/>
        <v>0</v>
      </c>
      <c r="I19" s="1308">
        <f>'29._Hivatal_köt'!I19+'30._TIK_köt'!I19+'31._Humán_köt'!I19+'32._Óvoda_köt'!I19+'33._TMKK_köt'!I19+'34._Rendelő_köt'!I19</f>
        <v>0</v>
      </c>
      <c r="J19" s="278">
        <f>'29._Hivatal_köt'!J19+'30._TIK_köt'!J19+'31._Humán_köt'!J19+'32._Óvoda_köt'!J19+'33._TMKK_köt'!J19+'34._Rendelő_köt'!J19</f>
        <v>0</v>
      </c>
      <c r="K19" s="278">
        <f>'29._Hivatal_köt'!K19+'30._TIK_köt'!K19+'31._Humán_köt'!K19+'32._Óvoda_köt'!K19+'33._TMKK_köt'!K19+'34._Rendelő_köt'!K19</f>
        <v>0</v>
      </c>
      <c r="L19" s="278" t="e">
        <f>'29._Hivatal_köt'!L19+'30._TIK_köt'!L19+'31._Humán_köt'!L19+'32._Óvoda_köt'!L19+'33._TMKK_köt'!L19+'34._Rendelő_köt'!L19</f>
        <v>#VALUE!</v>
      </c>
    </row>
    <row r="20" spans="1:12" s="54" customFormat="1" ht="12.2" customHeight="1" x14ac:dyDescent="0.2">
      <c r="A20" s="1037" t="s">
        <v>156</v>
      </c>
      <c r="B20" s="345" t="s">
        <v>275</v>
      </c>
      <c r="C20" s="333">
        <f>'29._Hivatal_köt'!C20+'30._TIK_köt'!C20+'31._Humán_köt'!C20+'32._Óvoda_köt'!C20+'33._TMKK_köt'!C20+'34._Rendelő_köt'!C20</f>
        <v>0</v>
      </c>
      <c r="D20" s="341">
        <f>'29._Hivatal_köt'!D20+'30._TIK_köt'!D20+'31._Humán_köt'!D20+'32._Óvoda_köt'!D20+'33._TMKK_köt'!D20+'34._Rendelő_köt'!D20</f>
        <v>0</v>
      </c>
      <c r="E20" s="88">
        <f>'29._Hivatal_köt'!E20+'30._TIK_köt'!E20+'31._Humán_köt'!E20+'32._Óvoda_köt'!E20+'33._TMKK_köt'!E20+'34._Rendelő_köt'!E20</f>
        <v>0</v>
      </c>
      <c r="F20" s="88">
        <f>'29._Hivatal_köt'!F20+'30._TIK_köt'!F20+'31._Humán_köt'!F20+'32._Óvoda_köt'!F20+'33._TMKK_köt'!F20+'34._Rendelő_köt'!F20</f>
        <v>0</v>
      </c>
      <c r="G20" s="331">
        <f>'29._Hivatal_köt'!G20+'30._TIK_köt'!G20+'31._Humán_köt'!G20+'32._Óvoda_köt'!G20+'33._TMKK_köt'!G20+'34._Rendelő_köt'!G20</f>
        <v>0</v>
      </c>
      <c r="H20" s="543">
        <f t="shared" si="2"/>
        <v>0</v>
      </c>
      <c r="I20" s="1310">
        <f>'29._Hivatal_köt'!I20+'30._TIK_köt'!I20+'31._Humán_köt'!I20+'32._Óvoda_köt'!I20+'33._TMKK_köt'!I20+'34._Rendelő_köt'!I20</f>
        <v>0</v>
      </c>
      <c r="J20" s="280">
        <f>'29._Hivatal_köt'!J20+'30._TIK_köt'!J20+'31._Humán_köt'!J20+'32._Óvoda_köt'!J20+'33._TMKK_köt'!J20+'34._Rendelő_köt'!J20</f>
        <v>623468</v>
      </c>
      <c r="K20" s="280">
        <f>'29._Hivatal_köt'!K20+'30._TIK_köt'!K20+'31._Humán_köt'!K20+'32._Óvoda_köt'!K20+'33._TMKK_köt'!K20+'34._Rendelő_köt'!K20</f>
        <v>0</v>
      </c>
      <c r="L20" s="280" t="e">
        <f>'29._Hivatal_köt'!L20+'30._TIK_köt'!L20+'31._Humán_köt'!L20+'32._Óvoda_köt'!L20+'33._TMKK_köt'!L20+'34._Rendelő_köt'!L20</f>
        <v>#VALUE!</v>
      </c>
    </row>
    <row r="21" spans="1:12" s="54" customFormat="1" ht="12.2" customHeight="1" thickBot="1" x14ac:dyDescent="0.25">
      <c r="A21" s="1037" t="s">
        <v>276</v>
      </c>
      <c r="B21" s="52" t="s">
        <v>157</v>
      </c>
      <c r="C21" s="333">
        <f>'29._Hivatal_köt'!C21+'30._TIK_köt'!C21+'31._Humán_köt'!C21+'32._Óvoda_köt'!C21+'33._TMKK_köt'!C21+'34._Rendelő_köt'!C21</f>
        <v>0</v>
      </c>
      <c r="D21" s="341">
        <f>'29._Hivatal_köt'!D21+'30._TIK_köt'!D21+'31._Humán_köt'!D21+'32._Óvoda_köt'!D21+'33._TMKK_köt'!D21+'34._Rendelő_köt'!D21</f>
        <v>0</v>
      </c>
      <c r="E21" s="90">
        <f>'29._Hivatal_köt'!E21+'30._TIK_köt'!E21+'31._Humán_köt'!E21+'32._Óvoda_köt'!E21+'33._TMKK_köt'!E21+'34._Rendelő_köt'!E21</f>
        <v>0</v>
      </c>
      <c r="F21" s="90">
        <f>'29._Hivatal_köt'!F21+'30._TIK_köt'!F21+'31._Humán_köt'!F21+'32._Óvoda_köt'!F21+'33._TMKK_köt'!F21+'34._Rendelő_köt'!F21</f>
        <v>10366470</v>
      </c>
      <c r="G21" s="90">
        <f>'29._Hivatal_köt'!G21+'30._TIK_köt'!G21+'31._Humán_köt'!G21+'32._Óvoda_köt'!G21+'33._TMKK_köt'!G21+'34._Rendelő_köt'!G21</f>
        <v>0</v>
      </c>
      <c r="H21" s="544">
        <f t="shared" si="2"/>
        <v>0</v>
      </c>
      <c r="I21" s="1311">
        <f>'29._Hivatal_köt'!I21+'30._TIK_köt'!I21+'31._Humán_köt'!I21+'32._Óvoda_köt'!I21+'33._TMKK_köt'!I21+'34._Rendelő_köt'!I21</f>
        <v>0</v>
      </c>
      <c r="J21" s="281">
        <f>'29._Hivatal_köt'!J21+'30._TIK_köt'!J21+'31._Humán_köt'!J21+'32._Óvoda_köt'!J21+'33._TMKK_köt'!J21+'34._Rendelő_köt'!J21</f>
        <v>9324447</v>
      </c>
      <c r="K21" s="281">
        <f>'29._Hivatal_köt'!K21+'30._TIK_köt'!K21+'31._Humán_köt'!K21+'32._Óvoda_köt'!K21+'33._TMKK_köt'!K21+'34._Rendelő_köt'!K21</f>
        <v>0</v>
      </c>
      <c r="L21" s="281" t="e">
        <f>'29._Hivatal_köt'!L21+'30._TIK_köt'!L21+'31._Humán_köt'!L21+'32._Óvoda_köt'!L21+'33._TMKK_köt'!L21+'34._Rendelő_köt'!L21</f>
        <v>#VALUE!</v>
      </c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SUM(C23:C26)</f>
        <v>80302251</v>
      </c>
      <c r="D22" s="127">
        <f t="shared" ref="D22:K22" si="3">SUM(D23:D26)</f>
        <v>80302251</v>
      </c>
      <c r="E22" s="582">
        <f t="shared" si="3"/>
        <v>83526175</v>
      </c>
      <c r="F22" s="582">
        <f t="shared" si="3"/>
        <v>1173680838</v>
      </c>
      <c r="G22" s="582">
        <f t="shared" si="3"/>
        <v>0</v>
      </c>
      <c r="H22" s="48">
        <f t="shared" si="2"/>
        <v>3223924</v>
      </c>
      <c r="I22" s="1306">
        <f t="shared" si="3"/>
        <v>0</v>
      </c>
      <c r="J22" s="276">
        <f t="shared" si="3"/>
        <v>938738749</v>
      </c>
      <c r="K22" s="276">
        <f t="shared" si="3"/>
        <v>0</v>
      </c>
      <c r="L22" s="276" t="e">
        <f t="shared" ref="L22" si="4">SUM(L23:L26)</f>
        <v>#VALUE!</v>
      </c>
    </row>
    <row r="23" spans="1:12" s="54" customFormat="1" ht="12.2" customHeight="1" x14ac:dyDescent="0.2">
      <c r="A23" s="1037" t="s">
        <v>94</v>
      </c>
      <c r="B23" s="17" t="s">
        <v>159</v>
      </c>
      <c r="C23" s="331">
        <f>'29._Hivatal_köt'!C23+'30._TIK_köt'!C23+'31._Humán_köt'!C23+'32._Óvoda_köt'!C23+'33._TMKK_köt'!C23+'34._Rendelő_köt'!C23</f>
        <v>0</v>
      </c>
      <c r="D23" s="340">
        <f>'29._Hivatal_köt'!D23+'30._TIK_köt'!D23+'31._Humán_köt'!D23+'32._Óvoda_köt'!D23+'33._TMKK_köt'!D23+'34._Rendelő_köt'!D23</f>
        <v>0</v>
      </c>
      <c r="E23" s="584">
        <f>'29._Hivatal_köt'!E23+'30._TIK_köt'!E23+'31._Humán_köt'!E23+'32._Óvoda_köt'!E23+'33._TMKK_köt'!E23+'34._Rendelő_köt'!E23</f>
        <v>0</v>
      </c>
      <c r="F23" s="584">
        <f>'29._Hivatal_köt'!F23+'30._TIK_köt'!F23+'31._Humán_köt'!F23+'32._Óvoda_köt'!F23+'33._TMKK_köt'!F23+'34._Rendelő_köt'!F23</f>
        <v>0</v>
      </c>
      <c r="G23" s="584">
        <f>'29._Hivatal_köt'!G23+'30._TIK_köt'!G23+'31._Humán_köt'!G23+'32._Óvoda_köt'!G23+'33._TMKK_köt'!G23+'34._Rendelő_köt'!G23</f>
        <v>0</v>
      </c>
      <c r="H23" s="75">
        <f t="shared" si="2"/>
        <v>0</v>
      </c>
      <c r="I23" s="1312">
        <f>'29._Hivatal_köt'!I23+'30._TIK_köt'!I23+'31._Humán_köt'!I23+'32._Óvoda_köt'!I23+'33._TMKK_köt'!I23+'34._Rendelő_köt'!I23</f>
        <v>0</v>
      </c>
      <c r="J23" s="282">
        <f>'29._Hivatal_köt'!J23+'30._TIK_köt'!J23+'31._Humán_köt'!J23+'32._Óvoda_köt'!J23+'33._TMKK_köt'!J23+'34._Rendelő_köt'!J23</f>
        <v>0</v>
      </c>
      <c r="K23" s="282">
        <f>'29._Hivatal_köt'!K23+'30._TIK_köt'!K23+'31._Humán_köt'!K23+'32._Óvoda_köt'!K23+'33._TMKK_köt'!K23+'34._Rendelő_köt'!K23</f>
        <v>0</v>
      </c>
      <c r="L23" s="282" t="e">
        <f>'29._Hivatal_köt'!L23+'30._TIK_köt'!L23+'31._Humán_köt'!L23+'32._Óvoda_köt'!L23+'33._TMKK_köt'!L23+'34._Rendelő_köt'!L23</f>
        <v>#VALUE!</v>
      </c>
    </row>
    <row r="24" spans="1:12" s="54" customFormat="1" ht="12.2" customHeight="1" x14ac:dyDescent="0.2">
      <c r="A24" s="1037" t="s">
        <v>95</v>
      </c>
      <c r="B24" s="330" t="s">
        <v>160</v>
      </c>
      <c r="C24" s="331">
        <f>'29._Hivatal_köt'!C24+'30._TIK_köt'!C24+'31._Humán_köt'!C24+'32._Óvoda_köt'!C24+'33._TMKK_köt'!C24+'34._Rendelő_köt'!C24</f>
        <v>0</v>
      </c>
      <c r="D24" s="340">
        <f>'29._Hivatal_köt'!D24+'30._TIK_köt'!D24+'31._Humán_köt'!D24+'32._Óvoda_köt'!D24+'33._TMKK_köt'!D24+'34._Rendelő_köt'!D24</f>
        <v>0</v>
      </c>
      <c r="E24" s="88">
        <f>'29._Hivatal_köt'!E24+'30._TIK_köt'!E24+'31._Humán_köt'!E24+'32._Óvoda_köt'!E24+'33._TMKK_köt'!E24+'34._Rendelő_köt'!E24</f>
        <v>0</v>
      </c>
      <c r="F24" s="88">
        <f>'29._Hivatal_köt'!F24+'30._TIK_köt'!F24+'31._Humán_köt'!F24+'32._Óvoda_köt'!F24+'33._TMKK_köt'!F24+'34._Rendelő_köt'!F24</f>
        <v>0</v>
      </c>
      <c r="G24" s="88">
        <f>'29._Hivatal_köt'!G24+'30._TIK_köt'!G24+'31._Humán_köt'!G24+'32._Óvoda_köt'!G24+'33._TMKK_köt'!G24+'34._Rendelő_köt'!G24</f>
        <v>0</v>
      </c>
      <c r="H24" s="541">
        <f t="shared" si="2"/>
        <v>0</v>
      </c>
      <c r="I24" s="1308">
        <f>'29._Hivatal_köt'!I24+'30._TIK_köt'!I24+'31._Humán_köt'!I24+'32._Óvoda_köt'!I24+'33._TMKK_köt'!I24+'34._Rendelő_köt'!I24</f>
        <v>0</v>
      </c>
      <c r="J24" s="278">
        <f>'29._Hivatal_köt'!J24+'30._TIK_köt'!J24+'31._Humán_köt'!J24+'32._Óvoda_köt'!J24+'33._TMKK_köt'!J24+'34._Rendelő_köt'!J24</f>
        <v>0</v>
      </c>
      <c r="K24" s="278">
        <f>'29._Hivatal_köt'!K24+'30._TIK_köt'!K24+'31._Humán_köt'!K24+'32._Óvoda_köt'!K24+'33._TMKK_köt'!K24+'34._Rendelő_köt'!K24</f>
        <v>0</v>
      </c>
      <c r="L24" s="278" t="e">
        <f>'29._Hivatal_köt'!L24+'30._TIK_köt'!L24+'31._Humán_köt'!L24+'32._Óvoda_köt'!L24+'33._TMKK_köt'!L24+'34._Rendelő_köt'!L24</f>
        <v>#VALUE!</v>
      </c>
    </row>
    <row r="25" spans="1:12" s="54" customFormat="1" ht="12.2" customHeight="1" x14ac:dyDescent="0.2">
      <c r="A25" s="1037" t="s">
        <v>96</v>
      </c>
      <c r="B25" s="330" t="s">
        <v>161</v>
      </c>
      <c r="C25" s="331">
        <f>'29._Hivatal_köt'!C25+'30._TIK_köt'!C25+'31._Humán_köt'!C25+'32._Óvoda_köt'!C25+'33._TMKK_köt'!C25+'34._Rendelő_köt'!C25</f>
        <v>80302251</v>
      </c>
      <c r="D25" s="340">
        <f>'29._Hivatal_köt'!D25+'30._TIK_köt'!D25+'31._Humán_köt'!D25+'32._Óvoda_köt'!D25+'33._TMKK_köt'!D25+'34._Rendelő_köt'!D25</f>
        <v>80302251</v>
      </c>
      <c r="E25" s="88">
        <f>'29._Hivatal_köt'!E25+'30._TIK_köt'!E25+'31._Humán_köt'!E25+'32._Óvoda_köt'!E25+'33._TMKK_köt'!E25+'34._Rendelő_köt'!E25</f>
        <v>83526175</v>
      </c>
      <c r="F25" s="88">
        <f>'29._Hivatal_köt'!F25+'30._TIK_köt'!F25+'31._Humán_köt'!F25+'32._Óvoda_köt'!F25+'33._TMKK_köt'!F25+'34._Rendelő_köt'!F25</f>
        <v>1173680838</v>
      </c>
      <c r="G25" s="88">
        <f>'29._Hivatal_köt'!G25+'30._TIK_köt'!G25+'31._Humán_köt'!G25+'32._Óvoda_köt'!G25+'33._TMKK_köt'!G25+'34._Rendelő_köt'!G25</f>
        <v>0</v>
      </c>
      <c r="H25" s="541">
        <f t="shared" si="2"/>
        <v>3223924</v>
      </c>
      <c r="I25" s="1308">
        <f>'29._Hivatal_köt'!I25+'30._TIK_köt'!I25+'31._Humán_köt'!I25+'32._Óvoda_köt'!I25+'33._TMKK_köt'!I25+'34._Rendelő_köt'!I25</f>
        <v>0</v>
      </c>
      <c r="J25" s="278">
        <f>'29._Hivatal_köt'!J25+'30._TIK_köt'!J25+'31._Humán_köt'!J25+'32._Óvoda_köt'!J25+'33._TMKK_köt'!J25+'34._Rendelő_köt'!J25</f>
        <v>938738749</v>
      </c>
      <c r="K25" s="278">
        <f>'29._Hivatal_köt'!K25+'30._TIK_köt'!K25+'31._Humán_köt'!K25+'32._Óvoda_köt'!K25+'33._TMKK_köt'!K25+'34._Rendelő_köt'!K25</f>
        <v>0</v>
      </c>
      <c r="L25" s="278">
        <f>'29._Hivatal_köt'!L25+'30._TIK_köt'!L25+'31._Humán_köt'!L25+'32._Óvoda_köt'!L25+'33._TMKK_köt'!L25+'34._Rendelő_köt'!L25</f>
        <v>526.28291167829661</v>
      </c>
    </row>
    <row r="26" spans="1:12" s="54" customFormat="1" ht="12.2" customHeight="1" thickBot="1" x14ac:dyDescent="0.25">
      <c r="A26" s="1037" t="s">
        <v>317</v>
      </c>
      <c r="B26" s="335" t="s">
        <v>233</v>
      </c>
      <c r="C26" s="331">
        <f>'29._Hivatal_köt'!C26+'30._TIK_köt'!C26+'31._Humán_köt'!C26+'32._Óvoda_köt'!C26+'33._TMKK_köt'!C26+'34._Rendelő_köt'!C26</f>
        <v>0</v>
      </c>
      <c r="D26" s="340">
        <f>'29._Hivatal_köt'!D26+'30._TIK_köt'!D26+'31._Humán_köt'!D26+'32._Óvoda_köt'!D26+'33._TMKK_köt'!D26+'34._Rendelő_köt'!D26</f>
        <v>0</v>
      </c>
      <c r="E26" s="88">
        <f>'29._Hivatal_köt'!E26+'30._TIK_köt'!E26+'31._Humán_köt'!E26+'32._Óvoda_köt'!E26+'33._TMKK_köt'!E26+'34._Rendelő_köt'!E26</f>
        <v>0</v>
      </c>
      <c r="F26" s="88">
        <f>'29._Hivatal_köt'!F26+'30._TIK_köt'!F26+'31._Humán_köt'!F26+'32._Óvoda_köt'!F26+'33._TMKK_köt'!F26+'34._Rendelő_köt'!F26</f>
        <v>0</v>
      </c>
      <c r="G26" s="88">
        <f>'29._Hivatal_köt'!G26+'30._TIK_köt'!G26+'31._Humán_köt'!G26+'32._Óvoda_köt'!G26+'33._TMKK_köt'!G26+'34._Rendelő_köt'!G26</f>
        <v>0</v>
      </c>
      <c r="H26" s="545">
        <f t="shared" si="2"/>
        <v>0</v>
      </c>
      <c r="I26" s="1313">
        <f>'29._Hivatal_köt'!I26+'30._TIK_köt'!I26+'31._Humán_köt'!I26+'32._Óvoda_köt'!I26+'33._TMKK_köt'!I26+'34._Rendelő_köt'!I26</f>
        <v>0</v>
      </c>
      <c r="J26" s="283">
        <f>'29._Hivatal_köt'!J26+'30._TIK_köt'!J26+'31._Humán_köt'!J26+'32._Óvoda_köt'!J26+'33._TMKK_köt'!J26+'34._Rendelő_köt'!J26</f>
        <v>0</v>
      </c>
      <c r="K26" s="283">
        <f>'29._Hivatal_köt'!K26+'30._TIK_köt'!K26+'31._Humán_köt'!K26+'32._Óvoda_köt'!K26+'33._TMKK_köt'!K26+'34._Rendelő_köt'!K26</f>
        <v>0</v>
      </c>
      <c r="L26" s="283" t="e">
        <f>'29._Hivatal_köt'!L26+'30._TIK_köt'!L26+'31._Humán_köt'!L26+'32._Óvoda_köt'!L26+'33._TMKK_köt'!L26+'34._Rendelő_köt'!L26</f>
        <v>#VALUE!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30">
        <f>'29._Hivatal_köt'!C27+'30._TIK_köt'!C27+'31._Humán_köt'!C27+'32._Óvoda_köt'!C27+'33._TMKK_köt'!C27+'34._Rendelő_köt'!C27</f>
        <v>0</v>
      </c>
      <c r="D27" s="129">
        <f>'29._Hivatal_köt'!D27+'30._TIK_köt'!D27+'31._Humán_köt'!D27+'32._Óvoda_köt'!D27+'33._TMKK_köt'!D27+'34._Rendelő_köt'!D27</f>
        <v>0</v>
      </c>
      <c r="E27" s="585">
        <f>'29._Hivatal_köt'!E27+'30._TIK_köt'!E27+'31._Humán_köt'!E27+'32._Óvoda_köt'!E27+'33._TMKK_köt'!E27+'34._Rendelő_köt'!E27</f>
        <v>0</v>
      </c>
      <c r="F27" s="585">
        <f>'29._Hivatal_köt'!F27+'30._TIK_köt'!F27+'31._Humán_köt'!F27+'32._Óvoda_köt'!F27+'33._TMKK_köt'!F27+'34._Rendelő_köt'!F27</f>
        <v>0</v>
      </c>
      <c r="G27" s="585">
        <f>'29._Hivatal_köt'!G27+'30._TIK_köt'!G27+'31._Humán_köt'!G27+'32._Óvoda_köt'!G27+'33._TMKK_köt'!G27+'34._Rendelő_köt'!G27</f>
        <v>0</v>
      </c>
      <c r="H27" s="74">
        <f t="shared" si="2"/>
        <v>0</v>
      </c>
      <c r="I27" s="290">
        <f>'29._Hivatal_köt'!I27+'30._TIK_köt'!I27+'31._Humán_köt'!I27+'32._Óvoda_köt'!I27+'33._TMKK_köt'!I27+'34._Rendelő_köt'!I27</f>
        <v>0</v>
      </c>
      <c r="J27" s="284">
        <f>'29._Hivatal_köt'!J27+'30._TIK_köt'!J27+'31._Humán_köt'!J27+'32._Óvoda_köt'!J27+'33._TMKK_köt'!J27+'34._Rendelő_köt'!J27</f>
        <v>0</v>
      </c>
      <c r="K27" s="284">
        <f>'29._Hivatal_köt'!K27+'30._TIK_köt'!K27+'31._Humán_köt'!K27+'32._Óvoda_köt'!K27+'33._TMKK_köt'!K27+'34._Rendelő_köt'!K27</f>
        <v>0</v>
      </c>
      <c r="L27" s="284" t="e">
        <f>'29._Hivatal_köt'!L27+'30._TIK_köt'!L27+'31._Humán_köt'!L27+'32._Óvoda_köt'!L27+'33._TMKK_köt'!L27+'34._Rendelő_köt'!L27</f>
        <v>#VALUE!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SUM(C29:C31)</f>
        <v>0</v>
      </c>
      <c r="D28" s="127">
        <f t="shared" ref="D28:K28" si="5">SUM(D29:D31)</f>
        <v>0</v>
      </c>
      <c r="E28" s="582">
        <f t="shared" si="5"/>
        <v>0</v>
      </c>
      <c r="F28" s="582">
        <f t="shared" si="5"/>
        <v>0</v>
      </c>
      <c r="G28" s="582">
        <f t="shared" si="5"/>
        <v>0</v>
      </c>
      <c r="H28" s="74">
        <f t="shared" si="2"/>
        <v>0</v>
      </c>
      <c r="I28" s="290">
        <f t="shared" si="5"/>
        <v>0</v>
      </c>
      <c r="J28" s="284">
        <f t="shared" si="5"/>
        <v>0</v>
      </c>
      <c r="K28" s="284">
        <f t="shared" si="5"/>
        <v>0</v>
      </c>
      <c r="L28" s="284" t="e">
        <f t="shared" ref="L28" si="6">SUM(L29:L31)</f>
        <v>#VALUE!</v>
      </c>
    </row>
    <row r="29" spans="1:12" s="54" customFormat="1" ht="12.2" customHeight="1" x14ac:dyDescent="0.2">
      <c r="A29" s="58" t="s">
        <v>100</v>
      </c>
      <c r="B29" s="59" t="s">
        <v>160</v>
      </c>
      <c r="C29" s="122">
        <f>'29._Hivatal_köt'!C29+'30._TIK_köt'!C29+'31._Humán_köt'!C29+'32._Óvoda_köt'!C29+'33._TMKK_köt'!C29+'34._Rendelő_köt'!C29</f>
        <v>0</v>
      </c>
      <c r="D29" s="189">
        <f>'29._Hivatal_köt'!D29+'30._TIK_köt'!D29+'31._Humán_köt'!D29+'32._Óvoda_köt'!D29+'33._TMKK_köt'!D29+'34._Rendelő_köt'!D29</f>
        <v>0</v>
      </c>
      <c r="E29" s="586">
        <f>'29._Hivatal_köt'!E29+'30._TIK_köt'!E29+'31._Humán_köt'!E29+'32._Óvoda_köt'!E29+'33._TMKK_köt'!E29+'34._Rendelő_köt'!E29</f>
        <v>0</v>
      </c>
      <c r="F29" s="586">
        <f>'29._Hivatal_köt'!F29+'30._TIK_köt'!F29+'31._Humán_köt'!F29+'32._Óvoda_köt'!F29+'33._TMKK_köt'!F29+'34._Rendelő_köt'!F29</f>
        <v>0</v>
      </c>
      <c r="G29" s="586">
        <f>'29._Hivatal_köt'!G29+'30._TIK_köt'!G29+'31._Humán_köt'!G29+'32._Óvoda_köt'!G29+'33._TMKK_köt'!G29+'34._Rendelő_köt'!G29</f>
        <v>0</v>
      </c>
      <c r="H29" s="546">
        <f t="shared" si="2"/>
        <v>0</v>
      </c>
      <c r="I29" s="1314">
        <f>'29._Hivatal_köt'!I29+'30._TIK_köt'!I29+'31._Humán_köt'!I29+'32._Óvoda_köt'!I29+'33._TMKK_köt'!I29+'34._Rendelő_köt'!I29</f>
        <v>0</v>
      </c>
      <c r="J29" s="285">
        <f>'29._Hivatal_köt'!J29+'30._TIK_köt'!J29+'31._Humán_köt'!J29+'32._Óvoda_köt'!J29+'33._TMKK_köt'!J29+'34._Rendelő_köt'!J29</f>
        <v>0</v>
      </c>
      <c r="K29" s="285">
        <f>'29._Hivatal_köt'!K29+'30._TIK_köt'!K29+'31._Humán_köt'!K29+'32._Óvoda_köt'!K29+'33._TMKK_köt'!K29+'34._Rendelő_köt'!K29</f>
        <v>0</v>
      </c>
      <c r="L29" s="285" t="e">
        <f>'29._Hivatal_köt'!L29+'30._TIK_köt'!L29+'31._Humán_köt'!L29+'32._Óvoda_köt'!L29+'33._TMKK_köt'!L29+'34._Rendelő_köt'!L29</f>
        <v>#VALUE!</v>
      </c>
    </row>
    <row r="30" spans="1:12" s="54" customFormat="1" ht="12.2" customHeight="1" x14ac:dyDescent="0.2">
      <c r="A30" s="58" t="s">
        <v>101</v>
      </c>
      <c r="B30" s="336" t="s">
        <v>163</v>
      </c>
      <c r="C30" s="120">
        <f>'29._Hivatal_köt'!C30+'30._TIK_köt'!C30+'31._Humán_köt'!C30+'32._Óvoda_köt'!C30+'33._TMKK_köt'!C30+'34._Rendelő_köt'!C30</f>
        <v>0</v>
      </c>
      <c r="D30" s="193">
        <f>'29._Hivatal_köt'!D30+'30._TIK_köt'!D30+'31._Humán_köt'!D30+'32._Óvoda_köt'!D30+'33._TMKK_köt'!D30+'34._Rendelő_köt'!D30</f>
        <v>0</v>
      </c>
      <c r="E30" s="107">
        <f>'29._Hivatal_köt'!E30+'30._TIK_köt'!E30+'31._Humán_köt'!E30+'32._Óvoda_köt'!E30+'33._TMKK_köt'!E30+'34._Rendelő_köt'!E30</f>
        <v>0</v>
      </c>
      <c r="F30" s="107">
        <f>'29._Hivatal_köt'!F30+'30._TIK_köt'!F30+'31._Humán_köt'!F30+'32._Óvoda_köt'!F30+'33._TMKK_köt'!F30+'34._Rendelő_köt'!F30</f>
        <v>0</v>
      </c>
      <c r="G30" s="339">
        <f>'29._Hivatal_köt'!G30+'30._TIK_köt'!G30+'31._Humán_köt'!G30+'32._Óvoda_köt'!G30+'33._TMKK_köt'!G30+'34._Rendelő_köt'!G30</f>
        <v>0</v>
      </c>
      <c r="H30" s="534">
        <f t="shared" si="2"/>
        <v>0</v>
      </c>
      <c r="I30" s="1315">
        <f>'29._Hivatal_köt'!I30+'30._TIK_köt'!I30+'31._Humán_köt'!I30+'32._Óvoda_köt'!I30+'33._TMKK_köt'!I30+'34._Rendelő_köt'!I30</f>
        <v>0</v>
      </c>
      <c r="J30" s="286">
        <f>'29._Hivatal_köt'!J30+'30._TIK_köt'!J30+'31._Humán_köt'!J30+'32._Óvoda_köt'!J30+'33._TMKK_köt'!J30+'34._Rendelő_köt'!J30</f>
        <v>0</v>
      </c>
      <c r="K30" s="286">
        <f>'29._Hivatal_köt'!K30+'30._TIK_köt'!K30+'31._Humán_köt'!K30+'32._Óvoda_köt'!K30+'33._TMKK_köt'!K30+'34._Rendelő_köt'!K30</f>
        <v>0</v>
      </c>
      <c r="L30" s="286" t="e">
        <f>'29._Hivatal_köt'!L30+'30._TIK_köt'!L30+'31._Humán_köt'!L30+'32._Óvoda_köt'!L30+'33._TMKK_köt'!L30+'34._Rendelő_köt'!L30</f>
        <v>#VALUE!</v>
      </c>
    </row>
    <row r="31" spans="1:12" s="54" customFormat="1" ht="12.2" customHeight="1" thickBot="1" x14ac:dyDescent="0.25">
      <c r="A31" s="1037" t="s">
        <v>281</v>
      </c>
      <c r="B31" s="102" t="s">
        <v>165</v>
      </c>
      <c r="C31" s="92">
        <f>'29._Hivatal_köt'!C31+'30._TIK_köt'!C31+'31._Humán_köt'!C31+'32._Óvoda_köt'!C31+'33._TMKK_köt'!C31+'34._Rendelő_köt'!C31</f>
        <v>0</v>
      </c>
      <c r="D31" s="190">
        <f>'29._Hivatal_köt'!D31+'30._TIK_köt'!D31+'31._Humán_köt'!D31+'32._Óvoda_köt'!D31+'33._TMKK_köt'!D31+'34._Rendelő_köt'!D31</f>
        <v>0</v>
      </c>
      <c r="E31" s="587">
        <f>'29._Hivatal_köt'!E31+'30._TIK_köt'!E31+'31._Humán_köt'!E31+'32._Óvoda_köt'!E31+'33._TMKK_köt'!E31+'34._Rendelő_köt'!E31</f>
        <v>0</v>
      </c>
      <c r="F31" s="587">
        <f>'29._Hivatal_köt'!F31+'30._TIK_köt'!F31+'31._Humán_köt'!F31+'32._Óvoda_köt'!F31+'33._TMKK_köt'!F31+'34._Rendelő_köt'!F31</f>
        <v>0</v>
      </c>
      <c r="G31" s="587">
        <f>'29._Hivatal_köt'!G31+'30._TIK_köt'!G31+'31._Humán_köt'!G31+'32._Óvoda_köt'!G31+'33._TMKK_köt'!G31+'34._Rendelő_köt'!G31</f>
        <v>0</v>
      </c>
      <c r="H31" s="547">
        <f t="shared" si="2"/>
        <v>0</v>
      </c>
      <c r="I31" s="1316">
        <f>'29._Hivatal_köt'!I31+'30._TIK_köt'!I31+'31._Humán_köt'!I31+'32._Óvoda_köt'!I31+'33._TMKK_köt'!I31+'34._Rendelő_köt'!I31</f>
        <v>0</v>
      </c>
      <c r="J31" s="287">
        <f>'29._Hivatal_köt'!J31+'30._TIK_köt'!J31+'31._Humán_köt'!J31+'32._Óvoda_köt'!J31+'33._TMKK_köt'!J31+'34._Rendelő_köt'!J31</f>
        <v>0</v>
      </c>
      <c r="K31" s="287">
        <f>'29._Hivatal_köt'!K31+'30._TIK_köt'!K31+'31._Humán_köt'!K31+'32._Óvoda_köt'!K31+'33._TMKK_köt'!K31+'34._Rendelő_köt'!K31</f>
        <v>0</v>
      </c>
      <c r="L31" s="287" t="e">
        <f>'29._Hivatal_köt'!L31+'30._TIK_köt'!L31+'31._Humán_köt'!L31+'32._Óvoda_köt'!L31+'33._TMKK_köt'!L31+'34._Rendelő_köt'!L31</f>
        <v>#VALUE!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SUM(C33:C35)</f>
        <v>0</v>
      </c>
      <c r="D32" s="127">
        <f t="shared" ref="D32:K32" si="7">SUM(D33:D35)</f>
        <v>0</v>
      </c>
      <c r="E32" s="582">
        <f t="shared" si="7"/>
        <v>0</v>
      </c>
      <c r="F32" s="582">
        <f t="shared" si="7"/>
        <v>0</v>
      </c>
      <c r="G32" s="582">
        <f t="shared" si="7"/>
        <v>0</v>
      </c>
      <c r="H32" s="74">
        <f t="shared" si="2"/>
        <v>0</v>
      </c>
      <c r="I32" s="290">
        <f t="shared" si="7"/>
        <v>0</v>
      </c>
      <c r="J32" s="284">
        <f t="shared" si="7"/>
        <v>74449</v>
      </c>
      <c r="K32" s="284">
        <f t="shared" si="7"/>
        <v>0</v>
      </c>
      <c r="L32" s="284" t="e">
        <f t="shared" ref="L32" si="8">SUM(L33:L35)</f>
        <v>#VALUE!</v>
      </c>
    </row>
    <row r="33" spans="1:12" s="54" customFormat="1" ht="12.2" customHeight="1" x14ac:dyDescent="0.2">
      <c r="A33" s="58" t="s">
        <v>89</v>
      </c>
      <c r="B33" s="59" t="s">
        <v>167</v>
      </c>
      <c r="C33" s="122">
        <f>'29._Hivatal_köt'!C33+'30._TIK_köt'!C33+'31._Humán_köt'!C33+'32._Óvoda_köt'!C33+'33._TMKK_köt'!C33+'34._Rendelő_köt'!C33</f>
        <v>0</v>
      </c>
      <c r="D33" s="189">
        <f>'29._Hivatal_köt'!D33+'30._TIK_köt'!D33+'31._Humán_köt'!D33+'32._Óvoda_köt'!D33+'33._TMKK_köt'!D33+'34._Rendelő_köt'!D33</f>
        <v>0</v>
      </c>
      <c r="E33" s="586">
        <f>'29._Hivatal_köt'!E33+'30._TIK_köt'!E33+'31._Humán_köt'!E33+'32._Óvoda_köt'!E33+'33._TMKK_köt'!E33+'34._Rendelő_köt'!E33</f>
        <v>0</v>
      </c>
      <c r="F33" s="586">
        <f>'29._Hivatal_köt'!F33+'30._TIK_köt'!F33+'31._Humán_köt'!F33+'32._Óvoda_köt'!F33+'33._TMKK_köt'!F33+'34._Rendelő_köt'!F33</f>
        <v>0</v>
      </c>
      <c r="G33" s="586">
        <f>'29._Hivatal_köt'!G33+'30._TIK_köt'!G33+'31._Humán_köt'!G33+'32._Óvoda_köt'!G33+'33._TMKK_köt'!G33+'34._Rendelő_köt'!G33</f>
        <v>0</v>
      </c>
      <c r="H33" s="546">
        <f t="shared" si="2"/>
        <v>0</v>
      </c>
      <c r="I33" s="1314">
        <f>'29._Hivatal_köt'!I33+'30._TIK_köt'!I33+'31._Humán_köt'!I33+'32._Óvoda_köt'!I33+'33._TMKK_köt'!I33+'34._Rendelő_köt'!I33</f>
        <v>0</v>
      </c>
      <c r="J33" s="285">
        <f>'29._Hivatal_köt'!J33+'30._TIK_köt'!J33+'31._Humán_köt'!J33+'32._Óvoda_köt'!J33+'33._TMKK_köt'!J33+'34._Rendelő_köt'!J33</f>
        <v>0</v>
      </c>
      <c r="K33" s="285">
        <f>'29._Hivatal_köt'!K33+'30._TIK_köt'!K33+'31._Humán_köt'!K33+'32._Óvoda_köt'!K33+'33._TMKK_köt'!K33+'34._Rendelő_köt'!K33</f>
        <v>0</v>
      </c>
      <c r="L33" s="285" t="e">
        <f>'29._Hivatal_köt'!L33+'30._TIK_köt'!L33+'31._Humán_köt'!L33+'32._Óvoda_köt'!L33+'33._TMKK_köt'!L33+'34._Rendelő_köt'!L33</f>
        <v>#VALUE!</v>
      </c>
    </row>
    <row r="34" spans="1:12" s="54" customFormat="1" ht="12.2" customHeight="1" x14ac:dyDescent="0.2">
      <c r="A34" s="58" t="s">
        <v>102</v>
      </c>
      <c r="B34" s="336" t="s">
        <v>168</v>
      </c>
      <c r="C34" s="120">
        <f>'29._Hivatal_köt'!C34+'30._TIK_köt'!C34+'31._Humán_köt'!C34+'32._Óvoda_köt'!C34+'33._TMKK_köt'!C34+'34._Rendelő_köt'!C34</f>
        <v>0</v>
      </c>
      <c r="D34" s="193">
        <f>'29._Hivatal_köt'!D34+'30._TIK_köt'!D34+'31._Humán_köt'!D34+'32._Óvoda_köt'!D34+'33._TMKK_köt'!D34+'34._Rendelő_köt'!D34</f>
        <v>0</v>
      </c>
      <c r="E34" s="107">
        <f>'29._Hivatal_köt'!E34+'30._TIK_köt'!E34+'31._Humán_köt'!E34+'32._Óvoda_köt'!E34+'33._TMKK_köt'!E34+'34._Rendelő_köt'!E34</f>
        <v>0</v>
      </c>
      <c r="F34" s="107">
        <f>'29._Hivatal_köt'!F34+'30._TIK_köt'!F34+'31._Humán_köt'!F34+'32._Óvoda_köt'!F34+'33._TMKK_köt'!F34+'34._Rendelő_köt'!F34</f>
        <v>0</v>
      </c>
      <c r="G34" s="339">
        <f>'29._Hivatal_köt'!G34+'30._TIK_köt'!G34+'31._Humán_köt'!G34+'32._Óvoda_köt'!G34+'33._TMKK_köt'!G34+'34._Rendelő_köt'!G34</f>
        <v>0</v>
      </c>
      <c r="H34" s="534">
        <f t="shared" si="2"/>
        <v>0</v>
      </c>
      <c r="I34" s="1315">
        <f>'29._Hivatal_köt'!I34+'30._TIK_köt'!I34+'31._Humán_köt'!I34+'32._Óvoda_köt'!I34+'33._TMKK_köt'!I34+'34._Rendelő_köt'!I34</f>
        <v>0</v>
      </c>
      <c r="J34" s="286">
        <f>'29._Hivatal_köt'!J34+'30._TIK_köt'!J34+'31._Humán_köt'!J34+'32._Óvoda_köt'!J34+'33._TMKK_köt'!J34+'34._Rendelő_köt'!J34</f>
        <v>0</v>
      </c>
      <c r="K34" s="286">
        <f>'29._Hivatal_köt'!K34+'30._TIK_köt'!K34+'31._Humán_köt'!K34+'32._Óvoda_köt'!K34+'33._TMKK_köt'!K34+'34._Rendelő_köt'!K34</f>
        <v>0</v>
      </c>
      <c r="L34" s="286" t="e">
        <f>'29._Hivatal_köt'!L34+'30._TIK_köt'!L34+'31._Humán_köt'!L34+'32._Óvoda_köt'!L34+'33._TMKK_köt'!L34+'34._Rendelő_köt'!L34</f>
        <v>#VALUE!</v>
      </c>
    </row>
    <row r="35" spans="1:12" s="54" customFormat="1" ht="12.2" customHeight="1" thickBot="1" x14ac:dyDescent="0.25">
      <c r="A35" s="1037" t="s">
        <v>103</v>
      </c>
      <c r="B35" s="62" t="s">
        <v>169</v>
      </c>
      <c r="C35" s="92">
        <f>'29._Hivatal_köt'!C35+'30._TIK_köt'!C35+'31._Humán_köt'!C35+'32._Óvoda_köt'!C35+'33._TMKK_köt'!C35+'34._Rendelő_köt'!C35</f>
        <v>0</v>
      </c>
      <c r="D35" s="190">
        <f>'29._Hivatal_köt'!D35+'30._TIK_köt'!D35+'31._Humán_köt'!D35+'32._Óvoda_köt'!D35+'33._TMKK_köt'!D35+'34._Rendelő_köt'!D35</f>
        <v>0</v>
      </c>
      <c r="E35" s="587">
        <f>'29._Hivatal_köt'!E35+'30._TIK_köt'!E35+'31._Humán_köt'!E35+'32._Óvoda_köt'!E35+'33._TMKK_köt'!E35+'34._Rendelő_köt'!E35</f>
        <v>0</v>
      </c>
      <c r="F35" s="587">
        <f>'29._Hivatal_köt'!F35+'30._TIK_köt'!F35+'31._Humán_köt'!F35+'32._Óvoda_köt'!F35+'33._TMKK_köt'!F35+'34._Rendelő_köt'!F35</f>
        <v>0</v>
      </c>
      <c r="G35" s="587">
        <f>'29._Hivatal_köt'!G35+'30._TIK_köt'!G35+'31._Humán_köt'!G35+'32._Óvoda_köt'!G35+'33._TMKK_köt'!G35+'34._Rendelő_köt'!G35</f>
        <v>0</v>
      </c>
      <c r="H35" s="548">
        <f t="shared" si="2"/>
        <v>0</v>
      </c>
      <c r="I35" s="1317">
        <f>'29._Hivatal_köt'!I35+'30._TIK_köt'!I35+'31._Humán_köt'!I35+'32._Óvoda_köt'!I35+'33._TMKK_köt'!I35+'34._Rendelő_köt'!I35</f>
        <v>0</v>
      </c>
      <c r="J35" s="288">
        <f>'29._Hivatal_köt'!J35+'30._TIK_köt'!J35+'31._Humán_köt'!J35+'32._Óvoda_köt'!J35+'33._TMKK_köt'!J35+'34._Rendelő_köt'!J35</f>
        <v>74449</v>
      </c>
      <c r="K35" s="288">
        <f>'29._Hivatal_köt'!K35+'30._TIK_köt'!K35+'31._Humán_köt'!K35+'32._Óvoda_köt'!K35+'33._TMKK_köt'!K35+'34._Rendelő_köt'!K35</f>
        <v>0</v>
      </c>
      <c r="L35" s="288" t="e">
        <f>'29._Hivatal_köt'!L35+'30._TIK_köt'!L35+'31._Humán_köt'!L35+'32._Óvoda_köt'!L35+'33._TMKK_köt'!L35+'34._Rendelő_köt'!L35</f>
        <v>#VALUE!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30">
        <f>'29._Hivatal_köt'!C36+'30._TIK_köt'!C36+'31._Humán_köt'!C36+'32._Óvoda_köt'!C36+'33._TMKK_köt'!C36+'34._Rendelő_köt'!C36</f>
        <v>0</v>
      </c>
      <c r="D36" s="129">
        <f>'29._Hivatal_köt'!D36+'30._TIK_köt'!D36+'31._Humán_köt'!D36+'32._Óvoda_köt'!D36+'33._TMKK_köt'!D36+'34._Rendelő_köt'!D36</f>
        <v>50000</v>
      </c>
      <c r="E36" s="585">
        <f>'29._Hivatal_köt'!E36+'30._TIK_köt'!E36+'31._Humán_köt'!E36+'32._Óvoda_köt'!E36+'33._TMKK_köt'!E36+'34._Rendelő_köt'!E36</f>
        <v>3050000</v>
      </c>
      <c r="F36" s="585">
        <f>'29._Hivatal_köt'!F36+'30._TIK_köt'!F36+'31._Humán_köt'!F36+'32._Óvoda_köt'!F36+'33._TMKK_köt'!F36+'34._Rendelő_köt'!F36</f>
        <v>-1391987</v>
      </c>
      <c r="G36" s="585">
        <f>'29._Hivatal_köt'!G36+'30._TIK_köt'!G36+'31._Humán_köt'!G36+'32._Óvoda_köt'!G36+'33._TMKK_köt'!G36+'34._Rendelő_köt'!G36</f>
        <v>-4441987</v>
      </c>
      <c r="H36" s="74">
        <f t="shared" si="2"/>
        <v>3000000</v>
      </c>
      <c r="I36" s="290">
        <f>'29._Hivatal_köt'!I36+'30._TIK_köt'!I36+'31._Humán_köt'!I36+'32._Óvoda_köt'!I36+'33._TMKK_köt'!I36+'34._Rendelő_köt'!I36</f>
        <v>576263</v>
      </c>
      <c r="J36" s="284">
        <f>'29._Hivatal_köt'!J36+'30._TIK_köt'!J36+'31._Humán_köt'!J36+'32._Óvoda_köt'!J36+'33._TMKK_köt'!J36+'34._Rendelő_köt'!J36</f>
        <v>3626263</v>
      </c>
      <c r="K36" s="284">
        <f>'29._Hivatal_köt'!K36+'30._TIK_köt'!K36+'31._Humán_köt'!K36+'32._Óvoda_köt'!K36+'33._TMKK_köt'!K36+'34._Rendelő_köt'!K36</f>
        <v>0</v>
      </c>
      <c r="L36" s="284" t="e">
        <f>'29._Hivatal_köt'!L36+'30._TIK_köt'!L36+'31._Humán_köt'!L36+'32._Óvoda_köt'!L36+'33._TMKK_köt'!L36+'34._Rendelő_köt'!L36</f>
        <v>#VALUE!</v>
      </c>
    </row>
    <row r="37" spans="1:12" s="26" customFormat="1" ht="12.2" customHeight="1" thickBot="1" x14ac:dyDescent="0.25">
      <c r="A37" s="1038" t="s">
        <v>104</v>
      </c>
      <c r="B37" s="337" t="s">
        <v>165</v>
      </c>
      <c r="C37" s="130">
        <f>'29._Hivatal_köt'!C37+'30._TIK_köt'!C37+'31._Humán_köt'!C37+'32._Óvoda_köt'!C37+'33._TMKK_köt'!C37+'34._Rendelő_köt'!C37</f>
        <v>0</v>
      </c>
      <c r="D37" s="129">
        <f>'29._Hivatal_köt'!D37+'30._TIK_köt'!D37+'31._Humán_köt'!D37+'32._Óvoda_köt'!D37+'33._TMKK_köt'!D37+'34._Rendelő_köt'!D37</f>
        <v>0</v>
      </c>
      <c r="E37" s="588">
        <f>'29._Hivatal_köt'!E37+'30._TIK_köt'!E37+'31._Humán_köt'!E37+'32._Óvoda_köt'!E37+'33._TMKK_köt'!E37+'34._Rendelő_köt'!E37</f>
        <v>0</v>
      </c>
      <c r="F37" s="588">
        <f>'29._Hivatal_köt'!F37+'30._TIK_köt'!F37+'31._Humán_köt'!F37+'32._Óvoda_köt'!F37+'33._TMKK_köt'!F37+'34._Rendelő_köt'!F37</f>
        <v>576263</v>
      </c>
      <c r="G37" s="588">
        <f>'29._Hivatal_köt'!G37+'30._TIK_köt'!G37+'31._Humán_köt'!G37+'32._Óvoda_köt'!G37+'33._TMKK_köt'!G37+'34._Rendelő_köt'!G37</f>
        <v>0</v>
      </c>
      <c r="H37" s="549">
        <f t="shared" si="2"/>
        <v>0</v>
      </c>
      <c r="I37" s="289">
        <f>'29._Hivatal_köt'!I37+'30._TIK_köt'!I37+'31._Humán_köt'!I37+'32._Óvoda_köt'!I37+'33._TMKK_köt'!I37+'34._Rendelő_köt'!I37</f>
        <v>0</v>
      </c>
      <c r="J37" s="289">
        <f>'29._Hivatal_köt'!J37+'30._TIK_köt'!J37+'31._Humán_köt'!J37+'32._Óvoda_köt'!J37+'33._TMKK_köt'!J37+'34._Rendelő_köt'!J37</f>
        <v>576263</v>
      </c>
      <c r="K37" s="289">
        <f>'29._Hivatal_köt'!K37+'30._TIK_köt'!K37+'31._Humán_köt'!K37+'32._Óvoda_köt'!K37+'33._TMKK_köt'!K37+'34._Rendelő_köt'!K37</f>
        <v>0</v>
      </c>
      <c r="L37" s="289" t="e">
        <f>'29._Hivatal_köt'!L37+'30._TIK_köt'!L37+'31._Humán_köt'!L37+'32._Óvoda_köt'!L37+'33._TMKK_köt'!L37+'34._Rendelő_köt'!L37</f>
        <v>#VALUE!</v>
      </c>
    </row>
    <row r="38" spans="1:12" s="26" customFormat="1" ht="12.2" customHeight="1" thickBot="1" x14ac:dyDescent="0.25">
      <c r="A38" s="55" t="s">
        <v>18</v>
      </c>
      <c r="B38" s="56" t="s">
        <v>555</v>
      </c>
      <c r="C38" s="130">
        <f>SUM(C39:C41)</f>
        <v>0</v>
      </c>
      <c r="D38" s="129">
        <f t="shared" ref="D38:K38" si="9">SUM(D39:D41)</f>
        <v>0</v>
      </c>
      <c r="E38" s="585">
        <f t="shared" si="9"/>
        <v>0</v>
      </c>
      <c r="F38" s="585">
        <f t="shared" si="9"/>
        <v>272798980</v>
      </c>
      <c r="G38" s="585">
        <f t="shared" si="9"/>
        <v>0</v>
      </c>
      <c r="H38" s="74">
        <f t="shared" si="2"/>
        <v>0</v>
      </c>
      <c r="I38" s="290">
        <f t="shared" si="9"/>
        <v>0</v>
      </c>
      <c r="J38" s="290">
        <f t="shared" si="9"/>
        <v>272798980</v>
      </c>
      <c r="K38" s="290">
        <f t="shared" si="9"/>
        <v>0</v>
      </c>
      <c r="L38" s="290" t="e">
        <f t="shared" ref="L38" si="10">SUM(L39:L41)</f>
        <v>#VALUE!</v>
      </c>
    </row>
    <row r="39" spans="1:12" s="26" customFormat="1" ht="12.2" customHeight="1" x14ac:dyDescent="0.2">
      <c r="A39" s="12" t="s">
        <v>107</v>
      </c>
      <c r="B39" s="95" t="s">
        <v>212</v>
      </c>
      <c r="C39" s="131">
        <f>'29._Hivatal_köt'!C39+'30._TIK_köt'!C39+'31._Humán_köt'!C39+'32._Óvoda_köt'!C39+'33._TMKK_köt'!C39+'34._Rendelő_köt'!C39</f>
        <v>0</v>
      </c>
      <c r="D39" s="194">
        <f>'29._Hivatal_köt'!D39+'30._TIK_köt'!D39+'31._Humán_köt'!D39+'32._Óvoda_köt'!D39+'33._TMKK_köt'!D39+'34._Rendelő_köt'!D39</f>
        <v>0</v>
      </c>
      <c r="E39" s="589">
        <f>'29._Hivatal_köt'!E39+'30._TIK_köt'!E39+'31._Humán_köt'!E39+'32._Óvoda_köt'!E39+'33._TMKK_köt'!E39+'34._Rendelő_köt'!E39</f>
        <v>0</v>
      </c>
      <c r="F39" s="589">
        <f>'29._Hivatal_köt'!F39+'30._TIK_köt'!F39+'31._Humán_köt'!F39+'32._Óvoda_köt'!F39+'33._TMKK_köt'!F39+'34._Rendelő_köt'!F39</f>
        <v>0</v>
      </c>
      <c r="G39" s="589">
        <f>'29._Hivatal_köt'!G39+'30._TIK_köt'!G39+'31._Humán_köt'!G39+'32._Óvoda_köt'!G39+'33._TMKK_köt'!G39+'34._Rendelő_köt'!G39</f>
        <v>0</v>
      </c>
      <c r="H39" s="550">
        <f t="shared" si="2"/>
        <v>0</v>
      </c>
      <c r="I39" s="1318">
        <f>'29._Hivatal_köt'!I39+'30._TIK_köt'!I39+'31._Humán_köt'!I39+'32._Óvoda_köt'!I39+'33._TMKK_köt'!I39+'34._Rendelő_köt'!I39</f>
        <v>0</v>
      </c>
      <c r="J39" s="291">
        <f>'29._Hivatal_köt'!J39+'30._TIK_köt'!J39+'31._Humán_köt'!J39+'32._Óvoda_köt'!J39+'33._TMKK_köt'!J39+'34._Rendelő_köt'!J39</f>
        <v>0</v>
      </c>
      <c r="K39" s="291">
        <f>'29._Hivatal_köt'!K39+'30._TIK_köt'!K39+'31._Humán_köt'!K39+'32._Óvoda_köt'!K39+'33._TMKK_köt'!K39+'34._Rendelő_köt'!K39</f>
        <v>0</v>
      </c>
      <c r="L39" s="291" t="e">
        <f>'29._Hivatal_köt'!L39+'30._TIK_köt'!L39+'31._Humán_köt'!L39+'32._Óvoda_köt'!L39+'33._TMKK_köt'!L39+'34._Rendelő_köt'!L39</f>
        <v>#VALUE!</v>
      </c>
    </row>
    <row r="40" spans="1:12" s="26" customFormat="1" ht="12.2" customHeight="1" x14ac:dyDescent="0.2">
      <c r="A40" s="1003" t="s">
        <v>108</v>
      </c>
      <c r="B40" s="346" t="s">
        <v>213</v>
      </c>
      <c r="C40" s="338">
        <f>'29._Hivatal_köt'!C40+'30._TIK_köt'!C40+'31._Humán_köt'!C40+'32._Óvoda_köt'!C40+'33._TMKK_köt'!C40+'34._Rendelő_köt'!C40</f>
        <v>0</v>
      </c>
      <c r="D40" s="342">
        <f>'29._Hivatal_köt'!D40+'30._TIK_köt'!D40+'31._Humán_köt'!D40+'32._Óvoda_köt'!D40+'33._TMKK_köt'!D40+'34._Rendelő_köt'!D40</f>
        <v>0</v>
      </c>
      <c r="E40" s="605">
        <f>'29._Hivatal_köt'!E40+'30._TIK_köt'!E40+'31._Humán_köt'!E40+'32._Óvoda_köt'!E40+'33._TMKK_köt'!E40+'34._Rendelő_köt'!E40</f>
        <v>0</v>
      </c>
      <c r="F40" s="590">
        <f>'29._Hivatal_köt'!F40+'30._TIK_köt'!F40+'31._Humán_köt'!F40+'32._Óvoda_köt'!F40+'33._TMKK_köt'!F40+'34._Rendelő_köt'!F40</f>
        <v>136399490</v>
      </c>
      <c r="G40" s="590">
        <f>'29._Hivatal_köt'!G40+'30._TIK_köt'!G40+'31._Humán_köt'!G40+'32._Óvoda_köt'!G40+'33._TMKK_köt'!G40+'34._Rendelő_köt'!G40</f>
        <v>0</v>
      </c>
      <c r="H40" s="551">
        <f t="shared" si="2"/>
        <v>0</v>
      </c>
      <c r="I40" s="1319">
        <f>'29._Hivatal_köt'!I40+'30._TIK_köt'!I40+'31._Humán_köt'!I40+'32._Óvoda_köt'!I40+'33._TMKK_köt'!I40+'34._Rendelő_köt'!I40</f>
        <v>0</v>
      </c>
      <c r="J40" s="292">
        <f>'29._Hivatal_köt'!J40+'30._TIK_köt'!J40+'31._Humán_köt'!J40+'32._Óvoda_köt'!J40+'33._TMKK_köt'!J40+'34._Rendelő_köt'!J40</f>
        <v>136399490</v>
      </c>
      <c r="K40" s="292">
        <f>'29._Hivatal_köt'!K40+'30._TIK_köt'!K40+'31._Humán_köt'!K40+'32._Óvoda_köt'!K40+'33._TMKK_köt'!K40+'34._Rendelő_köt'!K40</f>
        <v>0</v>
      </c>
      <c r="L40" s="292" t="e">
        <f>'29._Hivatal_köt'!L40+'30._TIK_köt'!L40+'31._Humán_köt'!L40+'32._Óvoda_köt'!L40+'33._TMKK_köt'!L40+'34._Rendelő_köt'!L40</f>
        <v>#VALUE!</v>
      </c>
    </row>
    <row r="41" spans="1:12" s="26" customFormat="1" ht="12.2" customHeight="1" thickBot="1" x14ac:dyDescent="0.25">
      <c r="A41" s="1003" t="s">
        <v>323</v>
      </c>
      <c r="B41" s="103" t="s">
        <v>165</v>
      </c>
      <c r="C41" s="133">
        <f>'29._Hivatal_köt'!C41+'30._TIK_köt'!C41+'31._Humán_köt'!C41+'32._Óvoda_köt'!C41+'33._TMKK_köt'!C41+'34._Rendelő_köt'!C41</f>
        <v>0</v>
      </c>
      <c r="D41" s="132">
        <f>'29._Hivatal_köt'!D41+'30._TIK_köt'!D41+'31._Humán_köt'!D41+'32._Óvoda_köt'!D41+'33._TMKK_köt'!D41+'34._Rendelő_köt'!D41</f>
        <v>0</v>
      </c>
      <c r="E41" s="591">
        <f>'29._Hivatal_köt'!E41+'30._TIK_köt'!E41+'31._Humán_köt'!E41+'32._Óvoda_köt'!E41+'33._TMKK_köt'!E41+'34._Rendelő_köt'!E41</f>
        <v>0</v>
      </c>
      <c r="F41" s="591">
        <f>'29._Hivatal_köt'!F41+'30._TIK_köt'!F41+'31._Humán_köt'!F41+'32._Óvoda_köt'!F41+'33._TMKK_köt'!F41+'34._Rendelő_köt'!F41</f>
        <v>136399490</v>
      </c>
      <c r="G41" s="591">
        <f>'29._Hivatal_köt'!G41+'30._TIK_köt'!G41+'31._Humán_köt'!G41+'32._Óvoda_köt'!G41+'33._TMKK_köt'!G41+'34._Rendelő_köt'!G41</f>
        <v>0</v>
      </c>
      <c r="H41" s="1377">
        <f t="shared" si="2"/>
        <v>0</v>
      </c>
      <c r="I41" s="293">
        <f>'29._Hivatal_köt'!I41+'30._TIK_köt'!I41+'31._Humán_köt'!I41+'32._Óvoda_köt'!I41+'33._TMKK_köt'!I41+'34._Rendelő_köt'!I41</f>
        <v>0</v>
      </c>
      <c r="J41" s="293">
        <f>'29._Hivatal_köt'!J41+'30._TIK_köt'!J41+'31._Humán_köt'!J41+'32._Óvoda_köt'!J41+'33._TMKK_köt'!J41+'34._Rendelő_köt'!J41</f>
        <v>136399490</v>
      </c>
      <c r="K41" s="293">
        <f>'29._Hivatal_köt'!K41+'30._TIK_köt'!K41+'31._Humán_köt'!K41+'32._Óvoda_köt'!K41+'33._TMKK_köt'!K41+'34._Rendelő_köt'!K41</f>
        <v>0</v>
      </c>
      <c r="L41" s="293" t="e">
        <f>'29._Hivatal_köt'!L41+'30._TIK_köt'!L41+'31._Humán_köt'!L41+'32._Óvoda_köt'!L41+'33._TMKK_köt'!L41+'34._Rendelő_köt'!L41</f>
        <v>#VALUE!</v>
      </c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C10+C22+C27+C28+C32+C36+C38</f>
        <v>271993043</v>
      </c>
      <c r="D42" s="127">
        <f t="shared" ref="D42:K42" si="11">D10+D22+D27+D28+D32+D36+D38</f>
        <v>285977043</v>
      </c>
      <c r="E42" s="582">
        <f t="shared" si="11"/>
        <v>292200967</v>
      </c>
      <c r="F42" s="582">
        <f t="shared" si="11"/>
        <v>1750940800</v>
      </c>
      <c r="G42" s="582">
        <f t="shared" si="11"/>
        <v>-4441987</v>
      </c>
      <c r="H42" s="74">
        <f t="shared" si="2"/>
        <v>6223924</v>
      </c>
      <c r="I42" s="290">
        <f t="shared" si="11"/>
        <v>576263</v>
      </c>
      <c r="J42" s="290">
        <f t="shared" si="11"/>
        <v>1535357210</v>
      </c>
      <c r="K42" s="290">
        <f t="shared" si="11"/>
        <v>0</v>
      </c>
      <c r="L42" s="290" t="e">
        <f t="shared" ref="L42" si="12">L10+L22+L27+L28+L32+L36+L38</f>
        <v>#VALUE!</v>
      </c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'29._Hivatal_köt'!C43+'30._TIK_köt'!C43+'31._Humán_köt'!C43+'32._Óvoda_köt'!C43+'33._TMKK_köt'!C43+'34._Rendelő_köt'!C43</f>
        <v>2069867380</v>
      </c>
      <c r="D43" s="127">
        <f>'29._Hivatal_köt'!D43+'30._TIK_köt'!D43+'31._Humán_köt'!D43+'32._Óvoda_köt'!D43+'33._TMKK_köt'!D43+'34._Rendelő_köt'!D43</f>
        <v>2180303197</v>
      </c>
      <c r="E43" s="582">
        <f>'29._Hivatal_köt'!E43+'30._TIK_köt'!E43+'31._Humán_köt'!E43+'32._Óvoda_köt'!E43+'33._TMKK_köt'!E43+'34._Rendelő_köt'!E43</f>
        <v>2611174247</v>
      </c>
      <c r="F43" s="582">
        <f>'29._Hivatal_köt'!F43+'30._TIK_köt'!F43+'31._Humán_köt'!F43+'32._Óvoda_köt'!F43+'33._TMKK_köt'!F43+'34._Rendelő_köt'!F43</f>
        <v>3662026836</v>
      </c>
      <c r="G43" s="582">
        <f>'29._Hivatal_köt'!G43+'30._TIK_köt'!G43+'31._Humán_köt'!G43+'32._Óvoda_köt'!G43+'33._TMKK_köt'!G43+'34._Rendelő_köt'!G43</f>
        <v>5701404</v>
      </c>
      <c r="H43" s="74">
        <f t="shared" si="2"/>
        <v>430871050</v>
      </c>
      <c r="I43" s="290">
        <f>'29._Hivatal_köt'!I43+'30._TIK_köt'!I43+'31._Humán_köt'!I43+'32._Óvoda_köt'!I43+'33._TMKK_köt'!I43+'34._Rendelő_köt'!I43</f>
        <v>181286609</v>
      </c>
      <c r="J43" s="290">
        <f>'29._Hivatal_köt'!J43+'30._TIK_köt'!J43+'31._Humán_köt'!J43+'32._Óvoda_köt'!J43+'33._TMKK_köt'!J43+'34._Rendelő_köt'!J43</f>
        <v>2485549100</v>
      </c>
      <c r="K43" s="290" t="e">
        <f>'29._Hivatal_köt'!K43+'30._TIK_köt'!K43+'31._Humán_köt'!K43+'32._Óvoda_köt'!K43+'33._TMKK_köt'!K43+'34._Rendelő_köt'!K43</f>
        <v>#VALUE!</v>
      </c>
      <c r="L43" s="290" t="e">
        <f>'29._Hivatal_köt'!L43+'30._TIK_köt'!L43+'31._Humán_köt'!L43+'32._Óvoda_köt'!L43+'33._TMKK_köt'!L43+'34._Rendelő_köt'!L43</f>
        <v>#VALUE!</v>
      </c>
    </row>
    <row r="44" spans="1:12" s="26" customFormat="1" ht="12.2" customHeight="1" x14ac:dyDescent="0.2">
      <c r="A44" s="58" t="s">
        <v>171</v>
      </c>
      <c r="B44" s="59" t="s">
        <v>131</v>
      </c>
      <c r="C44" s="122">
        <f>'29._Hivatal_köt'!C44+'30._TIK_köt'!C44+'31._Humán_köt'!C44+'32._Óvoda_köt'!C44+'33._TMKK_köt'!C44+'34._Rendelő_köt'!C44</f>
        <v>1245500</v>
      </c>
      <c r="D44" s="189">
        <f>'29._Hivatal_köt'!D44+'30._TIK_köt'!D44+'31._Humán_köt'!D44+'32._Óvoda_köt'!D44+'33._TMKK_köt'!D44+'34._Rendelő_köt'!D44</f>
        <v>32539798</v>
      </c>
      <c r="E44" s="586">
        <f>'29._Hivatal_köt'!E44+'30._TIK_köt'!E44+'31._Humán_köt'!E44+'32._Óvoda_köt'!E44+'33._TMKK_köt'!E44+'34._Rendelő_köt'!E44</f>
        <v>32539798</v>
      </c>
      <c r="F44" s="586">
        <f>'29._Hivatal_köt'!F44+'30._TIK_köt'!F44+'31._Humán_köt'!F44+'32._Óvoda_köt'!F44+'33._TMKK_köt'!F44+'34._Rendelő_köt'!F44</f>
        <v>265769254</v>
      </c>
      <c r="G44" s="586">
        <f>'29._Hivatal_köt'!G44+'30._TIK_köt'!G44+'31._Humán_köt'!G44+'32._Óvoda_köt'!G44+'33._TMKK_köt'!G44+'34._Rendelő_köt'!G44</f>
        <v>0</v>
      </c>
      <c r="H44" s="546">
        <f t="shared" si="2"/>
        <v>0</v>
      </c>
      <c r="I44" s="1314">
        <f>'29._Hivatal_köt'!I44+'30._TIK_köt'!I44+'31._Humán_köt'!I44+'32._Óvoda_köt'!I44+'33._TMKK_köt'!I44+'34._Rendelő_köt'!I44</f>
        <v>0</v>
      </c>
      <c r="J44" s="285">
        <f>'29._Hivatal_köt'!J44+'30._TIK_köt'!J44+'31._Humán_köt'!J44+'32._Óvoda_köt'!J44+'33._TMKK_köt'!J44+'34._Rendelő_köt'!J44</f>
        <v>265769254</v>
      </c>
      <c r="K44" s="285">
        <f>'29._Hivatal_köt'!K44+'30._TIK_köt'!K44+'31._Humán_köt'!K44+'32._Óvoda_köt'!K44+'33._TMKK_köt'!K44+'34._Rendelő_köt'!K44</f>
        <v>0</v>
      </c>
      <c r="L44" s="285">
        <f>'29._Hivatal_köt'!L44+'30._TIK_köt'!L44+'31._Humán_köt'!L44+'32._Óvoda_köt'!L44+'33._TMKK_köt'!L44+'34._Rendelő_köt'!L44</f>
        <v>500</v>
      </c>
    </row>
    <row r="45" spans="1:12" s="26" customFormat="1" ht="12.2" customHeight="1" x14ac:dyDescent="0.2">
      <c r="A45" s="71" t="s">
        <v>172</v>
      </c>
      <c r="B45" s="59" t="s">
        <v>186</v>
      </c>
      <c r="C45" s="120">
        <f>'29._Hivatal_köt'!C45+'30._TIK_köt'!C45+'31._Humán_köt'!C45+'32._Óvoda_köt'!C45+'33._TMKK_köt'!C45+'34._Rendelő_köt'!C45</f>
        <v>0</v>
      </c>
      <c r="D45" s="193">
        <f>'29._Hivatal_köt'!D45+'30._TIK_köt'!D45+'31._Humán_köt'!D45+'32._Óvoda_köt'!D45+'33._TMKK_köt'!D45+'34._Rendelő_köt'!D45</f>
        <v>212781</v>
      </c>
      <c r="E45" s="91">
        <f>'29._Hivatal_köt'!E45+'30._TIK_köt'!E45+'31._Humán_köt'!E45+'32._Óvoda_köt'!E45+'33._TMKK_köt'!E45+'34._Rendelő_köt'!E45</f>
        <v>212781</v>
      </c>
      <c r="F45" s="91">
        <f>'29._Hivatal_köt'!F45+'30._TIK_köt'!F45+'31._Humán_köt'!F45+'32._Óvoda_köt'!F45+'33._TMKK_köt'!F45+'34._Rendelő_köt'!F45</f>
        <v>510215</v>
      </c>
      <c r="G45" s="91">
        <f>'29._Hivatal_köt'!G45+'30._TIK_köt'!G45+'31._Humán_köt'!G45+'32._Óvoda_köt'!G45+'33._TMKK_köt'!G45+'34._Rendelő_köt'!G45</f>
        <v>0</v>
      </c>
      <c r="H45" s="553">
        <f t="shared" si="2"/>
        <v>0</v>
      </c>
      <c r="I45" s="1320">
        <f>'29._Hivatal_köt'!I45+'30._TIK_köt'!I45+'31._Humán_köt'!I45+'32._Óvoda_köt'!I45+'33._TMKK_köt'!I45+'34._Rendelő_köt'!I45</f>
        <v>0</v>
      </c>
      <c r="J45" s="294">
        <f>'29._Hivatal_köt'!J45+'30._TIK_köt'!J45+'31._Humán_köt'!J45+'32._Óvoda_köt'!J45+'33._TMKK_köt'!J45+'34._Rendelő_köt'!J45</f>
        <v>510215</v>
      </c>
      <c r="K45" s="294">
        <f>'29._Hivatal_köt'!K45+'30._TIK_köt'!K45+'31._Humán_köt'!K45+'32._Óvoda_köt'!K45+'33._TMKK_köt'!K45+'34._Rendelő_köt'!K45</f>
        <v>0</v>
      </c>
      <c r="L45" s="294" t="e">
        <f>'29._Hivatal_köt'!L45+'30._TIK_köt'!L45+'31._Humán_köt'!L45+'32._Óvoda_köt'!L45+'33._TMKK_köt'!L45+'34._Rendelő_köt'!L45</f>
        <v>#VALUE!</v>
      </c>
    </row>
    <row r="46" spans="1:12" s="26" customFormat="1" ht="12.2" customHeight="1" x14ac:dyDescent="0.2">
      <c r="A46" s="1037" t="s">
        <v>173</v>
      </c>
      <c r="B46" s="336" t="s">
        <v>177</v>
      </c>
      <c r="C46" s="339">
        <f>'29._Hivatal_köt'!C46+'30._TIK_köt'!C46+'31._Humán_köt'!C46+'32._Óvoda_köt'!C46+'33._TMKK_köt'!C46+'34._Rendelő_köt'!C46</f>
        <v>2057421880</v>
      </c>
      <c r="D46" s="323">
        <f>'29._Hivatal_köt'!D46+'30._TIK_köt'!D46+'31._Humán_köt'!D46+'32._Óvoda_köt'!D46+'33._TMKK_köt'!D46+'34._Rendelő_köt'!D46</f>
        <v>2109566770</v>
      </c>
      <c r="E46" s="107">
        <f>'29._Hivatal_köt'!E46+'30._TIK_köt'!E46+'31._Humán_köt'!E46+'32._Óvoda_köt'!E46+'33._TMKK_köt'!E46+'34._Rendelő_köt'!E46</f>
        <v>2522983233</v>
      </c>
      <c r="F46" s="107">
        <f>'29._Hivatal_köt'!F46+'30._TIK_köt'!F46+'31._Humán_köt'!F46+'32._Óvoda_köt'!F46+'33._TMKK_köt'!F46+'34._Rendelő_köt'!F46</f>
        <v>3320038706</v>
      </c>
      <c r="G46" s="107">
        <f>'29._Hivatal_köt'!G46+'30._TIK_köt'!G46+'31._Humán_köt'!G46+'32._Óvoda_köt'!G46+'33._TMKK_köt'!G46+'34._Rendelő_köt'!G46</f>
        <v>5701404</v>
      </c>
      <c r="H46" s="534">
        <f t="shared" si="2"/>
        <v>413416463</v>
      </c>
      <c r="I46" s="1315">
        <f>'29._Hivatal_köt'!I46+'30._TIK_köt'!I46+'31._Humán_köt'!I46+'32._Óvoda_köt'!I46+'33._TMKK_köt'!I46+'34._Rendelő_köt'!I46</f>
        <v>683154</v>
      </c>
      <c r="J46" s="286">
        <f>'29._Hivatal_köt'!J46+'30._TIK_köt'!J46+'31._Humán_köt'!J46+'32._Óvoda_köt'!J46+'33._TMKK_köt'!J46+'34._Rendelő_köt'!J46</f>
        <v>2171187055</v>
      </c>
      <c r="K46" s="286" t="e">
        <f>'29._Hivatal_köt'!K46+'30._TIK_köt'!K46+'31._Humán_köt'!K46+'32._Óvoda_köt'!K46+'33._TMKK_köt'!K46+'34._Rendelő_köt'!K46</f>
        <v>#VALUE!</v>
      </c>
      <c r="L46" s="286">
        <f>'29._Hivatal_köt'!L46+'30._TIK_köt'!L46+'31._Humán_köt'!L46+'32._Óvoda_köt'!L46+'33._TMKK_köt'!L46+'34._Rendelő_köt'!L46</f>
        <v>325.48233489038694</v>
      </c>
    </row>
    <row r="47" spans="1:12" s="54" customFormat="1" ht="12.2" customHeight="1" thickBot="1" x14ac:dyDescent="0.25">
      <c r="A47" s="58" t="s">
        <v>178</v>
      </c>
      <c r="B47" s="62" t="s">
        <v>179</v>
      </c>
      <c r="C47" s="1034">
        <f>'29._Hivatal_köt'!C47+'30._TIK_köt'!C47+'31._Humán_köt'!C47+'32._Óvoda_köt'!C47+'33._TMKK_köt'!C47+'34._Rendelő_köt'!C47</f>
        <v>11200000</v>
      </c>
      <c r="D47" s="195">
        <f>'29._Hivatal_köt'!D47+'30._TIK_köt'!D47+'31._Humán_köt'!D47+'32._Óvoda_köt'!D47+'33._TMKK_köt'!D47+'34._Rendelő_köt'!D47</f>
        <v>37983848</v>
      </c>
      <c r="E47" s="587">
        <f>'29._Hivatal_köt'!E47+'30._TIK_köt'!E47+'31._Humán_köt'!E47+'32._Óvoda_köt'!E47+'33._TMKK_köt'!E47+'34._Rendelő_köt'!E47</f>
        <v>55438435</v>
      </c>
      <c r="F47" s="587">
        <f>'29._Hivatal_köt'!F47+'30._TIK_köt'!F47+'31._Humán_köt'!F47+'32._Óvoda_köt'!F47+'33._TMKK_köt'!F47+'34._Rendelő_köt'!F47</f>
        <v>75708661</v>
      </c>
      <c r="G47" s="587">
        <f>'29._Hivatal_köt'!G47+'30._TIK_köt'!G47+'31._Humán_köt'!G47+'32._Óvoda_köt'!G47+'33._TMKK_köt'!G47+'34._Rendelő_köt'!G47</f>
        <v>0</v>
      </c>
      <c r="H47" s="548">
        <f t="shared" si="2"/>
        <v>17454587</v>
      </c>
      <c r="I47" s="1317">
        <f>'29._Hivatal_köt'!I47+'30._TIK_köt'!I47+'31._Humán_köt'!I47+'32._Óvoda_köt'!I47+'33._TMKK_köt'!I47+'34._Rendelő_köt'!I47</f>
        <v>180603455</v>
      </c>
      <c r="J47" s="288">
        <f>'29._Hivatal_köt'!J47+'30._TIK_köt'!J47+'31._Humán_köt'!J47+'32._Óvoda_köt'!J47+'33._TMKK_köt'!J47+'34._Rendelő_köt'!J47</f>
        <v>48082576</v>
      </c>
      <c r="K47" s="288">
        <f>'29._Hivatal_köt'!K47+'30._TIK_köt'!K47+'31._Humán_köt'!K47+'32._Óvoda_köt'!K47+'33._TMKK_köt'!K47+'34._Rendelő_köt'!K47</f>
        <v>175.50548216442655</v>
      </c>
      <c r="L47" s="288">
        <f>'29._Hivatal_köt'!L47+'30._TIK_köt'!L47+'31._Humán_köt'!L47+'32._Óvoda_köt'!L47+'33._TMKK_köt'!L47+'34._Rendelő_köt'!L47</f>
        <v>188.334741481653</v>
      </c>
    </row>
    <row r="48" spans="1:12" s="559" customFormat="1" ht="15" customHeight="1" thickBot="1" x14ac:dyDescent="0.2">
      <c r="A48" s="63" t="s">
        <v>21</v>
      </c>
      <c r="B48" s="556" t="s">
        <v>174</v>
      </c>
      <c r="C48" s="135">
        <f>+C42+C43</f>
        <v>2341860423</v>
      </c>
      <c r="D48" s="134">
        <f t="shared" ref="D48:K48" si="13">+D42+D43</f>
        <v>2466280240</v>
      </c>
      <c r="E48" s="592">
        <f t="shared" si="13"/>
        <v>2903375214</v>
      </c>
      <c r="F48" s="592">
        <f t="shared" si="13"/>
        <v>5412967636</v>
      </c>
      <c r="G48" s="592">
        <f t="shared" si="13"/>
        <v>1259417</v>
      </c>
      <c r="H48" s="557">
        <f t="shared" si="2"/>
        <v>437094974</v>
      </c>
      <c r="I48" s="558">
        <f t="shared" si="13"/>
        <v>181862872</v>
      </c>
      <c r="J48" s="558">
        <f t="shared" si="13"/>
        <v>4020906310</v>
      </c>
      <c r="K48" s="558" t="e">
        <f t="shared" si="13"/>
        <v>#VALUE!</v>
      </c>
      <c r="L48" s="558" t="e">
        <f t="shared" ref="L48" si="14">+L42+L43</f>
        <v>#VALUE!</v>
      </c>
    </row>
    <row r="49" spans="1:15" s="54" customFormat="1" ht="15" customHeight="1" x14ac:dyDescent="0.2">
      <c r="A49" s="64"/>
      <c r="B49" s="65"/>
      <c r="C49" s="66"/>
      <c r="D49" s="66"/>
      <c r="E49" s="66"/>
      <c r="F49" s="66"/>
      <c r="G49" s="66"/>
      <c r="H49" s="66"/>
      <c r="N49" s="54" t="b">
        <f>E48=E69</f>
        <v>1</v>
      </c>
      <c r="O49" s="1178">
        <f>+H48-H69</f>
        <v>0</v>
      </c>
    </row>
    <row r="50" spans="1:15" ht="13.5" thickBot="1" x14ac:dyDescent="0.25">
      <c r="A50" s="1912" t="s">
        <v>362</v>
      </c>
      <c r="B50" s="1912"/>
      <c r="C50" s="1912"/>
      <c r="D50" s="1912"/>
      <c r="E50" s="1912"/>
      <c r="F50" s="1912"/>
      <c r="G50" s="1912"/>
      <c r="H50" s="1912"/>
    </row>
    <row r="51" spans="1:15" s="554" customFormat="1" ht="54" customHeight="1" thickBot="1" x14ac:dyDescent="0.25">
      <c r="A51" s="641"/>
      <c r="B51" s="642" t="s">
        <v>38</v>
      </c>
      <c r="C51" s="21" t="str">
        <f>C7</f>
        <v>2023. évi eredeti előirányzat
2/2023. (II.14.)</v>
      </c>
      <c r="D51" s="166" t="str">
        <f t="shared" ref="D51:L51" si="15">D7</f>
        <v>Módosított előirányzat a 14/2023.  (VI.29.)  rendelet szerint</v>
      </c>
      <c r="E51" s="21" t="str">
        <f t="shared" si="15"/>
        <v>Módosított előirányzat a 18/2023. (IX.26.)  rendelet szerint</v>
      </c>
      <c r="F51" s="21" t="str">
        <f t="shared" si="15"/>
        <v>Módosított előirányzat 2023.09.30-án</v>
      </c>
      <c r="G51" s="21" t="str">
        <f t="shared" si="15"/>
        <v>Módosított előirányzat a …../2023. (II…..)  rendelet szerint</v>
      </c>
      <c r="H51" s="32" t="str">
        <f t="shared" si="15"/>
        <v>Változás a 14/2023. (VI.29.) rendelethez képest</v>
      </c>
      <c r="I51" s="166" t="str">
        <f t="shared" si="15"/>
        <v>2023. évi teljesítés              2023.06.30-ig</v>
      </c>
      <c r="J51" s="21" t="str">
        <f t="shared" si="15"/>
        <v>2023. évi teljesítés              2023.09.30-ig</v>
      </c>
      <c r="K51" s="21" t="str">
        <f t="shared" si="15"/>
        <v>2023. évi teljesítés              2023.12.31-ig</v>
      </c>
      <c r="L51" s="21" t="str">
        <f t="shared" si="15"/>
        <v>Teljesítés %-a</v>
      </c>
    </row>
    <row r="52" spans="1:15" s="31" customFormat="1" ht="12.2" customHeight="1" thickBot="1" x14ac:dyDescent="0.25">
      <c r="A52" s="55" t="s">
        <v>12</v>
      </c>
      <c r="B52" s="56" t="s">
        <v>547</v>
      </c>
      <c r="C52" s="89">
        <f>+C53+C55+C56+C57+C58</f>
        <v>2330660423</v>
      </c>
      <c r="D52" s="127">
        <f t="shared" ref="D52:K52" si="16">+D53+D55+D56+D57+D58</f>
        <v>2428083611</v>
      </c>
      <c r="E52" s="582">
        <f t="shared" si="16"/>
        <v>2847723998</v>
      </c>
      <c r="F52" s="582">
        <f t="shared" si="16"/>
        <v>4861675924</v>
      </c>
      <c r="G52" s="582">
        <f t="shared" si="16"/>
        <v>1259417</v>
      </c>
      <c r="H52" s="48">
        <f>+E52-D52</f>
        <v>419640387</v>
      </c>
      <c r="I52" s="175">
        <f t="shared" si="16"/>
        <v>1259417</v>
      </c>
      <c r="J52" s="48">
        <f t="shared" si="16"/>
        <v>3854337743</v>
      </c>
      <c r="K52" s="48">
        <f t="shared" si="16"/>
        <v>0</v>
      </c>
      <c r="L52" s="48" t="e">
        <f>'29._Hivatal_köt'!L53+'30._TIK_köt'!L53+'31._Humán_köt'!L53+'32._Óvoda_köt'!L53+'33._TMKK_köt'!L52+'34._Rendelő_köt'!L53</f>
        <v>#VALUE!</v>
      </c>
    </row>
    <row r="53" spans="1:15" ht="12.2" customHeight="1" x14ac:dyDescent="0.2">
      <c r="A53" s="1037" t="s">
        <v>91</v>
      </c>
      <c r="B53" s="17" t="s">
        <v>68</v>
      </c>
      <c r="C53" s="122">
        <f>'29._Hivatal_köt'!C54+'30._TIK_köt'!C54+'31._Humán_köt'!C54+'32._Óvoda_köt'!C54+'33._TMKK_köt'!C54+'34._Rendelő_köt'!C54</f>
        <v>1316011387</v>
      </c>
      <c r="D53" s="189">
        <f>'29._Hivatal_köt'!D54+'30._TIK_köt'!D54+'31._Humán_köt'!D54+'32._Óvoda_köt'!D54+'33._TMKK_köt'!D54+'34._Rendelő_köt'!D54</f>
        <v>1335394029</v>
      </c>
      <c r="E53" s="586">
        <f>'29._Hivatal_köt'!E54+'30._TIK_köt'!E54+'31._Humán_köt'!E54+'32._Óvoda_köt'!E54+'33._TMKK_köt'!E54+'34._Rendelő_köt'!E54</f>
        <v>1659867195</v>
      </c>
      <c r="F53" s="586">
        <f>'29._Hivatal_köt'!F54+'30._TIK_köt'!F54+'31._Humán_köt'!F54+'32._Óvoda_köt'!F54+'33._TMKK_köt'!F54+'34._Rendelő_köt'!F54</f>
        <v>2958593998</v>
      </c>
      <c r="G53" s="586">
        <f>'29._Hivatal_köt'!G54+'30._TIK_köt'!G54+'31._Humán_köt'!G54+'32._Óvoda_köt'!G54+'33._TMKK_köt'!G54+'34._Rendelő_köt'!G54</f>
        <v>0</v>
      </c>
      <c r="H53" s="33">
        <f t="shared" ref="H53:H71" si="17">+E53-D53</f>
        <v>324473166</v>
      </c>
      <c r="I53" s="177">
        <f>'29._Hivatal_köt'!I54+'30._TIK_köt'!I54+'31._Humán_köt'!I54+'32._Óvoda_köt'!I54+'33._TMKK_köt'!I54+'34._Rendelő_köt'!I54</f>
        <v>0</v>
      </c>
      <c r="J53" s="33">
        <f>'29._Hivatal_köt'!J54+'30._TIK_köt'!J54+'31._Humán_köt'!J54+'32._Óvoda_köt'!J54+'33._TMKK_köt'!J54+'34._Rendelő_köt'!J54</f>
        <v>2360575414</v>
      </c>
      <c r="K53" s="33">
        <f>'29._Hivatal_köt'!K54+'30._TIK_köt'!K54+'31._Humán_köt'!K54+'32._Óvoda_köt'!K54+'33._TMKK_köt'!K54+'34._Rendelő_köt'!K54</f>
        <v>0</v>
      </c>
      <c r="L53" s="33">
        <f>'29._Hivatal_köt'!L54+'30._TIK_köt'!L54+'31._Humán_köt'!L54+'32._Óvoda_köt'!L54+'33._TMKK_köt'!L53+'34._Rendelő_köt'!L54</f>
        <v>415.73245608902226</v>
      </c>
    </row>
    <row r="54" spans="1:15" ht="12.2" customHeight="1" x14ac:dyDescent="0.2">
      <c r="A54" s="1037" t="s">
        <v>305</v>
      </c>
      <c r="B54" s="335" t="s">
        <v>270</v>
      </c>
      <c r="C54" s="122">
        <f>'29._Hivatal_köt'!C55+'30._TIK_köt'!C55+'31._Humán_köt'!C55+'32._Óvoda_köt'!C55+'33._TMKK_köt'!C55+'34._Rendelő_köt'!C55</f>
        <v>20000000</v>
      </c>
      <c r="D54" s="189">
        <f>'29._Hivatal_köt'!D55+'30._TIK_köt'!D55+'31._Humán_köt'!D55+'32._Óvoda_köt'!D55+'33._TMKK_köt'!D55+'34._Rendelő_köt'!D55</f>
        <v>20000000</v>
      </c>
      <c r="E54" s="586">
        <f>'29._Hivatal_köt'!E55+'30._TIK_köt'!E55+'31._Humán_köt'!E55+'32._Óvoda_köt'!E55+'33._TMKK_köt'!E55+'34._Rendelő_köt'!E55</f>
        <v>80728704</v>
      </c>
      <c r="F54" s="586">
        <f>'29._Hivatal_köt'!F55+'30._TIK_köt'!F55+'31._Humán_köt'!F55+'32._Óvoda_köt'!F55+'33._TMKK_köt'!F55+'34._Rendelő_köt'!F55</f>
        <v>157927000</v>
      </c>
      <c r="G54" s="586">
        <f>'29._Hivatal_köt'!G55+'30._TIK_köt'!G55+'31._Humán_köt'!G55+'32._Óvoda_köt'!G55+'33._TMKK_köt'!G55+'34._Rendelő_köt'!G55</f>
        <v>0</v>
      </c>
      <c r="H54" s="33">
        <f t="shared" si="17"/>
        <v>60728704</v>
      </c>
      <c r="I54" s="177">
        <f>'29._Hivatal_köt'!I55+'30._TIK_köt'!I55+'31._Humán_köt'!I55+'32._Óvoda_köt'!I55+'33._TMKK_köt'!I55+'34._Rendelő_köt'!I55</f>
        <v>0</v>
      </c>
      <c r="J54" s="33">
        <f>'29._Hivatal_köt'!J55+'30._TIK_köt'!J55+'31._Humán_köt'!J55+'32._Óvoda_köt'!J55+'33._TMKK_köt'!J55+'34._Rendelő_köt'!J55</f>
        <v>29548329</v>
      </c>
      <c r="K54" s="33">
        <f>'29._Hivatal_köt'!K55+'30._TIK_köt'!K55+'31._Humán_köt'!K55+'32._Óvoda_köt'!K55+'33._TMKK_köt'!K55+'34._Rendelő_köt'!K55</f>
        <v>0</v>
      </c>
      <c r="L54" s="33">
        <f>'29._Hivatal_köt'!L55+'30._TIK_köt'!L55+'31._Humán_köt'!L55+'32._Óvoda_köt'!L55+'33._TMKK_köt'!L54+'34._Rendelő_köt'!L55</f>
        <v>26.016089741670029</v>
      </c>
    </row>
    <row r="55" spans="1:15" ht="12.2" customHeight="1" x14ac:dyDescent="0.2">
      <c r="A55" s="1037" t="s">
        <v>92</v>
      </c>
      <c r="B55" s="330" t="s">
        <v>87</v>
      </c>
      <c r="C55" s="339">
        <f>'29._Hivatal_köt'!C56+'30._TIK_köt'!C56+'31._Humán_köt'!C56+'32._Óvoda_köt'!C56+'33._TMKK_köt'!C56+'34._Rendelő_köt'!C56</f>
        <v>215963041</v>
      </c>
      <c r="D55" s="323">
        <f>'29._Hivatal_köt'!D56+'30._TIK_köt'!D56+'31._Humán_köt'!D56+'32._Óvoda_köt'!D56+'33._TMKK_köt'!D56+'34._Rendelő_köt'!D56</f>
        <v>221577185</v>
      </c>
      <c r="E55" s="107">
        <f>'29._Hivatal_köt'!E56+'30._TIK_köt'!E56+'31._Humán_köt'!E56+'32._Óvoda_köt'!E56+'33._TMKK_köt'!E56+'34._Rendelő_köt'!E56</f>
        <v>270630204</v>
      </c>
      <c r="F55" s="107">
        <f>'29._Hivatal_köt'!F56+'30._TIK_köt'!F56+'31._Humán_köt'!F56+'32._Óvoda_köt'!F56+'33._TMKK_köt'!F56+'34._Rendelő_köt'!F56</f>
        <v>537319043</v>
      </c>
      <c r="G55" s="107">
        <f>'29._Hivatal_köt'!G56+'30._TIK_köt'!G56+'31._Humán_köt'!G56+'32._Óvoda_köt'!G56+'33._TMKK_köt'!G56+'34._Rendelő_köt'!G56</f>
        <v>0</v>
      </c>
      <c r="H55" s="324">
        <f t="shared" si="17"/>
        <v>49053019</v>
      </c>
      <c r="I55" s="503">
        <f>'29._Hivatal_köt'!I56+'30._TIK_köt'!I56+'31._Humán_köt'!I56+'32._Óvoda_köt'!I56+'33._TMKK_köt'!I56+'34._Rendelő_köt'!I56</f>
        <v>0</v>
      </c>
      <c r="J55" s="34">
        <f>'29._Hivatal_köt'!J56+'30._TIK_köt'!J56+'31._Humán_köt'!J56+'32._Óvoda_köt'!J56+'33._TMKK_köt'!J56+'34._Rendelő_köt'!J56</f>
        <v>420439086</v>
      </c>
      <c r="K55" s="34">
        <f>'29._Hivatal_köt'!K56+'30._TIK_köt'!K56+'31._Humán_köt'!K56+'32._Óvoda_köt'!K56+'33._TMKK_köt'!K56+'34._Rendelő_köt'!K56</f>
        <v>0</v>
      </c>
      <c r="L55" s="34">
        <f>'29._Hivatal_köt'!L56+'30._TIK_köt'!L56+'31._Humán_köt'!L56+'32._Óvoda_köt'!L56+'33._TMKK_köt'!L55+'34._Rendelő_köt'!L56</f>
        <v>414.02464778309849</v>
      </c>
    </row>
    <row r="56" spans="1:15" ht="12.2" customHeight="1" x14ac:dyDescent="0.2">
      <c r="A56" s="1037" t="s">
        <v>93</v>
      </c>
      <c r="B56" s="330" t="s">
        <v>69</v>
      </c>
      <c r="C56" s="339">
        <f>'29._Hivatal_köt'!C57+'30._TIK_köt'!C57+'31._Humán_köt'!C57+'32._Óvoda_köt'!C57+'33._TMKK_köt'!C57+'34._Rendelő_köt'!C57</f>
        <v>797440495</v>
      </c>
      <c r="D56" s="323">
        <f>'29._Hivatal_köt'!D57+'30._TIK_köt'!D57+'31._Humán_köt'!D57+'32._Óvoda_köt'!D57+'33._TMKK_köt'!D57+'34._Rendelő_köt'!D57</f>
        <v>869859317</v>
      </c>
      <c r="E56" s="107">
        <f>'29._Hivatal_köt'!E57+'30._TIK_köt'!E57+'31._Humán_köt'!E57+'32._Óvoda_köt'!E57+'33._TMKK_köt'!E57+'34._Rendelő_köt'!E57</f>
        <v>915967182</v>
      </c>
      <c r="F56" s="107">
        <f>'29._Hivatal_köt'!F57+'30._TIK_köt'!F57+'31._Humán_köt'!F57+'32._Óvoda_köt'!F57+'33._TMKK_köt'!F57+'34._Rendelő_köt'!F57</f>
        <v>1356327466</v>
      </c>
      <c r="G56" s="107">
        <f>'29._Hivatal_köt'!G57+'30._TIK_köt'!G57+'31._Humán_köt'!G57+'32._Óvoda_köt'!G57+'33._TMKK_köt'!G57+'34._Rendelő_köt'!G57</f>
        <v>0</v>
      </c>
      <c r="H56" s="324">
        <f t="shared" si="17"/>
        <v>46107865</v>
      </c>
      <c r="I56" s="503">
        <f>'29._Hivatal_köt'!I57+'30._TIK_köt'!I57+'31._Humán_köt'!I57+'32._Óvoda_köt'!I57+'33._TMKK_köt'!I57+'34._Rendelő_köt'!I57</f>
        <v>0</v>
      </c>
      <c r="J56" s="34">
        <f>'29._Hivatal_köt'!J57+'30._TIK_köt'!J57+'31._Humán_köt'!J57+'32._Óvoda_köt'!J57+'33._TMKK_köt'!J57+'34._Rendelő_köt'!J57</f>
        <v>1068256658</v>
      </c>
      <c r="K56" s="34">
        <f>'29._Hivatal_köt'!K57+'30._TIK_köt'!K57+'31._Humán_köt'!K57+'32._Óvoda_köt'!K57+'33._TMKK_köt'!K57+'34._Rendelő_köt'!K57</f>
        <v>0</v>
      </c>
      <c r="L56" s="34">
        <f>'29._Hivatal_köt'!L57+'30._TIK_köt'!L57+'31._Humán_köt'!L57+'32._Óvoda_köt'!L57+'33._TMKK_köt'!L56+'34._Rendelő_köt'!L57</f>
        <v>386.98931756710226</v>
      </c>
    </row>
    <row r="57" spans="1:15" ht="12.2" customHeight="1" x14ac:dyDescent="0.2">
      <c r="A57" s="1037" t="s">
        <v>90</v>
      </c>
      <c r="B57" s="330" t="s">
        <v>80</v>
      </c>
      <c r="C57" s="339">
        <f>'29._Hivatal_köt'!C58+'30._TIK_köt'!C58+'31._Humán_köt'!C58+'32._Óvoda_köt'!C58+'33._TMKK_köt'!C58+'34._Rendelő_köt'!C58</f>
        <v>0</v>
      </c>
      <c r="D57" s="323">
        <f>'29._Hivatal_köt'!D58+'30._TIK_köt'!D58+'31._Humán_köt'!D58+'32._Óvoda_köt'!D58+'33._TMKK_köt'!D58+'34._Rendelő_köt'!D58</f>
        <v>0</v>
      </c>
      <c r="E57" s="107">
        <f>'29._Hivatal_köt'!E58+'30._TIK_köt'!E58+'31._Humán_köt'!E58+'32._Óvoda_köt'!E58+'33._TMKK_köt'!E58+'34._Rendelő_köt'!E58</f>
        <v>0</v>
      </c>
      <c r="F57" s="107">
        <f>'29._Hivatal_köt'!F58+'30._TIK_köt'!F58+'31._Humán_köt'!F58+'32._Óvoda_köt'!F58+'33._TMKK_köt'!F58+'34._Rendelő_köt'!F58</f>
        <v>1253080</v>
      </c>
      <c r="G57" s="107">
        <f>'29._Hivatal_köt'!G58+'30._TIK_köt'!G58+'31._Humán_köt'!G58+'32._Óvoda_köt'!G58+'33._TMKK_köt'!G58+'34._Rendelő_köt'!G58</f>
        <v>1253080</v>
      </c>
      <c r="H57" s="324">
        <f t="shared" si="17"/>
        <v>0</v>
      </c>
      <c r="I57" s="503">
        <f>'29._Hivatal_köt'!I58+'30._TIK_köt'!I58+'31._Humán_köt'!I58+'32._Óvoda_köt'!I58+'33._TMKK_köt'!I58+'34._Rendelő_köt'!I58</f>
        <v>1253080</v>
      </c>
      <c r="J57" s="34">
        <f>'29._Hivatal_köt'!J58+'30._TIK_köt'!J58+'31._Humán_köt'!J58+'32._Óvoda_köt'!J58+'33._TMKK_köt'!J58+'34._Rendelő_köt'!J58</f>
        <v>631568</v>
      </c>
      <c r="K57" s="34">
        <f>'29._Hivatal_köt'!K58+'30._TIK_köt'!K58+'31._Humán_köt'!K58+'32._Óvoda_köt'!K58+'33._TMKK_köt'!K58+'34._Rendelő_köt'!K58</f>
        <v>0</v>
      </c>
      <c r="L57" s="34" t="e">
        <f>'29._Hivatal_köt'!L58+'30._TIK_köt'!L58+'31._Humán_köt'!L58+'32._Óvoda_köt'!L58+'33._TMKK_köt'!L57+'34._Rendelő_köt'!L58</f>
        <v>#VALUE!</v>
      </c>
    </row>
    <row r="58" spans="1:15" ht="12.2" customHeight="1" x14ac:dyDescent="0.2">
      <c r="A58" s="1037" t="s">
        <v>147</v>
      </c>
      <c r="B58" s="330" t="s">
        <v>88</v>
      </c>
      <c r="C58" s="339">
        <f>C59+C60</f>
        <v>1245500</v>
      </c>
      <c r="D58" s="323">
        <f t="shared" ref="D58:K58" si="18">D59+D60</f>
        <v>1253080</v>
      </c>
      <c r="E58" s="107">
        <f t="shared" si="18"/>
        <v>1259417</v>
      </c>
      <c r="F58" s="107">
        <f t="shared" si="18"/>
        <v>8182337</v>
      </c>
      <c r="G58" s="107">
        <f t="shared" si="18"/>
        <v>6337</v>
      </c>
      <c r="H58" s="324">
        <f t="shared" si="17"/>
        <v>6337</v>
      </c>
      <c r="I58" s="503">
        <f t="shared" si="18"/>
        <v>6337</v>
      </c>
      <c r="J58" s="34">
        <f t="shared" si="18"/>
        <v>4435017</v>
      </c>
      <c r="K58" s="34">
        <f t="shared" si="18"/>
        <v>0</v>
      </c>
      <c r="L58" s="34" t="e">
        <f>'29._Hivatal_köt'!L59+'30._TIK_köt'!L59+'31._Humán_köt'!L59+'32._Óvoda_köt'!L59+'33._TMKK_köt'!L58+'34._Rendelő_köt'!L59</f>
        <v>#VALUE!</v>
      </c>
    </row>
    <row r="59" spans="1:15" ht="12.2" customHeight="1" x14ac:dyDescent="0.2">
      <c r="A59" s="1037" t="s">
        <v>306</v>
      </c>
      <c r="B59" s="521" t="s">
        <v>235</v>
      </c>
      <c r="C59" s="339">
        <f>'29._Hivatal_köt'!C60+'30._TIK_köt'!C60+'31._Humán_köt'!C60+'32._Óvoda_köt'!C60+'33._TMKK_köt'!C60+'34._Rendelő_köt'!C60</f>
        <v>1245500</v>
      </c>
      <c r="D59" s="323">
        <f>'29._Hivatal_köt'!D60+'30._TIK_köt'!D60+'31._Humán_köt'!D60+'32._Óvoda_köt'!D60+'33._TMKK_köt'!D60+'34._Rendelő_köt'!D60</f>
        <v>1253080</v>
      </c>
      <c r="E59" s="107">
        <f>'29._Hivatal_köt'!E60+'30._TIK_köt'!E60+'31._Humán_köt'!E60+'32._Óvoda_köt'!E60+'33._TMKK_köt'!E60+'34._Rendelő_köt'!E60</f>
        <v>1259417</v>
      </c>
      <c r="F59" s="107">
        <f>'29._Hivatal_köt'!F60+'30._TIK_köt'!F60+'31._Humán_köt'!F60+'32._Óvoda_köt'!F60+'33._TMKK_köt'!F60+'34._Rendelő_köt'!F60</f>
        <v>6337</v>
      </c>
      <c r="G59" s="107">
        <f>'29._Hivatal_köt'!G60+'30._TIK_köt'!G60+'31._Humán_köt'!G60+'32._Óvoda_köt'!G60+'33._TMKK_köt'!G60+'34._Rendelő_köt'!G60</f>
        <v>6337</v>
      </c>
      <c r="H59" s="324">
        <f t="shared" si="17"/>
        <v>6337</v>
      </c>
      <c r="I59" s="503">
        <f>'29._Hivatal_köt'!I60+'30._TIK_köt'!I60+'31._Humán_köt'!I60+'32._Óvoda_köt'!I60+'33._TMKK_köt'!I60+'34._Rendelő_köt'!I60</f>
        <v>6337</v>
      </c>
      <c r="J59" s="34">
        <f>'29._Hivatal_köt'!J60+'30._TIK_köt'!J60+'31._Humán_köt'!J60+'32._Óvoda_köt'!J60+'33._TMKK_köt'!J60+'34._Rendelő_köt'!J60</f>
        <v>0</v>
      </c>
      <c r="K59" s="34">
        <f>'29._Hivatal_köt'!K60+'30._TIK_köt'!K60+'31._Humán_köt'!K60+'32._Óvoda_köt'!K60+'33._TMKK_köt'!K60+'34._Rendelő_köt'!K60</f>
        <v>0</v>
      </c>
      <c r="L59" s="34" t="e">
        <f>'29._Hivatal_köt'!L60+'30._TIK_köt'!L60+'31._Humán_köt'!L60+'32._Óvoda_köt'!L60+'33._TMKK_köt'!L59+'34._Rendelő_köt'!L60</f>
        <v>#VALUE!</v>
      </c>
    </row>
    <row r="60" spans="1:15" ht="12.2" customHeight="1" thickBot="1" x14ac:dyDescent="0.25">
      <c r="A60" s="84" t="s">
        <v>307</v>
      </c>
      <c r="B60" s="85" t="s">
        <v>234</v>
      </c>
      <c r="C60" s="92">
        <f>'29._Hivatal_köt'!C61+'30._TIK_köt'!C61+'31._Humán_köt'!C61+'32._Óvoda_köt'!C61+'33._TMKK_köt'!C61+'34._Rendelő_köt'!C61</f>
        <v>0</v>
      </c>
      <c r="D60" s="190">
        <f>'29._Hivatal_köt'!D61+'30._TIK_köt'!D61+'31._Humán_köt'!D61+'32._Óvoda_köt'!D61+'33._TMKK_köt'!D61+'34._Rendelő_köt'!D61</f>
        <v>0</v>
      </c>
      <c r="E60" s="593">
        <f>'29._Hivatal_köt'!E61+'30._TIK_köt'!E61+'31._Humán_köt'!E61+'32._Óvoda_köt'!E61+'33._TMKK_köt'!E61+'34._Rendelő_köt'!E61</f>
        <v>0</v>
      </c>
      <c r="F60" s="593">
        <f>'29._Hivatal_köt'!F61+'30._TIK_köt'!F61+'31._Humán_köt'!F61+'32._Óvoda_köt'!F61+'33._TMKK_köt'!F61+'34._Rendelő_köt'!F61</f>
        <v>8176000</v>
      </c>
      <c r="G60" s="593">
        <f>'29._Hivatal_köt'!G61+'30._TIK_köt'!G61+'31._Humán_köt'!G61+'32._Óvoda_köt'!G61+'33._TMKK_köt'!G61+'34._Rendelő_köt'!G61</f>
        <v>0</v>
      </c>
      <c r="H60" s="61">
        <f t="shared" si="17"/>
        <v>0</v>
      </c>
      <c r="I60" s="178">
        <f>'29._Hivatal_köt'!I61+'30._TIK_köt'!I61+'31._Humán_köt'!I61+'32._Óvoda_köt'!I61+'33._TMKK_köt'!I61+'34._Rendelő_köt'!I61</f>
        <v>0</v>
      </c>
      <c r="J60" s="61">
        <f>'29._Hivatal_köt'!J61+'30._TIK_köt'!J61+'31._Humán_köt'!J61+'32._Óvoda_köt'!J61+'33._TMKK_köt'!J61+'34._Rendelő_köt'!J61</f>
        <v>4435017</v>
      </c>
      <c r="K60" s="61">
        <f>'29._Hivatal_köt'!K61+'30._TIK_köt'!K61+'31._Humán_köt'!K61+'32._Óvoda_köt'!K61+'33._TMKK_köt'!K61+'34._Rendelő_köt'!K61</f>
        <v>0</v>
      </c>
      <c r="L60" s="61" t="e">
        <f>'29._Hivatal_köt'!L61+'30._TIK_köt'!L61+'31._Humán_köt'!L61+'32._Óvoda_köt'!L61+'33._TMKK_köt'!L60+'34._Rendelő_köt'!L61</f>
        <v>#VALUE!</v>
      </c>
    </row>
    <row r="61" spans="1:15" ht="12.2" customHeight="1" thickBot="1" x14ac:dyDescent="0.25">
      <c r="A61" s="55" t="s">
        <v>13</v>
      </c>
      <c r="B61" s="56" t="s">
        <v>548</v>
      </c>
      <c r="C61" s="89">
        <f>C62+C64+C66</f>
        <v>11200000</v>
      </c>
      <c r="D61" s="127">
        <f t="shared" ref="D61:K61" si="19">D62+D64+D66</f>
        <v>38196629</v>
      </c>
      <c r="E61" s="582">
        <f t="shared" si="19"/>
        <v>55651216</v>
      </c>
      <c r="F61" s="582">
        <f t="shared" si="19"/>
        <v>131957503</v>
      </c>
      <c r="G61" s="582">
        <f t="shared" si="19"/>
        <v>0</v>
      </c>
      <c r="H61" s="48">
        <f t="shared" si="17"/>
        <v>17454587</v>
      </c>
      <c r="I61" s="175">
        <f t="shared" si="19"/>
        <v>1253080</v>
      </c>
      <c r="J61" s="48">
        <f t="shared" si="19"/>
        <v>360940400</v>
      </c>
      <c r="K61" s="48">
        <f t="shared" si="19"/>
        <v>0</v>
      </c>
      <c r="L61" s="48" t="e">
        <f>'29._Hivatal_köt'!L62+'30._TIK_köt'!L62+'31._Humán_köt'!L62+'32._Óvoda_köt'!L62+'33._TMKK_köt'!L61+'34._Rendelő_köt'!L62</f>
        <v>#VALUE!</v>
      </c>
    </row>
    <row r="62" spans="1:15" s="31" customFormat="1" ht="12.2" customHeight="1" x14ac:dyDescent="0.2">
      <c r="A62" s="1037" t="s">
        <v>94</v>
      </c>
      <c r="B62" s="17" t="s">
        <v>119</v>
      </c>
      <c r="C62" s="122">
        <f>'29._Hivatal_köt'!C63+'30._TIK_köt'!C63+'31._Humán_köt'!C63+'32._Óvoda_köt'!C63+'33._TMKK_köt'!C63+'34._Rendelő_köt'!C63</f>
        <v>11200000</v>
      </c>
      <c r="D62" s="189">
        <f>'29._Hivatal_köt'!D63+'30._TIK_köt'!D63+'31._Humán_köt'!D63+'32._Óvoda_köt'!D63+'33._TMKK_köt'!D63+'34._Rendelő_köt'!D63</f>
        <v>38196629</v>
      </c>
      <c r="E62" s="586">
        <f>'29._Hivatal_köt'!E63+'30._TIK_köt'!E63+'31._Humán_köt'!E63+'32._Óvoda_köt'!E63+'33._TMKK_köt'!E63+'34._Rendelő_köt'!E63</f>
        <v>55651216</v>
      </c>
      <c r="F62" s="586">
        <f t="shared" ref="F62:K62" si="20">F63</f>
        <v>131957503</v>
      </c>
      <c r="G62" s="586">
        <f t="shared" si="20"/>
        <v>0</v>
      </c>
      <c r="H62" s="33">
        <f t="shared" si="17"/>
        <v>17454587</v>
      </c>
      <c r="I62" s="177">
        <f t="shared" si="20"/>
        <v>0</v>
      </c>
      <c r="J62" s="33">
        <f t="shared" si="20"/>
        <v>131957503</v>
      </c>
      <c r="K62" s="33">
        <f t="shared" si="20"/>
        <v>0</v>
      </c>
      <c r="L62" s="33">
        <f>'29._Hivatal_köt'!L63+'30._TIK_köt'!L63+'31._Humán_köt'!L63+'32._Óvoda_köt'!L63+'33._TMKK_köt'!L62+'34._Rendelő_köt'!L63</f>
        <v>229.74981924857531</v>
      </c>
    </row>
    <row r="63" spans="1:15" s="31" customFormat="1" ht="12.2" customHeight="1" x14ac:dyDescent="0.2">
      <c r="A63" s="1037" t="s">
        <v>316</v>
      </c>
      <c r="B63" s="522" t="s">
        <v>236</v>
      </c>
      <c r="C63" s="122">
        <f>'29._Hivatal_köt'!C64+'30._TIK_köt'!C64+'31._Humán_köt'!C64+'32._Óvoda_köt'!C64+'33._TMKK_köt'!C64+'34._Rendelő_köt'!C64</f>
        <v>0</v>
      </c>
      <c r="D63" s="189">
        <f>'29._Hivatal_köt'!D64+'30._TIK_köt'!D64+'31._Humán_köt'!D64+'32._Óvoda_köt'!D64+'33._TMKK_köt'!D64+'34._Rendelő_köt'!D64</f>
        <v>0</v>
      </c>
      <c r="E63" s="586">
        <f>'29._Hivatal_köt'!E64+'30._TIK_köt'!E64+'31._Humán_köt'!E64+'32._Óvoda_köt'!E64+'33._TMKK_köt'!E64+'34._Rendelő_köt'!E64</f>
        <v>0</v>
      </c>
      <c r="F63" s="586">
        <f>'29._Hivatal_köt'!F64+'30._TIK_köt'!F64+'31._Humán_köt'!F64+'32._Óvoda_köt'!F64+'33._TMKK_köt'!F64+'34._Rendelő_köt'!F64</f>
        <v>131957503</v>
      </c>
      <c r="G63" s="586">
        <f>'29._Hivatal_köt'!G64+'30._TIK_köt'!G64+'31._Humán_köt'!G64+'32._Óvoda_köt'!G64+'33._TMKK_köt'!G64+'34._Rendelő_köt'!G64</f>
        <v>0</v>
      </c>
      <c r="H63" s="33">
        <f t="shared" si="17"/>
        <v>0</v>
      </c>
      <c r="I63" s="177">
        <f>'29._Hivatal_köt'!I64+'30._TIK_köt'!I64+'31._Humán_köt'!I64+'32._Óvoda_köt'!I64+'33._TMKK_köt'!I64+'34._Rendelő_köt'!I64</f>
        <v>0</v>
      </c>
      <c r="J63" s="33">
        <f>'29._Hivatal_köt'!J64+'30._TIK_köt'!J64+'31._Humán_köt'!J64+'32._Óvoda_köt'!J64+'33._TMKK_köt'!J64+'34._Rendelő_köt'!J64</f>
        <v>131957503</v>
      </c>
      <c r="K63" s="33">
        <f>'29._Hivatal_köt'!K64+'30._TIK_köt'!K64+'31._Humán_köt'!K64+'32._Óvoda_köt'!K64+'33._TMKK_köt'!K64+'34._Rendelő_köt'!K64</f>
        <v>0</v>
      </c>
      <c r="L63" s="33" t="e">
        <f>'29._Hivatal_köt'!L64+'30._TIK_köt'!L64+'31._Humán_köt'!L64+'32._Óvoda_köt'!L64+'33._TMKK_köt'!L63+'34._Rendelő_köt'!L64</f>
        <v>#VALUE!</v>
      </c>
    </row>
    <row r="64" spans="1:15" ht="12.2" customHeight="1" x14ac:dyDescent="0.2">
      <c r="A64" s="1037" t="s">
        <v>95</v>
      </c>
      <c r="B64" s="330" t="s">
        <v>2</v>
      </c>
      <c r="C64" s="339">
        <f>'29._Hivatal_köt'!C65+'30._TIK_köt'!C65+'31._Humán_köt'!C65+'32._Óvoda_köt'!C65+'33._TMKK_köt'!C65+'34._Rendelő_köt'!C65</f>
        <v>0</v>
      </c>
      <c r="D64" s="323">
        <f>'29._Hivatal_köt'!D65+'30._TIK_köt'!D65+'31._Humán_köt'!D65+'32._Óvoda_köt'!D65+'33._TMKK_köt'!D65+'34._Rendelő_köt'!D65</f>
        <v>0</v>
      </c>
      <c r="E64" s="107">
        <f>'29._Hivatal_köt'!E65+'30._TIK_köt'!E65+'31._Humán_köt'!E65+'32._Óvoda_köt'!E65+'33._TMKK_köt'!E65+'34._Rendelő_köt'!E65</f>
        <v>0</v>
      </c>
      <c r="F64" s="107">
        <f t="shared" ref="F64:K64" si="21">F65</f>
        <v>0</v>
      </c>
      <c r="G64" s="107">
        <f t="shared" si="21"/>
        <v>0</v>
      </c>
      <c r="H64" s="324">
        <f t="shared" si="17"/>
        <v>0</v>
      </c>
      <c r="I64" s="503">
        <f t="shared" si="21"/>
        <v>0</v>
      </c>
      <c r="J64" s="34">
        <f t="shared" si="21"/>
        <v>0</v>
      </c>
      <c r="K64" s="34">
        <f t="shared" si="21"/>
        <v>0</v>
      </c>
      <c r="L64" s="34" t="e">
        <f>'29._Hivatal_köt'!L65+'30._TIK_köt'!L65+'31._Humán_köt'!L65+'32._Óvoda_köt'!L65+'33._TMKK_köt'!L64+'34._Rendelő_köt'!L65</f>
        <v>#VALUE!</v>
      </c>
    </row>
    <row r="65" spans="1:15" ht="12.2" customHeight="1" x14ac:dyDescent="0.2">
      <c r="A65" s="1037" t="s">
        <v>342</v>
      </c>
      <c r="B65" s="523" t="s">
        <v>237</v>
      </c>
      <c r="C65" s="339">
        <f>'29._Hivatal_köt'!C66+'30._TIK_köt'!C66+'31._Humán_köt'!C66+'32._Óvoda_köt'!C66+'33._TMKK_köt'!C66+'34._Rendelő_köt'!C66</f>
        <v>0</v>
      </c>
      <c r="D65" s="323">
        <f>'29._Hivatal_köt'!D66+'30._TIK_köt'!D66+'31._Humán_köt'!D66+'32._Óvoda_köt'!D66+'33._TMKK_köt'!D66+'34._Rendelő_köt'!D66</f>
        <v>0</v>
      </c>
      <c r="E65" s="107">
        <f>'29._Hivatal_köt'!E66+'30._TIK_köt'!E66+'31._Humán_köt'!E66+'32._Óvoda_köt'!E66+'33._TMKK_köt'!E66+'34._Rendelő_köt'!E66</f>
        <v>0</v>
      </c>
      <c r="F65" s="107">
        <f>'29._Hivatal_köt'!F66+'30._TIK_köt'!F66+'31._Humán_köt'!F66+'32._Óvoda_köt'!F66+'33._TMKK_köt'!F66+'34._Rendelő_köt'!F66</f>
        <v>0</v>
      </c>
      <c r="G65" s="107">
        <f>'29._Hivatal_köt'!G66+'30._TIK_köt'!G66+'31._Humán_köt'!G66+'32._Óvoda_köt'!G66+'33._TMKK_köt'!G66+'34._Rendelő_köt'!G66</f>
        <v>0</v>
      </c>
      <c r="H65" s="324">
        <f t="shared" si="17"/>
        <v>0</v>
      </c>
      <c r="I65" s="503">
        <f>'29._Hivatal_köt'!I66+'30._TIK_köt'!I66+'31._Humán_köt'!I66+'32._Óvoda_köt'!I66+'33._TMKK_köt'!I66+'34._Rendelő_köt'!I66</f>
        <v>0</v>
      </c>
      <c r="J65" s="34">
        <f>'29._Hivatal_köt'!J66+'30._TIK_köt'!J66+'31._Humán_köt'!J66+'32._Óvoda_köt'!J66+'33._TMKK_köt'!J66+'34._Rendelő_köt'!J66</f>
        <v>0</v>
      </c>
      <c r="K65" s="34">
        <f>'29._Hivatal_köt'!K66+'30._TIK_köt'!K66+'31._Humán_köt'!K66+'32._Óvoda_köt'!K66+'33._TMKK_köt'!K66+'34._Rendelő_köt'!K66</f>
        <v>0</v>
      </c>
      <c r="L65" s="34" t="e">
        <f>'29._Hivatal_köt'!L66+'30._TIK_köt'!L66+'31._Humán_köt'!L66+'32._Óvoda_köt'!L66+'33._TMKK_köt'!L65+'34._Rendelő_köt'!L66</f>
        <v>#VALUE!</v>
      </c>
    </row>
    <row r="66" spans="1:15" ht="12.2" customHeight="1" x14ac:dyDescent="0.2">
      <c r="A66" s="1037" t="s">
        <v>96</v>
      </c>
      <c r="B66" s="17" t="s">
        <v>175</v>
      </c>
      <c r="C66" s="339">
        <f>C67+C68</f>
        <v>0</v>
      </c>
      <c r="D66" s="323">
        <f>'29._Hivatal_köt'!D67+'30._TIK_köt'!D67+'31._Humán_köt'!D67+'32._Óvoda_köt'!D67+'33._TMKK_köt'!D67+'34._Rendelő_köt'!D67</f>
        <v>0</v>
      </c>
      <c r="E66" s="107">
        <f>'29._Hivatal_köt'!E67+'30._TIK_köt'!E67+'31._Humán_köt'!E67+'32._Óvoda_köt'!E67+'33._TMKK_köt'!E67+'34._Rendelő_köt'!E67</f>
        <v>0</v>
      </c>
      <c r="F66" s="107">
        <f t="shared" ref="F66:K66" si="22">F67+F68</f>
        <v>0</v>
      </c>
      <c r="G66" s="107">
        <f t="shared" si="22"/>
        <v>0</v>
      </c>
      <c r="H66" s="324">
        <f t="shared" si="17"/>
        <v>0</v>
      </c>
      <c r="I66" s="503">
        <f t="shared" si="22"/>
        <v>1253080</v>
      </c>
      <c r="J66" s="34">
        <f t="shared" si="22"/>
        <v>228982897</v>
      </c>
      <c r="K66" s="34">
        <f t="shared" si="22"/>
        <v>0</v>
      </c>
      <c r="L66" s="34" t="e">
        <f>'29._Hivatal_köt'!L67+'30._TIK_köt'!L67+'31._Humán_köt'!L67+'32._Óvoda_köt'!L67+'33._TMKK_köt'!L66+'34._Rendelő_köt'!L67</f>
        <v>#VALUE!</v>
      </c>
    </row>
    <row r="67" spans="1:15" ht="12.2" customHeight="1" x14ac:dyDescent="0.2">
      <c r="A67" s="1037" t="s">
        <v>317</v>
      </c>
      <c r="B67" s="521" t="s">
        <v>239</v>
      </c>
      <c r="C67" s="339">
        <f>'29._Hivatal_köt'!C68+'30._TIK_köt'!C68+'31._Humán_köt'!C68+'32._Óvoda_köt'!C68+'33._TMKK_köt'!C68+'34._Rendelő_köt'!C68</f>
        <v>0</v>
      </c>
      <c r="D67" s="323">
        <f>'29._Hivatal_köt'!D68+'30._TIK_köt'!D68+'31._Humán_köt'!D68+'32._Óvoda_köt'!D68+'33._TMKK_köt'!D68+'34._Rendelő_köt'!D68</f>
        <v>0</v>
      </c>
      <c r="E67" s="107">
        <f>'29._Hivatal_köt'!E68+'30._TIK_köt'!E68+'31._Humán_köt'!E68+'32._Óvoda_köt'!E68+'33._TMKK_köt'!E68+'34._Rendelő_köt'!E68</f>
        <v>0</v>
      </c>
      <c r="F67" s="107">
        <f>'29._Hivatal_köt'!F68+'30._TIK_köt'!F68+'31._Humán_köt'!F68+'32._Óvoda_köt'!F68+'33._TMKK_köt'!F68+'34._Rendelő_köt'!F68</f>
        <v>0</v>
      </c>
      <c r="G67" s="107">
        <f>'29._Hivatal_köt'!G68+'30._TIK_köt'!G68+'31._Humán_köt'!G68+'32._Óvoda_köt'!G68+'33._TMKK_köt'!G68+'34._Rendelő_köt'!G68</f>
        <v>0</v>
      </c>
      <c r="H67" s="324">
        <f t="shared" si="17"/>
        <v>0</v>
      </c>
      <c r="I67" s="503">
        <f>'29._Hivatal_köt'!I68+'30._TIK_köt'!I68+'31._Humán_köt'!I68+'32._Óvoda_köt'!I68+'33._TMKK_köt'!I68+'34._Rendelő_köt'!I68</f>
        <v>0</v>
      </c>
      <c r="J67" s="34">
        <f>'29._Hivatal_köt'!J68+'30._TIK_köt'!J68+'31._Humán_köt'!J68+'32._Óvoda_köt'!J68+'33._TMKK_köt'!J68+'34._Rendelő_köt'!J68</f>
        <v>0</v>
      </c>
      <c r="K67" s="34">
        <f>'29._Hivatal_köt'!K68+'30._TIK_köt'!K68+'31._Humán_köt'!K68+'32._Óvoda_köt'!K68+'33._TMKK_köt'!K68+'34._Rendelő_köt'!K68</f>
        <v>0</v>
      </c>
      <c r="L67" s="34" t="e">
        <f>'29._Hivatal_köt'!L68+'30._TIK_köt'!L68+'31._Humán_köt'!L68+'32._Óvoda_köt'!L68+'33._TMKK_köt'!L67+'34._Rendelő_köt'!L68</f>
        <v>#VALUE!</v>
      </c>
    </row>
    <row r="68" spans="1:15" ht="12.2" customHeight="1" thickBot="1" x14ac:dyDescent="0.25">
      <c r="A68" s="1037" t="s">
        <v>318</v>
      </c>
      <c r="B68" s="521" t="s">
        <v>238</v>
      </c>
      <c r="C68" s="339">
        <f>'29._Hivatal_köt'!C69+'30._TIK_köt'!C69+'31._Humán_köt'!C69+'32._Óvoda_köt'!C69+'33._TMKK_köt'!C69+'34._Rendelő_köt'!C69</f>
        <v>0</v>
      </c>
      <c r="D68" s="323">
        <f>'29._Hivatal_köt'!D69+'30._TIK_köt'!D69+'31._Humán_köt'!D69+'32._Óvoda_köt'!D69+'33._TMKK_köt'!D69+'34._Rendelő_köt'!D69</f>
        <v>0</v>
      </c>
      <c r="E68" s="107">
        <f>'29._Hivatal_köt'!E69+'30._TIK_köt'!E69+'31._Humán_köt'!E69+'32._Óvoda_köt'!E69+'33._TMKK_köt'!E69+'34._Rendelő_köt'!E69</f>
        <v>0</v>
      </c>
      <c r="F68" s="107">
        <f>'29._Hivatal_köt'!F69+'30._TIK_köt'!F69+'31._Humán_köt'!F69+'32._Óvoda_köt'!F69+'33._TMKK_köt'!F69+'34._Rendelő_köt'!F69</f>
        <v>0</v>
      </c>
      <c r="G68" s="107">
        <f>'29._Hivatal_köt'!G69+'30._TIK_köt'!G69+'31._Humán_köt'!G69+'32._Óvoda_köt'!G69+'33._TMKK_köt'!G69+'34._Rendelő_köt'!G69</f>
        <v>0</v>
      </c>
      <c r="H68" s="324">
        <f t="shared" si="17"/>
        <v>0</v>
      </c>
      <c r="I68" s="503">
        <f>'29._Hivatal_köt'!I69+'30._TIK_köt'!I69+'31._Humán_köt'!I69+'32._Óvoda_köt'!I69+'33._TMKK_köt'!I69+'34._Rendelő_köt'!I69</f>
        <v>1253080</v>
      </c>
      <c r="J68" s="34">
        <f>'29._Hivatal_köt'!J69+'30._TIK_köt'!J69+'31._Humán_köt'!J69+'32._Óvoda_köt'!J69+'33._TMKK_köt'!J69+'34._Rendelő_köt'!J69</f>
        <v>228982897</v>
      </c>
      <c r="K68" s="34">
        <f>'29._Hivatal_köt'!K69+'30._TIK_köt'!K69+'31._Humán_köt'!K69+'32._Óvoda_köt'!K69+'33._TMKK_köt'!K69+'34._Rendelő_köt'!K69</f>
        <v>0</v>
      </c>
      <c r="L68" s="34" t="e">
        <f>'29._Hivatal_köt'!L69+'30._TIK_köt'!L69+'31._Humán_köt'!L69+'32._Óvoda_köt'!L69+'33._TMKK_köt'!L68+'34._Rendelő_köt'!L69</f>
        <v>#VALUE!</v>
      </c>
      <c r="O68" s="25" t="s">
        <v>385</v>
      </c>
    </row>
    <row r="69" spans="1:15" ht="15" customHeight="1" thickBot="1" x14ac:dyDescent="0.25">
      <c r="A69" s="55" t="s">
        <v>14</v>
      </c>
      <c r="B69" s="67" t="s">
        <v>176</v>
      </c>
      <c r="C69" s="135">
        <f>'29._Hivatal_köt'!C70+'30._TIK_köt'!C70+'31._Humán_köt'!C70+'32._Óvoda_köt'!C70+'33._TMKK_köt'!C70+'34._Rendelő_köt'!C70</f>
        <v>2341860423</v>
      </c>
      <c r="D69" s="134">
        <f>'29._Hivatal_köt'!D70+'30._TIK_köt'!D70+'31._Humán_köt'!D70+'32._Óvoda_köt'!D70+'33._TMKK_köt'!D70+'34._Rendelő_köt'!D70</f>
        <v>2466280240</v>
      </c>
      <c r="E69" s="592">
        <f>'29._Hivatal_köt'!E70+'30._TIK_köt'!E70+'31._Humán_köt'!E70+'32._Óvoda_köt'!E70+'33._TMKK_köt'!E70+'34._Rendelő_köt'!E70</f>
        <v>2903375214</v>
      </c>
      <c r="F69" s="592">
        <f>'29._Hivatal_köt'!F70+'30._TIK_köt'!F70+'31._Humán_köt'!F70+'32._Óvoda_köt'!F70+'33._TMKK_köt'!F70+'34._Rendelő_köt'!F70</f>
        <v>5087972644</v>
      </c>
      <c r="G69" s="592">
        <f>'29._Hivatal_köt'!G70+'30._TIK_köt'!G70+'31._Humán_köt'!G70+'32._Óvoda_köt'!G70+'33._TMKK_köt'!G70+'34._Rendelő_köt'!G70</f>
        <v>6337</v>
      </c>
      <c r="H69" s="68">
        <f>+E69-D69</f>
        <v>437094974</v>
      </c>
      <c r="I69" s="176">
        <f>'29._Hivatal_köt'!I70+'30._TIK_köt'!I70+'31._Humán_köt'!I70+'32._Óvoda_köt'!I70+'33._TMKK_köt'!I70+'34._Rendelő_köt'!I70</f>
        <v>180609792</v>
      </c>
      <c r="J69" s="68">
        <f>'29._Hivatal_köt'!J70+'30._TIK_köt'!J70+'31._Humán_köt'!J70+'32._Óvoda_köt'!J70+'33._TMKK_köt'!J70+'34._Rendelő_köt'!J70</f>
        <v>4091426682</v>
      </c>
      <c r="K69" s="68" t="e">
        <f>'29._Hivatal_köt'!K70+'30._TIK_köt'!K70+'31._Humán_köt'!K70+'32._Óvoda_köt'!K70+'33._TMKK_köt'!K70+'34._Rendelő_köt'!K70</f>
        <v>#VALUE!</v>
      </c>
      <c r="L69" s="68" t="e">
        <f>'29._Hivatal_köt'!L70+'30._TIK_köt'!L70+'31._Humán_köt'!L70+'32._Óvoda_köt'!L70+'33._TMKK_köt'!L69+'34._Rendelő_köt'!L70</f>
        <v>#VALUE!</v>
      </c>
    </row>
    <row r="70" spans="1:15" ht="13.5" thickBot="1" x14ac:dyDescent="0.25">
      <c r="C70" s="27"/>
      <c r="D70" s="27"/>
      <c r="E70" s="27"/>
      <c r="F70" s="27"/>
      <c r="G70" s="27"/>
      <c r="H70" s="27"/>
      <c r="I70" s="27"/>
      <c r="J70" s="27"/>
      <c r="K70" s="27"/>
      <c r="L70" s="27"/>
    </row>
    <row r="71" spans="1:15" ht="15" customHeight="1" thickBot="1" x14ac:dyDescent="0.25">
      <c r="A71" s="69" t="s">
        <v>292</v>
      </c>
      <c r="B71" s="70"/>
      <c r="C71" s="136">
        <f>'29._Hivatal_köt'!C72+'30._TIK_köt'!C72+'31._Humán_köt'!C72+'32._Óvoda_köt'!C72+'33._TMKK_köt'!C72+'34._Rendelő_köt'!C72</f>
        <v>296</v>
      </c>
      <c r="D71" s="635">
        <f>'29._Hivatal_köt'!D72+'30._TIK_köt'!D72+'31._Humán_köt'!D72+'32._Óvoda_köt'!D72+'33._TMKK_köt'!D72+'34._Rendelő_köt'!D72</f>
        <v>324</v>
      </c>
      <c r="E71" s="520">
        <f>'29._Hivatal_köt'!E72+'30._TIK_köt'!E72+'31._Humán_köt'!E72+'32._Óvoda_köt'!E72+'33._TMKK_köt'!E72+'34._Rendelő_köt'!E72</f>
        <v>315</v>
      </c>
      <c r="F71" s="520">
        <f>'29._Hivatal_köt'!F72+'30._TIK_köt'!F72+'31._Humán_köt'!F72+'32._Óvoda_köt'!F72+'33._TMKK_köt'!F72+'34._Rendelő_köt'!F72</f>
        <v>462</v>
      </c>
      <c r="G71" s="520">
        <f>'29._Hivatal_köt'!G72+'30._TIK_köt'!G72+'31._Humán_köt'!G72+'32._Óvoda_köt'!G72+'33._TMKK_köt'!G72+'34._Rendelő_köt'!G72</f>
        <v>0</v>
      </c>
      <c r="H71" s="174">
        <f t="shared" si="17"/>
        <v>-9</v>
      </c>
      <c r="I71" s="174">
        <f>'29._Hivatal_köt'!I72+'30._TIK_köt'!I72+'31._Humán_köt'!I72+'32._Óvoda_köt'!I72+'33._TMKK_köt'!I72+'34._Rendelő_köt'!I72</f>
        <v>0</v>
      </c>
      <c r="J71" s="174">
        <f>'29._Hivatal_köt'!J72+'30._TIK_köt'!J72+'31._Humán_köt'!J72+'32._Óvoda_köt'!J72+'33._TMKK_köt'!J72+'34._Rendelő_köt'!J72</f>
        <v>514</v>
      </c>
      <c r="K71" s="174">
        <f>'29._Hivatal_köt'!K72+'30._TIK_köt'!K72+'31._Humán_köt'!K72+'32._Óvoda_köt'!K72+'33._TMKK_köt'!K72+'34._Rendelő_köt'!K72</f>
        <v>0</v>
      </c>
      <c r="L71" s="174">
        <f>'29._Hivatal_köt'!L72+'30._TIK_köt'!L72+'31._Humán_köt'!L72+'32._Óvoda_köt'!L72+'33._TMKK_köt'!L71+'34._Rendelő_köt'!L72</f>
        <v>481.69061908680033</v>
      </c>
    </row>
    <row r="72" spans="1:15" ht="14.25" hidden="1" customHeight="1" thickBot="1" x14ac:dyDescent="0.25">
      <c r="A72" s="69" t="s">
        <v>291</v>
      </c>
      <c r="B72" s="70"/>
      <c r="C72" s="609">
        <f>'29._Hivatal_köt'!C73+'30._TIK_köt'!C73+'31._Humán_köt'!C73+'32._Óvoda_köt'!C73+'33._TMKK_köt'!C73+'34._Rendelő_köt'!C73</f>
        <v>0</v>
      </c>
      <c r="D72" s="639">
        <f>'29._Hivatal_köt'!D73+'30._TIK_köt'!D73+'31._Humán_köt'!D73+'32._Óvoda_köt'!D73+'33._TMKK_köt'!D73+'34._Rendelő_köt'!D73</f>
        <v>0</v>
      </c>
      <c r="E72" s="607">
        <f>'29._Hivatal_köt'!E73+'30._TIK_köt'!E73+'31._Humán_köt'!E73+'32._Óvoda_köt'!E73+'33._TMKK_köt'!E73+'34._Rendelő_köt'!E73</f>
        <v>0</v>
      </c>
      <c r="F72" s="607">
        <f>'29._Hivatal_köt'!F73+'30._TIK_köt'!F73+'31._Humán_köt'!F73+'32._Óvoda_köt'!F73+'33._TMKK_köt'!F73+'34._Rendelő_köt'!F73</f>
        <v>0</v>
      </c>
      <c r="G72" s="607">
        <f>'29._Hivatal_köt'!G73+'30._TIK_köt'!G73+'31._Humán_köt'!G73+'32._Óvoda_köt'!G73+'33._TMKK_köt'!G73+'34._Rendelő_köt'!G73</f>
        <v>0</v>
      </c>
      <c r="H72" s="609">
        <f t="shared" ref="H72" si="23">+D72-C72</f>
        <v>0</v>
      </c>
      <c r="I72" s="174">
        <f>'29._Hivatal_köt'!I73+'30._TIK_köt'!I73+'31._Humán_köt'!I73+'32._Óvoda_köt'!I73+'33._TMKK_köt'!I73+'34._Rendelő_köt'!I73</f>
        <v>0</v>
      </c>
      <c r="J72" s="174">
        <f>'29._Hivatal_köt'!J73+'30._TIK_köt'!J73+'31._Humán_köt'!J73+'32._Óvoda_köt'!J73+'33._TMKK_köt'!J73+'34._Rendelő_köt'!J73</f>
        <v>0</v>
      </c>
      <c r="K72" s="174">
        <f>'29._Hivatal_köt'!K73+'30._TIK_köt'!K73+'31._Humán_köt'!K73+'32._Óvoda_köt'!K73+'33._TMKK_köt'!K73+'34._Rendelő_köt'!K73</f>
        <v>0</v>
      </c>
      <c r="L72" s="174" t="e">
        <f>'29._Hivatal_köt'!L73+'30._TIK_köt'!L73+'31._Humán_köt'!L73+'32._Óvoda_köt'!L73+'33._TMKK_köt'!L72+'34._Rendelő_köt'!L73</f>
        <v>#DIV/0!</v>
      </c>
    </row>
    <row r="73" spans="1:15" x14ac:dyDescent="0.2">
      <c r="H73" s="163" t="s">
        <v>385</v>
      </c>
    </row>
  </sheetData>
  <mergeCells count="7">
    <mergeCell ref="A9:H9"/>
    <mergeCell ref="A50:H50"/>
    <mergeCell ref="A1:H1"/>
    <mergeCell ref="A2:H2"/>
    <mergeCell ref="C4:H4"/>
    <mergeCell ref="C5:H5"/>
    <mergeCell ref="A6:H6"/>
  </mergeCells>
  <printOptions horizontalCentered="1" verticalCentered="1"/>
  <pageMargins left="0.39370078740157483" right="0.39370078740157483" top="0.39370078740157483" bottom="0.35433070866141736" header="0.31496062992125984" footer="0.31496062992125984"/>
  <pageSetup paperSize="9" scale="74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73"/>
  <sheetViews>
    <sheetView view="pageBreakPreview" zoomScale="112" zoomScaleNormal="106" zoomScaleSheetLayoutView="112" workbookViewId="0">
      <selection activeCell="A2" sqref="A2:H2"/>
    </sheetView>
  </sheetViews>
  <sheetFormatPr defaultRowHeight="12.75" x14ac:dyDescent="0.2"/>
  <cols>
    <col min="1" max="1" width="13.83203125" style="988" customWidth="1"/>
    <col min="2" max="2" width="64.6640625" style="25" customWidth="1"/>
    <col min="3" max="3" width="15.5" style="25" customWidth="1"/>
    <col min="4" max="4" width="15.83203125" style="25" customWidth="1"/>
    <col min="5" max="5" width="14.6640625" style="25" customWidth="1"/>
    <col min="6" max="7" width="16" style="25" hidden="1" customWidth="1"/>
    <col min="8" max="8" width="15.83203125" style="25" customWidth="1"/>
    <col min="9" max="9" width="24.1640625" style="25" hidden="1" customWidth="1"/>
    <col min="10" max="10" width="21.6640625" style="25" hidden="1" customWidth="1"/>
    <col min="11" max="12" width="17" style="25" hidden="1" customWidth="1"/>
    <col min="13" max="19" width="9.33203125" style="25" customWidth="1"/>
    <col min="20" max="260" width="9.33203125" style="25"/>
    <col min="261" max="261" width="13.83203125" style="25" customWidth="1"/>
    <col min="262" max="262" width="79.1640625" style="25" customWidth="1"/>
    <col min="263" max="263" width="21.6640625" style="25" customWidth="1"/>
    <col min="264" max="516" width="9.33203125" style="25"/>
    <col min="517" max="517" width="13.83203125" style="25" customWidth="1"/>
    <col min="518" max="518" width="79.1640625" style="25" customWidth="1"/>
    <col min="519" max="519" width="21.6640625" style="25" customWidth="1"/>
    <col min="520" max="772" width="9.33203125" style="25"/>
    <col min="773" max="773" width="13.83203125" style="25" customWidth="1"/>
    <col min="774" max="774" width="79.1640625" style="25" customWidth="1"/>
    <col min="775" max="775" width="21.6640625" style="25" customWidth="1"/>
    <col min="776" max="1028" width="9.33203125" style="25"/>
    <col min="1029" max="1029" width="13.83203125" style="25" customWidth="1"/>
    <col min="1030" max="1030" width="79.1640625" style="25" customWidth="1"/>
    <col min="1031" max="1031" width="21.6640625" style="25" customWidth="1"/>
    <col min="1032" max="1284" width="9.33203125" style="25"/>
    <col min="1285" max="1285" width="13.83203125" style="25" customWidth="1"/>
    <col min="1286" max="1286" width="79.1640625" style="25" customWidth="1"/>
    <col min="1287" max="1287" width="21.6640625" style="25" customWidth="1"/>
    <col min="1288" max="1540" width="9.33203125" style="25"/>
    <col min="1541" max="1541" width="13.83203125" style="25" customWidth="1"/>
    <col min="1542" max="1542" width="79.1640625" style="25" customWidth="1"/>
    <col min="1543" max="1543" width="21.6640625" style="25" customWidth="1"/>
    <col min="1544" max="1796" width="9.33203125" style="25"/>
    <col min="1797" max="1797" width="13.83203125" style="25" customWidth="1"/>
    <col min="1798" max="1798" width="79.1640625" style="25" customWidth="1"/>
    <col min="1799" max="1799" width="21.6640625" style="25" customWidth="1"/>
    <col min="1800" max="2052" width="9.33203125" style="25"/>
    <col min="2053" max="2053" width="13.83203125" style="25" customWidth="1"/>
    <col min="2054" max="2054" width="79.1640625" style="25" customWidth="1"/>
    <col min="2055" max="2055" width="21.6640625" style="25" customWidth="1"/>
    <col min="2056" max="2308" width="9.33203125" style="25"/>
    <col min="2309" max="2309" width="13.83203125" style="25" customWidth="1"/>
    <col min="2310" max="2310" width="79.1640625" style="25" customWidth="1"/>
    <col min="2311" max="2311" width="21.6640625" style="25" customWidth="1"/>
    <col min="2312" max="2564" width="9.33203125" style="25"/>
    <col min="2565" max="2565" width="13.83203125" style="25" customWidth="1"/>
    <col min="2566" max="2566" width="79.1640625" style="25" customWidth="1"/>
    <col min="2567" max="2567" width="21.6640625" style="25" customWidth="1"/>
    <col min="2568" max="2820" width="9.33203125" style="25"/>
    <col min="2821" max="2821" width="13.83203125" style="25" customWidth="1"/>
    <col min="2822" max="2822" width="79.1640625" style="25" customWidth="1"/>
    <col min="2823" max="2823" width="21.6640625" style="25" customWidth="1"/>
    <col min="2824" max="3076" width="9.33203125" style="25"/>
    <col min="3077" max="3077" width="13.83203125" style="25" customWidth="1"/>
    <col min="3078" max="3078" width="79.1640625" style="25" customWidth="1"/>
    <col min="3079" max="3079" width="21.6640625" style="25" customWidth="1"/>
    <col min="3080" max="3332" width="9.33203125" style="25"/>
    <col min="3333" max="3333" width="13.83203125" style="25" customWidth="1"/>
    <col min="3334" max="3334" width="79.1640625" style="25" customWidth="1"/>
    <col min="3335" max="3335" width="21.6640625" style="25" customWidth="1"/>
    <col min="3336" max="3588" width="9.33203125" style="25"/>
    <col min="3589" max="3589" width="13.83203125" style="25" customWidth="1"/>
    <col min="3590" max="3590" width="79.1640625" style="25" customWidth="1"/>
    <col min="3591" max="3591" width="21.6640625" style="25" customWidth="1"/>
    <col min="3592" max="3844" width="9.33203125" style="25"/>
    <col min="3845" max="3845" width="13.83203125" style="25" customWidth="1"/>
    <col min="3846" max="3846" width="79.1640625" style="25" customWidth="1"/>
    <col min="3847" max="3847" width="21.6640625" style="25" customWidth="1"/>
    <col min="3848" max="4100" width="9.33203125" style="25"/>
    <col min="4101" max="4101" width="13.83203125" style="25" customWidth="1"/>
    <col min="4102" max="4102" width="79.1640625" style="25" customWidth="1"/>
    <col min="4103" max="4103" width="21.6640625" style="25" customWidth="1"/>
    <col min="4104" max="4356" width="9.33203125" style="25"/>
    <col min="4357" max="4357" width="13.83203125" style="25" customWidth="1"/>
    <col min="4358" max="4358" width="79.1640625" style="25" customWidth="1"/>
    <col min="4359" max="4359" width="21.6640625" style="25" customWidth="1"/>
    <col min="4360" max="4612" width="9.33203125" style="25"/>
    <col min="4613" max="4613" width="13.83203125" style="25" customWidth="1"/>
    <col min="4614" max="4614" width="79.1640625" style="25" customWidth="1"/>
    <col min="4615" max="4615" width="21.6640625" style="25" customWidth="1"/>
    <col min="4616" max="4868" width="9.33203125" style="25"/>
    <col min="4869" max="4869" width="13.83203125" style="25" customWidth="1"/>
    <col min="4870" max="4870" width="79.1640625" style="25" customWidth="1"/>
    <col min="4871" max="4871" width="21.6640625" style="25" customWidth="1"/>
    <col min="4872" max="5124" width="9.33203125" style="25"/>
    <col min="5125" max="5125" width="13.83203125" style="25" customWidth="1"/>
    <col min="5126" max="5126" width="79.1640625" style="25" customWidth="1"/>
    <col min="5127" max="5127" width="21.6640625" style="25" customWidth="1"/>
    <col min="5128" max="5380" width="9.33203125" style="25"/>
    <col min="5381" max="5381" width="13.83203125" style="25" customWidth="1"/>
    <col min="5382" max="5382" width="79.1640625" style="25" customWidth="1"/>
    <col min="5383" max="5383" width="21.6640625" style="25" customWidth="1"/>
    <col min="5384" max="5636" width="9.33203125" style="25"/>
    <col min="5637" max="5637" width="13.83203125" style="25" customWidth="1"/>
    <col min="5638" max="5638" width="79.1640625" style="25" customWidth="1"/>
    <col min="5639" max="5639" width="21.6640625" style="25" customWidth="1"/>
    <col min="5640" max="5892" width="9.33203125" style="25"/>
    <col min="5893" max="5893" width="13.83203125" style="25" customWidth="1"/>
    <col min="5894" max="5894" width="79.1640625" style="25" customWidth="1"/>
    <col min="5895" max="5895" width="21.6640625" style="25" customWidth="1"/>
    <col min="5896" max="6148" width="9.33203125" style="25"/>
    <col min="6149" max="6149" width="13.83203125" style="25" customWidth="1"/>
    <col min="6150" max="6150" width="79.1640625" style="25" customWidth="1"/>
    <col min="6151" max="6151" width="21.6640625" style="25" customWidth="1"/>
    <col min="6152" max="6404" width="9.33203125" style="25"/>
    <col min="6405" max="6405" width="13.83203125" style="25" customWidth="1"/>
    <col min="6406" max="6406" width="79.1640625" style="25" customWidth="1"/>
    <col min="6407" max="6407" width="21.6640625" style="25" customWidth="1"/>
    <col min="6408" max="6660" width="9.33203125" style="25"/>
    <col min="6661" max="6661" width="13.83203125" style="25" customWidth="1"/>
    <col min="6662" max="6662" width="79.1640625" style="25" customWidth="1"/>
    <col min="6663" max="6663" width="21.6640625" style="25" customWidth="1"/>
    <col min="6664" max="6916" width="9.33203125" style="25"/>
    <col min="6917" max="6917" width="13.83203125" style="25" customWidth="1"/>
    <col min="6918" max="6918" width="79.1640625" style="25" customWidth="1"/>
    <col min="6919" max="6919" width="21.6640625" style="25" customWidth="1"/>
    <col min="6920" max="7172" width="9.33203125" style="25"/>
    <col min="7173" max="7173" width="13.83203125" style="25" customWidth="1"/>
    <col min="7174" max="7174" width="79.1640625" style="25" customWidth="1"/>
    <col min="7175" max="7175" width="21.6640625" style="25" customWidth="1"/>
    <col min="7176" max="7428" width="9.33203125" style="25"/>
    <col min="7429" max="7429" width="13.83203125" style="25" customWidth="1"/>
    <col min="7430" max="7430" width="79.1640625" style="25" customWidth="1"/>
    <col min="7431" max="7431" width="21.6640625" style="25" customWidth="1"/>
    <col min="7432" max="7684" width="9.33203125" style="25"/>
    <col min="7685" max="7685" width="13.83203125" style="25" customWidth="1"/>
    <col min="7686" max="7686" width="79.1640625" style="25" customWidth="1"/>
    <col min="7687" max="7687" width="21.6640625" style="25" customWidth="1"/>
    <col min="7688" max="7940" width="9.33203125" style="25"/>
    <col min="7941" max="7941" width="13.83203125" style="25" customWidth="1"/>
    <col min="7942" max="7942" width="79.1640625" style="25" customWidth="1"/>
    <col min="7943" max="7943" width="21.6640625" style="25" customWidth="1"/>
    <col min="7944" max="8196" width="9.33203125" style="25"/>
    <col min="8197" max="8197" width="13.83203125" style="25" customWidth="1"/>
    <col min="8198" max="8198" width="79.1640625" style="25" customWidth="1"/>
    <col min="8199" max="8199" width="21.6640625" style="25" customWidth="1"/>
    <col min="8200" max="8452" width="9.33203125" style="25"/>
    <col min="8453" max="8453" width="13.83203125" style="25" customWidth="1"/>
    <col min="8454" max="8454" width="79.1640625" style="25" customWidth="1"/>
    <col min="8455" max="8455" width="21.6640625" style="25" customWidth="1"/>
    <col min="8456" max="8708" width="9.33203125" style="25"/>
    <col min="8709" max="8709" width="13.83203125" style="25" customWidth="1"/>
    <col min="8710" max="8710" width="79.1640625" style="25" customWidth="1"/>
    <col min="8711" max="8711" width="21.6640625" style="25" customWidth="1"/>
    <col min="8712" max="8964" width="9.33203125" style="25"/>
    <col min="8965" max="8965" width="13.83203125" style="25" customWidth="1"/>
    <col min="8966" max="8966" width="79.1640625" style="25" customWidth="1"/>
    <col min="8967" max="8967" width="21.6640625" style="25" customWidth="1"/>
    <col min="8968" max="9220" width="9.33203125" style="25"/>
    <col min="9221" max="9221" width="13.83203125" style="25" customWidth="1"/>
    <col min="9222" max="9222" width="79.1640625" style="25" customWidth="1"/>
    <col min="9223" max="9223" width="21.6640625" style="25" customWidth="1"/>
    <col min="9224" max="9476" width="9.33203125" style="25"/>
    <col min="9477" max="9477" width="13.83203125" style="25" customWidth="1"/>
    <col min="9478" max="9478" width="79.1640625" style="25" customWidth="1"/>
    <col min="9479" max="9479" width="21.6640625" style="25" customWidth="1"/>
    <col min="9480" max="9732" width="9.33203125" style="25"/>
    <col min="9733" max="9733" width="13.83203125" style="25" customWidth="1"/>
    <col min="9734" max="9734" width="79.1640625" style="25" customWidth="1"/>
    <col min="9735" max="9735" width="21.6640625" style="25" customWidth="1"/>
    <col min="9736" max="9988" width="9.33203125" style="25"/>
    <col min="9989" max="9989" width="13.83203125" style="25" customWidth="1"/>
    <col min="9990" max="9990" width="79.1640625" style="25" customWidth="1"/>
    <col min="9991" max="9991" width="21.6640625" style="25" customWidth="1"/>
    <col min="9992" max="10244" width="9.33203125" style="25"/>
    <col min="10245" max="10245" width="13.83203125" style="25" customWidth="1"/>
    <col min="10246" max="10246" width="79.1640625" style="25" customWidth="1"/>
    <col min="10247" max="10247" width="21.6640625" style="25" customWidth="1"/>
    <col min="10248" max="10500" width="9.33203125" style="25"/>
    <col min="10501" max="10501" width="13.83203125" style="25" customWidth="1"/>
    <col min="10502" max="10502" width="79.1640625" style="25" customWidth="1"/>
    <col min="10503" max="10503" width="21.6640625" style="25" customWidth="1"/>
    <col min="10504" max="10756" width="9.33203125" style="25"/>
    <col min="10757" max="10757" width="13.83203125" style="25" customWidth="1"/>
    <col min="10758" max="10758" width="79.1640625" style="25" customWidth="1"/>
    <col min="10759" max="10759" width="21.6640625" style="25" customWidth="1"/>
    <col min="10760" max="11012" width="9.33203125" style="25"/>
    <col min="11013" max="11013" width="13.83203125" style="25" customWidth="1"/>
    <col min="11014" max="11014" width="79.1640625" style="25" customWidth="1"/>
    <col min="11015" max="11015" width="21.6640625" style="25" customWidth="1"/>
    <col min="11016" max="11268" width="9.33203125" style="25"/>
    <col min="11269" max="11269" width="13.83203125" style="25" customWidth="1"/>
    <col min="11270" max="11270" width="79.1640625" style="25" customWidth="1"/>
    <col min="11271" max="11271" width="21.6640625" style="25" customWidth="1"/>
    <col min="11272" max="11524" width="9.33203125" style="25"/>
    <col min="11525" max="11525" width="13.83203125" style="25" customWidth="1"/>
    <col min="11526" max="11526" width="79.1640625" style="25" customWidth="1"/>
    <col min="11527" max="11527" width="21.6640625" style="25" customWidth="1"/>
    <col min="11528" max="11780" width="9.33203125" style="25"/>
    <col min="11781" max="11781" width="13.83203125" style="25" customWidth="1"/>
    <col min="11782" max="11782" width="79.1640625" style="25" customWidth="1"/>
    <col min="11783" max="11783" width="21.6640625" style="25" customWidth="1"/>
    <col min="11784" max="12036" width="9.33203125" style="25"/>
    <col min="12037" max="12037" width="13.83203125" style="25" customWidth="1"/>
    <col min="12038" max="12038" width="79.1640625" style="25" customWidth="1"/>
    <col min="12039" max="12039" width="21.6640625" style="25" customWidth="1"/>
    <col min="12040" max="12292" width="9.33203125" style="25"/>
    <col min="12293" max="12293" width="13.83203125" style="25" customWidth="1"/>
    <col min="12294" max="12294" width="79.1640625" style="25" customWidth="1"/>
    <col min="12295" max="12295" width="21.6640625" style="25" customWidth="1"/>
    <col min="12296" max="12548" width="9.33203125" style="25"/>
    <col min="12549" max="12549" width="13.83203125" style="25" customWidth="1"/>
    <col min="12550" max="12550" width="79.1640625" style="25" customWidth="1"/>
    <col min="12551" max="12551" width="21.6640625" style="25" customWidth="1"/>
    <col min="12552" max="12804" width="9.33203125" style="25"/>
    <col min="12805" max="12805" width="13.83203125" style="25" customWidth="1"/>
    <col min="12806" max="12806" width="79.1640625" style="25" customWidth="1"/>
    <col min="12807" max="12807" width="21.6640625" style="25" customWidth="1"/>
    <col min="12808" max="13060" width="9.33203125" style="25"/>
    <col min="13061" max="13061" width="13.83203125" style="25" customWidth="1"/>
    <col min="13062" max="13062" width="79.1640625" style="25" customWidth="1"/>
    <col min="13063" max="13063" width="21.6640625" style="25" customWidth="1"/>
    <col min="13064" max="13316" width="9.33203125" style="25"/>
    <col min="13317" max="13317" width="13.83203125" style="25" customWidth="1"/>
    <col min="13318" max="13318" width="79.1640625" style="25" customWidth="1"/>
    <col min="13319" max="13319" width="21.6640625" style="25" customWidth="1"/>
    <col min="13320" max="13572" width="9.33203125" style="25"/>
    <col min="13573" max="13573" width="13.83203125" style="25" customWidth="1"/>
    <col min="13574" max="13574" width="79.1640625" style="25" customWidth="1"/>
    <col min="13575" max="13575" width="21.6640625" style="25" customWidth="1"/>
    <col min="13576" max="13828" width="9.33203125" style="25"/>
    <col min="13829" max="13829" width="13.83203125" style="25" customWidth="1"/>
    <col min="13830" max="13830" width="79.1640625" style="25" customWidth="1"/>
    <col min="13831" max="13831" width="21.6640625" style="25" customWidth="1"/>
    <col min="13832" max="14084" width="9.33203125" style="25"/>
    <col min="14085" max="14085" width="13.83203125" style="25" customWidth="1"/>
    <col min="14086" max="14086" width="79.1640625" style="25" customWidth="1"/>
    <col min="14087" max="14087" width="21.6640625" style="25" customWidth="1"/>
    <col min="14088" max="14340" width="9.33203125" style="25"/>
    <col min="14341" max="14341" width="13.83203125" style="25" customWidth="1"/>
    <col min="14342" max="14342" width="79.1640625" style="25" customWidth="1"/>
    <col min="14343" max="14343" width="21.6640625" style="25" customWidth="1"/>
    <col min="14344" max="14596" width="9.33203125" style="25"/>
    <col min="14597" max="14597" width="13.83203125" style="25" customWidth="1"/>
    <col min="14598" max="14598" width="79.1640625" style="25" customWidth="1"/>
    <col min="14599" max="14599" width="21.6640625" style="25" customWidth="1"/>
    <col min="14600" max="14852" width="9.33203125" style="25"/>
    <col min="14853" max="14853" width="13.83203125" style="25" customWidth="1"/>
    <col min="14854" max="14854" width="79.1640625" style="25" customWidth="1"/>
    <col min="14855" max="14855" width="21.6640625" style="25" customWidth="1"/>
    <col min="14856" max="15108" width="9.33203125" style="25"/>
    <col min="15109" max="15109" width="13.83203125" style="25" customWidth="1"/>
    <col min="15110" max="15110" width="79.1640625" style="25" customWidth="1"/>
    <col min="15111" max="15111" width="21.6640625" style="25" customWidth="1"/>
    <col min="15112" max="15364" width="9.33203125" style="25"/>
    <col min="15365" max="15365" width="13.83203125" style="25" customWidth="1"/>
    <col min="15366" max="15366" width="79.1640625" style="25" customWidth="1"/>
    <col min="15367" max="15367" width="21.6640625" style="25" customWidth="1"/>
    <col min="15368" max="15620" width="9.33203125" style="25"/>
    <col min="15621" max="15621" width="13.83203125" style="25" customWidth="1"/>
    <col min="15622" max="15622" width="79.1640625" style="25" customWidth="1"/>
    <col min="15623" max="15623" width="21.6640625" style="25" customWidth="1"/>
    <col min="15624" max="15876" width="9.33203125" style="25"/>
    <col min="15877" max="15877" width="13.83203125" style="25" customWidth="1"/>
    <col min="15878" max="15878" width="79.1640625" style="25" customWidth="1"/>
    <col min="15879" max="15879" width="21.6640625" style="25" customWidth="1"/>
    <col min="15880" max="16132" width="9.33203125" style="25"/>
    <col min="16133" max="16133" width="13.83203125" style="25" customWidth="1"/>
    <col min="16134" max="16134" width="79.1640625" style="25" customWidth="1"/>
    <col min="16135" max="16135" width="21.6640625" style="25" customWidth="1"/>
    <col min="16136" max="16384" width="9.33203125" style="25"/>
  </cols>
  <sheetData>
    <row r="1" spans="1:12" s="535" customFormat="1" ht="12.75" customHeight="1" x14ac:dyDescent="0.2">
      <c r="A1" s="1774" t="s">
        <v>805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726</v>
      </c>
      <c r="B2" s="1774"/>
      <c r="C2" s="1774"/>
      <c r="D2" s="1774"/>
      <c r="E2" s="1774"/>
      <c r="F2" s="1774"/>
      <c r="G2" s="1774"/>
      <c r="H2" s="1774"/>
    </row>
    <row r="3" spans="1:12" s="24" customFormat="1" ht="15" customHeight="1" thickBot="1" x14ac:dyDescent="0.25">
      <c r="A3" s="170"/>
      <c r="C3" s="982"/>
      <c r="D3" s="982"/>
      <c r="E3" s="982"/>
      <c r="F3" s="982"/>
      <c r="G3" s="982"/>
      <c r="H3" s="982"/>
    </row>
    <row r="4" spans="1:12" s="38" customFormat="1" ht="38.25" customHeight="1" x14ac:dyDescent="0.2">
      <c r="A4" s="36" t="s">
        <v>137</v>
      </c>
      <c r="B4" s="37" t="s">
        <v>130</v>
      </c>
      <c r="C4" s="1806" t="s">
        <v>187</v>
      </c>
      <c r="D4" s="1807"/>
      <c r="E4" s="1807"/>
      <c r="F4" s="1807"/>
      <c r="G4" s="1807"/>
      <c r="H4" s="1808"/>
      <c r="I4" s="295"/>
      <c r="J4" s="295"/>
      <c r="K4" s="517"/>
      <c r="L4" s="517"/>
    </row>
    <row r="5" spans="1:12" s="38" customFormat="1" ht="28.5" customHeight="1" thickBot="1" x14ac:dyDescent="0.25">
      <c r="A5" s="39" t="s">
        <v>139</v>
      </c>
      <c r="B5" s="40" t="s">
        <v>403</v>
      </c>
      <c r="C5" s="1926" t="s">
        <v>141</v>
      </c>
      <c r="D5" s="1927"/>
      <c r="E5" s="1927"/>
      <c r="F5" s="1927"/>
      <c r="G5" s="1927"/>
      <c r="H5" s="1928"/>
      <c r="I5" s="296"/>
      <c r="J5" s="296"/>
      <c r="K5" s="518"/>
      <c r="L5" s="518"/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5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91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82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100228177</v>
      </c>
      <c r="D10" s="127">
        <f t="shared" ref="D10:K10" si="0">SUM(D11:D21)</f>
        <v>100228177</v>
      </c>
      <c r="E10" s="582">
        <f t="shared" si="0"/>
        <v>100228177</v>
      </c>
      <c r="F10" s="582">
        <f t="shared" si="0"/>
        <v>0</v>
      </c>
      <c r="G10" s="582">
        <f t="shared" si="0"/>
        <v>0</v>
      </c>
      <c r="H10" s="48">
        <f>+E10-D10</f>
        <v>0</v>
      </c>
      <c r="I10" s="1306">
        <f t="shared" si="0"/>
        <v>0</v>
      </c>
      <c r="J10" s="276">
        <f t="shared" si="0"/>
        <v>0</v>
      </c>
      <c r="K10" s="276">
        <f t="shared" si="0"/>
        <v>0</v>
      </c>
      <c r="L10" s="276">
        <f>'29._Hivatal_önként'!L10+'30._TIK_önként'!L10+'31._Humán_önként'!L10+'32._Óvoda_önként'!L10+'33._TMKK_önként'!L10+'34._Rendelő_önként'!L10</f>
        <v>0</v>
      </c>
    </row>
    <row r="11" spans="1:12" s="26" customFormat="1" ht="12.2" customHeight="1" x14ac:dyDescent="0.2">
      <c r="A11" s="49" t="s">
        <v>91</v>
      </c>
      <c r="B11" s="50" t="s">
        <v>143</v>
      </c>
      <c r="C11" s="128">
        <f>'29._Hivatal_önként'!C11+'30._TIK_önként'!C11+'31._Humán_önként'!C11+'32._Óvoda_önként'!C11+'33._TMKK_önként'!C11+'34._Rendelő_önként'!C11</f>
        <v>0</v>
      </c>
      <c r="D11" s="192">
        <f>'29._Hivatal_önként'!D11+'30._TIK_önként'!D11+'31._Humán_önként'!D11+'32._Óvoda_önként'!D11+'33._TMKK_önként'!D11+'34._Rendelő_önként'!D11</f>
        <v>0</v>
      </c>
      <c r="E11" s="583">
        <f>'29._Hivatal_önként'!E11+'30._TIK_önként'!E11+'31._Humán_önként'!E11+'32._Óvoda_önként'!E11+'33._TMKK_önként'!E11+'34._Rendelő_önként'!E11</f>
        <v>0</v>
      </c>
      <c r="F11" s="583">
        <f>'29._Hivatal_önként'!F11+'30._TIK_önként'!F11+'31._Humán_önként'!F11+'32._Óvoda_önként'!F11+'33._TMKK_önként'!F11+'34._Rendelő_önként'!F11</f>
        <v>0</v>
      </c>
      <c r="G11" s="583">
        <f>'29._Hivatal_önként'!G11+'30._TIK_önként'!G11+'31._Humán_önként'!G11+'32._Óvoda_önként'!G11+'33._TMKK_önként'!G11+'34._Rendelő_önként'!G11</f>
        <v>0</v>
      </c>
      <c r="H11" s="540">
        <f t="shared" ref="H11:H48" si="1">+E11-D11</f>
        <v>0</v>
      </c>
      <c r="I11" s="1307">
        <f>'29._Hivatal_önként'!I11+'30._TIK_önként'!I11+'31._Humán_önként'!I11+'32._Óvoda_önként'!I11+'33._TMKK_önként'!I11+'34._Rendelő_önként'!I11</f>
        <v>0</v>
      </c>
      <c r="J11" s="277">
        <f>'29._Hivatal_önként'!J11+'30._TIK_önként'!J11+'31._Humán_önként'!J11+'32._Óvoda_önként'!J11+'33._TMKK_önként'!J11+'34._Rendelő_önként'!J11</f>
        <v>0</v>
      </c>
      <c r="K11" s="277">
        <f>'29._Hivatal_önként'!K11+'30._TIK_önként'!K11+'31._Humán_önként'!K11+'32._Óvoda_önként'!K11+'33._TMKK_önként'!K11+'34._Rendelő_önként'!K11</f>
        <v>0</v>
      </c>
      <c r="L11" s="277">
        <f>'29._Hivatal_önként'!L11+'30._TIK_önként'!L11+'31._Humán_önként'!L11+'32._Óvoda_önként'!L11+'33._TMKK_önként'!L11+'34._Rendelő_önként'!L11</f>
        <v>0</v>
      </c>
    </row>
    <row r="12" spans="1:12" s="26" customFormat="1" ht="12.2" customHeight="1" x14ac:dyDescent="0.2">
      <c r="A12" s="1037" t="s">
        <v>92</v>
      </c>
      <c r="B12" s="330" t="s">
        <v>144</v>
      </c>
      <c r="C12" s="331">
        <f>'29._Hivatal_önként'!C12+'30._TIK_önként'!C12+'31._Humán_önként'!C12+'32._Óvoda_önként'!C12+'33._TMKK_önként'!C12+'34._Rendelő_önként'!C12</f>
        <v>33541063</v>
      </c>
      <c r="D12" s="340">
        <f>'29._Hivatal_önként'!D12+'30._TIK_önként'!D12+'31._Humán_önként'!D12+'32._Óvoda_önként'!D12+'33._TMKK_önként'!D12+'34._Rendelő_önként'!D12</f>
        <v>33541063</v>
      </c>
      <c r="E12" s="88">
        <f>'29._Hivatal_önként'!E12+'30._TIK_önként'!E12+'31._Humán_önként'!E12+'32._Óvoda_önként'!E12+'33._TMKK_önként'!E12+'34._Rendelő_önként'!E12</f>
        <v>33541063</v>
      </c>
      <c r="F12" s="88">
        <f>'29._Hivatal_önként'!F12+'30._TIK_önként'!F12+'31._Humán_önként'!F12+'32._Óvoda_önként'!F12+'33._TMKK_önként'!F12+'34._Rendelő_önként'!F12</f>
        <v>0</v>
      </c>
      <c r="G12" s="88">
        <f>'29._Hivatal_önként'!G12+'30._TIK_önként'!G12+'31._Humán_önként'!G12+'32._Óvoda_önként'!G12+'33._TMKK_önként'!G12+'34._Rendelő_önként'!G12</f>
        <v>0</v>
      </c>
      <c r="H12" s="541">
        <f t="shared" si="1"/>
        <v>0</v>
      </c>
      <c r="I12" s="1308">
        <f>'29._Hivatal_önként'!I12+'30._TIK_önként'!I12+'31._Humán_önként'!I12+'32._Óvoda_önként'!I12+'33._TMKK_önként'!I12+'34._Rendelő_önként'!I12</f>
        <v>0</v>
      </c>
      <c r="J12" s="278">
        <f>'29._Hivatal_önként'!J12+'30._TIK_önként'!J12+'31._Humán_önként'!J12+'32._Óvoda_önként'!J12+'33._TMKK_önként'!J12+'34._Rendelő_önként'!J12</f>
        <v>0</v>
      </c>
      <c r="K12" s="278">
        <f>'29._Hivatal_önként'!K12+'30._TIK_önként'!K12+'31._Humán_önként'!K12+'32._Óvoda_önként'!K12+'33._TMKK_önként'!K12+'34._Rendelő_önként'!K12</f>
        <v>0</v>
      </c>
      <c r="L12" s="278">
        <f>'29._Hivatal_önként'!L12+'30._TIK_önként'!L12+'31._Humán_önként'!L12+'32._Óvoda_önként'!L12+'33._TMKK_önként'!L12+'34._Rendelő_önként'!L12</f>
        <v>0</v>
      </c>
    </row>
    <row r="13" spans="1:12" s="26" customFormat="1" ht="12.2" customHeight="1" x14ac:dyDescent="0.2">
      <c r="A13" s="1037" t="s">
        <v>93</v>
      </c>
      <c r="B13" s="330" t="s">
        <v>145</v>
      </c>
      <c r="C13" s="331">
        <f>'29._Hivatal_önként'!C13+'30._TIK_önként'!C13+'31._Humán_önként'!C13+'32._Óvoda_önként'!C13+'33._TMKK_önként'!C13+'34._Rendelő_önként'!C13</f>
        <v>58164</v>
      </c>
      <c r="D13" s="340">
        <f>'29._Hivatal_önként'!D13+'30._TIK_önként'!D13+'31._Humán_önként'!D13+'32._Óvoda_önként'!D13+'33._TMKK_önként'!D13+'34._Rendelő_önként'!D13</f>
        <v>58164</v>
      </c>
      <c r="E13" s="88">
        <f>'29._Hivatal_önként'!E13+'30._TIK_önként'!E13+'31._Humán_önként'!E13+'32._Óvoda_önként'!E13+'33._TMKK_önként'!E13+'34._Rendelő_önként'!E13</f>
        <v>58164</v>
      </c>
      <c r="F13" s="88">
        <f>'29._Hivatal_önként'!F13+'30._TIK_önként'!F13+'31._Humán_önként'!F13+'32._Óvoda_önként'!F13+'33._TMKK_önként'!F13+'34._Rendelő_önként'!F13</f>
        <v>0</v>
      </c>
      <c r="G13" s="88">
        <f>'29._Hivatal_önként'!G13+'30._TIK_önként'!G13+'31._Humán_önként'!G13+'32._Óvoda_önként'!G13+'33._TMKK_önként'!G13+'34._Rendelő_önként'!G13</f>
        <v>0</v>
      </c>
      <c r="H13" s="541">
        <f t="shared" si="1"/>
        <v>0</v>
      </c>
      <c r="I13" s="1308">
        <f>'29._Hivatal_önként'!I13+'30._TIK_önként'!I13+'31._Humán_önként'!I13+'32._Óvoda_önként'!I13+'33._TMKK_önként'!I13+'34._Rendelő_önként'!I13</f>
        <v>0</v>
      </c>
      <c r="J13" s="278">
        <f>'29._Hivatal_önként'!J13+'30._TIK_önként'!J13+'31._Humán_önként'!J13+'32._Óvoda_önként'!J13+'33._TMKK_önként'!J13+'34._Rendelő_önként'!J13</f>
        <v>0</v>
      </c>
      <c r="K13" s="278">
        <f>'29._Hivatal_önként'!K13+'30._TIK_önként'!K13+'31._Humán_önként'!K13+'32._Óvoda_önként'!K13+'33._TMKK_önként'!K13+'34._Rendelő_önként'!K13</f>
        <v>0</v>
      </c>
      <c r="L13" s="278">
        <f>'29._Hivatal_önként'!L13+'30._TIK_önként'!L13+'31._Humán_önként'!L13+'32._Óvoda_önként'!L13+'33._TMKK_önként'!L13+'34._Rendelő_önként'!L13</f>
        <v>0</v>
      </c>
    </row>
    <row r="14" spans="1:12" s="26" customFormat="1" ht="12.2" customHeight="1" x14ac:dyDescent="0.2">
      <c r="A14" s="1037" t="s">
        <v>90</v>
      </c>
      <c r="B14" s="330" t="s">
        <v>146</v>
      </c>
      <c r="C14" s="331">
        <f>'29._Hivatal_önként'!C14+'30._TIK_önként'!C14+'31._Humán_önként'!C14+'32._Óvoda_önként'!C14+'33._TMKK_önként'!C14+'34._Rendelő_önként'!C14</f>
        <v>0</v>
      </c>
      <c r="D14" s="340">
        <f>'29._Hivatal_önként'!D14+'30._TIK_önként'!D14+'31._Humán_önként'!D14+'32._Óvoda_önként'!D14+'33._TMKK_önként'!D14+'34._Rendelő_önként'!D14</f>
        <v>0</v>
      </c>
      <c r="E14" s="88">
        <f>'29._Hivatal_önként'!E14+'30._TIK_önként'!E14+'31._Humán_önként'!E14+'32._Óvoda_önként'!E14+'33._TMKK_önként'!E14+'34._Rendelő_önként'!E14</f>
        <v>0</v>
      </c>
      <c r="F14" s="88">
        <f>'29._Hivatal_önként'!F14+'30._TIK_önként'!F14+'31._Humán_önként'!F14+'32._Óvoda_önként'!F14+'33._TMKK_önként'!F14+'34._Rendelő_önként'!F14</f>
        <v>0</v>
      </c>
      <c r="G14" s="88">
        <f>'29._Hivatal_önként'!G14+'30._TIK_önként'!G14+'31._Humán_önként'!G14+'32._Óvoda_önként'!G14+'33._TMKK_önként'!G14+'34._Rendelő_önként'!G14</f>
        <v>0</v>
      </c>
      <c r="H14" s="541">
        <f t="shared" si="1"/>
        <v>0</v>
      </c>
      <c r="I14" s="1308">
        <f>'29._Hivatal_önként'!I14+'30._TIK_önként'!I14+'31._Humán_önként'!I14+'32._Óvoda_önként'!I14+'33._TMKK_önként'!I14+'34._Rendelő_önként'!I14</f>
        <v>0</v>
      </c>
      <c r="J14" s="278">
        <f>'29._Hivatal_önként'!J14+'30._TIK_önként'!J14+'31._Humán_önként'!J14+'32._Óvoda_önként'!J14+'33._TMKK_önként'!J14+'34._Rendelő_önként'!J14</f>
        <v>0</v>
      </c>
      <c r="K14" s="278">
        <f>'29._Hivatal_önként'!K14+'30._TIK_önként'!K14+'31._Humán_önként'!K14+'32._Óvoda_önként'!K14+'33._TMKK_önként'!K14+'34._Rendelő_önként'!K14</f>
        <v>0</v>
      </c>
      <c r="L14" s="278">
        <f>'29._Hivatal_önként'!L14+'30._TIK_önként'!L14+'31._Humán_önként'!L14+'32._Óvoda_önként'!L14+'33._TMKK_önként'!L14+'34._Rendelő_önként'!L14</f>
        <v>0</v>
      </c>
    </row>
    <row r="15" spans="1:12" s="26" customFormat="1" ht="12.2" customHeight="1" x14ac:dyDescent="0.2">
      <c r="A15" s="1037" t="s">
        <v>147</v>
      </c>
      <c r="B15" s="330" t="s">
        <v>148</v>
      </c>
      <c r="C15" s="331">
        <f>'29._Hivatal_önként'!C15+'30._TIK_önként'!C15+'31._Humán_önként'!C15+'32._Óvoda_önként'!C15+'33._TMKK_önként'!C15+'34._Rendelő_önként'!C15</f>
        <v>55034080</v>
      </c>
      <c r="D15" s="340">
        <f>'29._Hivatal_önként'!D15+'30._TIK_önként'!D15+'31._Humán_önként'!D15+'32._Óvoda_önként'!D15+'33._TMKK_önként'!D15+'34._Rendelő_önként'!D15</f>
        <v>55034080</v>
      </c>
      <c r="E15" s="88">
        <f>'29._Hivatal_önként'!E15+'30._TIK_önként'!E15+'31._Humán_önként'!E15+'32._Óvoda_önként'!E15+'33._TMKK_önként'!E15+'34._Rendelő_önként'!E15</f>
        <v>55034080</v>
      </c>
      <c r="F15" s="88">
        <f>'29._Hivatal_önként'!F15+'30._TIK_önként'!F15+'31._Humán_önként'!F15+'32._Óvoda_önként'!F15+'33._TMKK_önként'!F15+'34._Rendelő_önként'!F15</f>
        <v>0</v>
      </c>
      <c r="G15" s="88">
        <f>'29._Hivatal_önként'!G15+'30._TIK_önként'!G15+'31._Humán_önként'!G15+'32._Óvoda_önként'!G15+'33._TMKK_önként'!G15+'34._Rendelő_önként'!G15</f>
        <v>0</v>
      </c>
      <c r="H15" s="541">
        <f t="shared" si="1"/>
        <v>0</v>
      </c>
      <c r="I15" s="1308">
        <f>'29._Hivatal_önként'!I15+'30._TIK_önként'!I15+'31._Humán_önként'!I15+'32._Óvoda_önként'!I15+'33._TMKK_önként'!I15+'34._Rendelő_önként'!I15</f>
        <v>0</v>
      </c>
      <c r="J15" s="278">
        <f>'29._Hivatal_önként'!J15+'30._TIK_önként'!J15+'31._Humán_önként'!J15+'32._Óvoda_önként'!J15+'33._TMKK_önként'!J15+'34._Rendelő_önként'!J15</f>
        <v>0</v>
      </c>
      <c r="K15" s="278">
        <f>'29._Hivatal_önként'!K15+'30._TIK_önként'!K15+'31._Humán_önként'!K15+'32._Óvoda_önként'!K15+'33._TMKK_önként'!K15+'34._Rendelő_önként'!K15</f>
        <v>0</v>
      </c>
      <c r="L15" s="278">
        <f>'29._Hivatal_önként'!L15+'30._TIK_önként'!L15+'31._Humán_önként'!L15+'32._Óvoda_önként'!L15+'33._TMKK_önként'!L15+'34._Rendelő_önként'!L15</f>
        <v>0</v>
      </c>
    </row>
    <row r="16" spans="1:12" s="26" customFormat="1" ht="12.2" customHeight="1" x14ac:dyDescent="0.2">
      <c r="A16" s="1037" t="s">
        <v>149</v>
      </c>
      <c r="B16" s="330" t="s">
        <v>150</v>
      </c>
      <c r="C16" s="331">
        <f>'29._Hivatal_önként'!C16+'30._TIK_önként'!C16+'31._Humán_önként'!C16+'32._Óvoda_önként'!C16+'33._TMKK_önként'!C16+'34._Rendelő_önként'!C16</f>
        <v>1228400</v>
      </c>
      <c r="D16" s="340">
        <f>'29._Hivatal_önként'!D16+'30._TIK_önként'!D16+'31._Humán_önként'!D16+'32._Óvoda_önként'!D16+'33._TMKK_önként'!D16+'34._Rendelő_önként'!D16</f>
        <v>1228400</v>
      </c>
      <c r="E16" s="88">
        <f>'29._Hivatal_önként'!E16+'30._TIK_önként'!E16+'31._Humán_önként'!E16+'32._Óvoda_önként'!E16+'33._TMKK_önként'!E16+'34._Rendelő_önként'!E16</f>
        <v>1228400</v>
      </c>
      <c r="F16" s="88">
        <f>'29._Hivatal_önként'!F16+'30._TIK_önként'!F16+'31._Humán_önként'!F16+'32._Óvoda_önként'!F16+'33._TMKK_önként'!F16+'34._Rendelő_önként'!F16</f>
        <v>0</v>
      </c>
      <c r="G16" s="88">
        <f>'29._Hivatal_önként'!G16+'30._TIK_önként'!G16+'31._Humán_önként'!G16+'32._Óvoda_önként'!G16+'33._TMKK_önként'!G16+'34._Rendelő_önként'!G16</f>
        <v>0</v>
      </c>
      <c r="H16" s="541">
        <f t="shared" si="1"/>
        <v>0</v>
      </c>
      <c r="I16" s="1308">
        <f>'29._Hivatal_önként'!I16+'30._TIK_önként'!I16+'31._Humán_önként'!I16+'32._Óvoda_önként'!I16+'33._TMKK_önként'!I16+'34._Rendelő_önként'!I16</f>
        <v>0</v>
      </c>
      <c r="J16" s="278">
        <f>'29._Hivatal_önként'!J16+'30._TIK_önként'!J16+'31._Humán_önként'!J16+'32._Óvoda_önként'!J16+'33._TMKK_önként'!J16+'34._Rendelő_önként'!J16</f>
        <v>0</v>
      </c>
      <c r="K16" s="278">
        <f>'29._Hivatal_önként'!K16+'30._TIK_önként'!K16+'31._Humán_önként'!K16+'32._Óvoda_önként'!K16+'33._TMKK_önként'!K16+'34._Rendelő_önként'!K16</f>
        <v>0</v>
      </c>
      <c r="L16" s="278">
        <f>'29._Hivatal_önként'!L16+'30._TIK_önként'!L16+'31._Humán_önként'!L16+'32._Óvoda_önként'!L16+'33._TMKK_önként'!L16+'34._Rendelő_önként'!L16</f>
        <v>0</v>
      </c>
    </row>
    <row r="17" spans="1:12" s="26" customFormat="1" ht="12.2" customHeight="1" x14ac:dyDescent="0.2">
      <c r="A17" s="1037" t="s">
        <v>151</v>
      </c>
      <c r="B17" s="52" t="s">
        <v>152</v>
      </c>
      <c r="C17" s="331">
        <f>'29._Hivatal_önként'!C17+'30._TIK_önként'!C17+'31._Humán_önként'!C17+'32._Óvoda_önként'!C17+'33._TMKK_önként'!C17+'34._Rendelő_önként'!C17</f>
        <v>0</v>
      </c>
      <c r="D17" s="340">
        <f>'29._Hivatal_önként'!D17+'30._TIK_önként'!D17+'31._Humán_önként'!D17+'32._Óvoda_önként'!D17+'33._TMKK_önként'!D17+'34._Rendelő_önként'!D17</f>
        <v>0</v>
      </c>
      <c r="E17" s="88">
        <f>'29._Hivatal_önként'!E17+'30._TIK_önként'!E17+'31._Humán_önként'!E17+'32._Óvoda_önként'!E17+'33._TMKK_önként'!E17+'34._Rendelő_önként'!E17</f>
        <v>0</v>
      </c>
      <c r="F17" s="88">
        <f>'29._Hivatal_önként'!F17+'30._TIK_önként'!F17+'31._Humán_önként'!F17+'32._Óvoda_önként'!F17+'33._TMKK_önként'!F17+'34._Rendelő_önként'!F17</f>
        <v>0</v>
      </c>
      <c r="G17" s="88">
        <f>'29._Hivatal_önként'!G17+'30._TIK_önként'!G17+'31._Humán_önként'!G17+'32._Óvoda_önként'!G17+'33._TMKK_önként'!G17+'34._Rendelő_önként'!G17</f>
        <v>0</v>
      </c>
      <c r="H17" s="541">
        <f t="shared" si="1"/>
        <v>0</v>
      </c>
      <c r="I17" s="1308">
        <f>'29._Hivatal_önként'!I17+'30._TIK_önként'!I17+'31._Humán_önként'!I17+'32._Óvoda_önként'!I17+'33._TMKK_önként'!I17+'34._Rendelő_önként'!I17</f>
        <v>0</v>
      </c>
      <c r="J17" s="278">
        <f>'29._Hivatal_önként'!J17+'30._TIK_önként'!J17+'31._Humán_önként'!J17+'32._Óvoda_önként'!J17+'33._TMKK_önként'!J17+'34._Rendelő_önként'!J17</f>
        <v>0</v>
      </c>
      <c r="K17" s="278">
        <f>'29._Hivatal_önként'!K17+'30._TIK_önként'!K17+'31._Humán_önként'!K17+'32._Óvoda_önként'!K17+'33._TMKK_önként'!K17+'34._Rendelő_önként'!K17</f>
        <v>0</v>
      </c>
      <c r="L17" s="278">
        <f>'29._Hivatal_önként'!L17+'30._TIK_önként'!L17+'31._Humán_önként'!L17+'32._Óvoda_önként'!L17+'33._TMKK_önként'!L17+'34._Rendelő_önként'!L17</f>
        <v>0</v>
      </c>
    </row>
    <row r="18" spans="1:12" s="26" customFormat="1" ht="12.2" customHeight="1" x14ac:dyDescent="0.2">
      <c r="A18" s="1037" t="s">
        <v>153</v>
      </c>
      <c r="B18" s="345" t="s">
        <v>302</v>
      </c>
      <c r="C18" s="121">
        <f>'29._Hivatal_önként'!C18+'30._TIK_önként'!C18+'31._Humán_önként'!C18+'32._Óvoda_önként'!C18+'33._TMKK_önként'!C18+'34._Rendelő_önként'!C18</f>
        <v>0</v>
      </c>
      <c r="D18" s="188">
        <f>'29._Hivatal_önként'!D18+'30._TIK_önként'!D18+'31._Humán_önként'!D18+'32._Óvoda_önként'!D18+'33._TMKK_önként'!D18+'34._Rendelő_önként'!D18</f>
        <v>0</v>
      </c>
      <c r="E18" s="90">
        <f>'29._Hivatal_önként'!E18+'30._TIK_önként'!E18+'31._Humán_önként'!E18+'32._Óvoda_önként'!E18+'33._TMKK_önként'!E18+'34._Rendelő_önként'!E18</f>
        <v>0</v>
      </c>
      <c r="F18" s="90">
        <f>'29._Hivatal_önként'!F18+'30._TIK_önként'!F18+'31._Humán_önként'!F18+'32._Óvoda_önként'!F18+'33._TMKK_önként'!F18+'34._Rendelő_önként'!F18</f>
        <v>0</v>
      </c>
      <c r="G18" s="90">
        <f>'29._Hivatal_önként'!G18+'30._TIK_önként'!G18+'31._Humán_önként'!G18+'32._Óvoda_önként'!G18+'33._TMKK_önként'!G18+'34._Rendelő_önként'!G18</f>
        <v>0</v>
      </c>
      <c r="H18" s="542">
        <f t="shared" si="1"/>
        <v>0</v>
      </c>
      <c r="I18" s="1309">
        <f>'29._Hivatal_önként'!I18+'30._TIK_önként'!I18+'31._Humán_önként'!I18+'32._Óvoda_önként'!I18+'33._TMKK_önként'!I18+'34._Rendelő_önként'!I18</f>
        <v>0</v>
      </c>
      <c r="J18" s="279">
        <f>'29._Hivatal_önként'!J18+'30._TIK_önként'!J18+'31._Humán_önként'!J18+'32._Óvoda_önként'!J18+'33._TMKK_önként'!J18+'34._Rendelő_önként'!J18</f>
        <v>0</v>
      </c>
      <c r="K18" s="279">
        <f>'29._Hivatal_önként'!K18+'30._TIK_önként'!K18+'31._Humán_önként'!K18+'32._Óvoda_önként'!K18+'33._TMKK_önként'!K18+'34._Rendelő_önként'!K18</f>
        <v>0</v>
      </c>
      <c r="L18" s="279">
        <f>'29._Hivatal_önként'!L18+'30._TIK_önként'!L18+'31._Humán_önként'!L18+'32._Óvoda_önként'!L18+'33._TMKK_önként'!L18+'34._Rendelő_önként'!L18</f>
        <v>0</v>
      </c>
    </row>
    <row r="19" spans="1:12" s="54" customFormat="1" ht="12.2" customHeight="1" x14ac:dyDescent="0.2">
      <c r="A19" s="1037" t="s">
        <v>154</v>
      </c>
      <c r="B19" s="330" t="s">
        <v>155</v>
      </c>
      <c r="C19" s="331">
        <f>'29._Hivatal_önként'!C19+'30._TIK_önként'!C19+'31._Humán_önként'!C19+'32._Óvoda_önként'!C19+'33._TMKK_önként'!C19+'34._Rendelő_önként'!C19</f>
        <v>0</v>
      </c>
      <c r="D19" s="340">
        <f>'29._Hivatal_önként'!D19+'30._TIK_önként'!D19+'31._Humán_önként'!D19+'32._Óvoda_önként'!D19+'33._TMKK_önként'!D19+'34._Rendelő_önként'!D19</f>
        <v>0</v>
      </c>
      <c r="E19" s="88">
        <f>'29._Hivatal_önként'!E19+'30._TIK_önként'!E19+'31._Humán_önként'!E19+'32._Óvoda_önként'!E19+'33._TMKK_önként'!E19+'34._Rendelő_önként'!E19</f>
        <v>0</v>
      </c>
      <c r="F19" s="88">
        <f>'29._Hivatal_önként'!F19+'30._TIK_önként'!F19+'31._Humán_önként'!F19+'32._Óvoda_önként'!F19+'33._TMKK_önként'!F19+'34._Rendelő_önként'!F19</f>
        <v>0</v>
      </c>
      <c r="G19" s="88">
        <f>'29._Hivatal_önként'!G19+'30._TIK_önként'!G19+'31._Humán_önként'!G19+'32._Óvoda_önként'!G19+'33._TMKK_önként'!G19+'34._Rendelő_önként'!G19</f>
        <v>0</v>
      </c>
      <c r="H19" s="541">
        <f t="shared" si="1"/>
        <v>0</v>
      </c>
      <c r="I19" s="1308">
        <f>'29._Hivatal_önként'!I19+'30._TIK_önként'!I19+'31._Humán_önként'!I19+'32._Óvoda_önként'!I19+'33._TMKK_önként'!I19+'34._Rendelő_önként'!I19</f>
        <v>0</v>
      </c>
      <c r="J19" s="278">
        <f>'29._Hivatal_önként'!J19+'30._TIK_önként'!J19+'31._Humán_önként'!J19+'32._Óvoda_önként'!J19+'33._TMKK_önként'!J19+'34._Rendelő_önként'!J19</f>
        <v>0</v>
      </c>
      <c r="K19" s="278">
        <f>'29._Hivatal_önként'!K19+'30._TIK_önként'!K19+'31._Humán_önként'!K19+'32._Óvoda_önként'!K19+'33._TMKK_önként'!K19+'34._Rendelő_önként'!K19</f>
        <v>0</v>
      </c>
      <c r="L19" s="278">
        <f>'29._Hivatal_önként'!L19+'30._TIK_önként'!L19+'31._Humán_önként'!L19+'32._Óvoda_önként'!L19+'33._TMKK_önként'!L19+'34._Rendelő_önként'!L19</f>
        <v>0</v>
      </c>
    </row>
    <row r="20" spans="1:12" s="54" customFormat="1" ht="12.2" customHeight="1" x14ac:dyDescent="0.2">
      <c r="A20" s="1037" t="s">
        <v>156</v>
      </c>
      <c r="B20" s="345" t="s">
        <v>275</v>
      </c>
      <c r="C20" s="333">
        <f>'29._Hivatal_önként'!C20+'30._TIK_önként'!C20+'31._Humán_önként'!C20+'32._Óvoda_önként'!C20+'33._TMKK_önként'!C20+'34._Rendelő_önként'!C20</f>
        <v>0</v>
      </c>
      <c r="D20" s="341">
        <f>'29._Hivatal_önként'!D20+'30._TIK_önként'!D20+'31._Humán_önként'!D20+'32._Óvoda_önként'!D20+'33._TMKK_önként'!D20+'34._Rendelő_önként'!D20</f>
        <v>0</v>
      </c>
      <c r="E20" s="88">
        <f>'29._Hivatal_önként'!E20+'30._TIK_önként'!E20+'31._Humán_önként'!E20+'32._Óvoda_önként'!E20+'33._TMKK_önként'!E20+'34._Rendelő_önként'!E20</f>
        <v>0</v>
      </c>
      <c r="F20" s="88">
        <f>'29._Hivatal_önként'!F20+'30._TIK_önként'!F20+'31._Humán_önként'!F20+'32._Óvoda_önként'!F20+'33._TMKK_önként'!F20+'34._Rendelő_önként'!F20</f>
        <v>0</v>
      </c>
      <c r="G20" s="331">
        <f>'29._Hivatal_önként'!G20+'30._TIK_önként'!G20+'31._Humán_önként'!G20+'32._Óvoda_önként'!G20+'33._TMKK_önként'!G20+'34._Rendelő_önként'!G20</f>
        <v>0</v>
      </c>
      <c r="H20" s="543">
        <f t="shared" si="1"/>
        <v>0</v>
      </c>
      <c r="I20" s="1310">
        <f>'29._Hivatal_önként'!I20+'30._TIK_önként'!I20+'31._Humán_önként'!I20+'32._Óvoda_önként'!I20+'33._TMKK_önként'!I20+'34._Rendelő_önként'!I20</f>
        <v>0</v>
      </c>
      <c r="J20" s="280">
        <f>'29._Hivatal_önként'!J20+'30._TIK_önként'!J20+'31._Humán_önként'!J20+'32._Óvoda_önként'!J20+'33._TMKK_önként'!J20+'34._Rendelő_önként'!J20</f>
        <v>0</v>
      </c>
      <c r="K20" s="280">
        <f>'29._Hivatal_önként'!K20+'30._TIK_önként'!K20+'31._Humán_önként'!K20+'32._Óvoda_önként'!K20+'33._TMKK_önként'!K20+'34._Rendelő_önként'!K20</f>
        <v>0</v>
      </c>
      <c r="L20" s="280">
        <f>'29._Hivatal_önként'!L20+'30._TIK_önként'!L20+'31._Humán_önként'!L20+'32._Óvoda_önként'!L20+'33._TMKK_önként'!L20+'34._Rendelő_önként'!L20</f>
        <v>0</v>
      </c>
    </row>
    <row r="21" spans="1:12" s="54" customFormat="1" ht="12.2" customHeight="1" thickBot="1" x14ac:dyDescent="0.25">
      <c r="A21" s="1037" t="s">
        <v>276</v>
      </c>
      <c r="B21" s="52" t="s">
        <v>157</v>
      </c>
      <c r="C21" s="333">
        <f>'29._Hivatal_önként'!C21+'30._TIK_önként'!C21+'31._Humán_önként'!C21+'32._Óvoda_önként'!C21+'33._TMKK_önként'!C21+'34._Rendelő_önként'!C21</f>
        <v>10366470</v>
      </c>
      <c r="D21" s="341">
        <f>'29._Hivatal_önként'!D21+'30._TIK_önként'!D21+'31._Humán_önként'!D21+'32._Óvoda_önként'!D21+'33._TMKK_önként'!D21+'34._Rendelő_önként'!D21</f>
        <v>10366470</v>
      </c>
      <c r="E21" s="90">
        <f>'29._Hivatal_önként'!E21+'30._TIK_önként'!E21+'31._Humán_önként'!E21+'32._Óvoda_önként'!E21+'33._TMKK_önként'!E21+'34._Rendelő_önként'!E21</f>
        <v>10366470</v>
      </c>
      <c r="F21" s="90">
        <f>'29._Hivatal_önként'!F21+'30._TIK_önként'!F21+'31._Humán_önként'!F21+'32._Óvoda_önként'!F21+'33._TMKK_önként'!F21+'34._Rendelő_önként'!F21</f>
        <v>0</v>
      </c>
      <c r="G21" s="90">
        <f>'29._Hivatal_önként'!G21+'30._TIK_önként'!G21+'31._Humán_önként'!G21+'32._Óvoda_önként'!G21+'33._TMKK_önként'!G21+'34._Rendelő_önként'!G21</f>
        <v>0</v>
      </c>
      <c r="H21" s="544">
        <f t="shared" si="1"/>
        <v>0</v>
      </c>
      <c r="I21" s="1311">
        <f>'29._Hivatal_önként'!I21+'30._TIK_önként'!I21+'31._Humán_önként'!I21+'32._Óvoda_önként'!I21+'33._TMKK_önként'!I21+'34._Rendelő_önként'!I21</f>
        <v>0</v>
      </c>
      <c r="J21" s="281">
        <f>'29._Hivatal_önként'!J21+'30._TIK_önként'!J21+'31._Humán_önként'!J21+'32._Óvoda_önként'!J21+'33._TMKK_önként'!J21+'34._Rendelő_önként'!J21</f>
        <v>0</v>
      </c>
      <c r="K21" s="281">
        <f>'29._Hivatal_önként'!K21+'30._TIK_önként'!K21+'31._Humán_önként'!K21+'32._Óvoda_önként'!K21+'33._TMKK_önként'!K21+'34._Rendelő_önként'!K21</f>
        <v>0</v>
      </c>
      <c r="L21" s="281">
        <f>'29._Hivatal_önként'!L21+'30._TIK_önként'!L21+'31._Humán_önként'!L21+'32._Óvoda_önként'!L21+'33._TMKK_önként'!L21+'34._Rendelő_önként'!L21</f>
        <v>0</v>
      </c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SUM(C23:C25)</f>
        <v>1090154663</v>
      </c>
      <c r="D22" s="127">
        <f t="shared" ref="D22:K22" si="2">SUM(D23:D25)</f>
        <v>1090154663</v>
      </c>
      <c r="E22" s="582">
        <f t="shared" si="2"/>
        <v>1090154663</v>
      </c>
      <c r="F22" s="582">
        <f t="shared" si="2"/>
        <v>0</v>
      </c>
      <c r="G22" s="582">
        <f t="shared" si="2"/>
        <v>0</v>
      </c>
      <c r="H22" s="48">
        <f t="shared" si="1"/>
        <v>0</v>
      </c>
      <c r="I22" s="1306">
        <f t="shared" si="2"/>
        <v>0</v>
      </c>
      <c r="J22" s="276">
        <f t="shared" si="2"/>
        <v>0</v>
      </c>
      <c r="K22" s="276">
        <f t="shared" si="2"/>
        <v>0</v>
      </c>
      <c r="L22" s="276">
        <f>'29._Hivatal_önként'!L22+'30._TIK_önként'!L22+'31._Humán_önként'!L22+'32._Óvoda_önként'!L22+'33._TMKK_önként'!L22+'34._Rendelő_önként'!L22</f>
        <v>0</v>
      </c>
    </row>
    <row r="23" spans="1:12" s="54" customFormat="1" ht="12.2" customHeight="1" x14ac:dyDescent="0.2">
      <c r="A23" s="1037" t="s">
        <v>94</v>
      </c>
      <c r="B23" s="17" t="s">
        <v>159</v>
      </c>
      <c r="C23" s="331">
        <f>'29._Hivatal_önként'!C23+'30._TIK_önként'!C23+'31._Humán_önként'!C23+'32._Óvoda_önként'!C23+'33._TMKK_önként'!C23+'34._Rendelő_önként'!C23</f>
        <v>0</v>
      </c>
      <c r="D23" s="340">
        <f>'29._Hivatal_önként'!D23+'30._TIK_önként'!D23+'31._Humán_önként'!D23+'32._Óvoda_önként'!D23+'33._TMKK_önként'!D23+'34._Rendelő_önként'!D23</f>
        <v>0</v>
      </c>
      <c r="E23" s="584">
        <f>'29._Hivatal_önként'!E23+'30._TIK_önként'!E23+'31._Humán_önként'!E23+'32._Óvoda_önként'!E23+'33._TMKK_önként'!E23+'34._Rendelő_önként'!E23</f>
        <v>0</v>
      </c>
      <c r="F23" s="584">
        <f>'29._Hivatal_önként'!F23+'30._TIK_önként'!F23+'31._Humán_önként'!F23+'32._Óvoda_önként'!F23+'33._TMKK_önként'!F23+'34._Rendelő_önként'!F23</f>
        <v>0</v>
      </c>
      <c r="G23" s="584">
        <f>'29._Hivatal_önként'!G23+'30._TIK_önként'!G23+'31._Humán_önként'!G23+'32._Óvoda_önként'!G23+'33._TMKK_önként'!G23+'34._Rendelő_önként'!G23</f>
        <v>0</v>
      </c>
      <c r="H23" s="75">
        <f t="shared" si="1"/>
        <v>0</v>
      </c>
      <c r="I23" s="1312">
        <f>'29._Hivatal_önként'!I23+'30._TIK_önként'!I23+'31._Humán_önként'!I23+'32._Óvoda_önként'!I23+'33._TMKK_önként'!I23+'34._Rendelő_önként'!I23</f>
        <v>0</v>
      </c>
      <c r="J23" s="282">
        <f>'29._Hivatal_önként'!J23+'30._TIK_önként'!J23+'31._Humán_önként'!J23+'32._Óvoda_önként'!J23+'33._TMKK_önként'!J23+'34._Rendelő_önként'!J23</f>
        <v>0</v>
      </c>
      <c r="K23" s="282">
        <f>'29._Hivatal_önként'!K23+'30._TIK_önként'!K23+'31._Humán_önként'!K23+'32._Óvoda_önként'!K23+'33._TMKK_önként'!K23+'34._Rendelő_önként'!K23</f>
        <v>0</v>
      </c>
      <c r="L23" s="282">
        <f>'29._Hivatal_önként'!L23+'30._TIK_önként'!L23+'31._Humán_önként'!L23+'32._Óvoda_önként'!L23+'33._TMKK_önként'!L23+'34._Rendelő_önként'!L23</f>
        <v>0</v>
      </c>
    </row>
    <row r="24" spans="1:12" s="54" customFormat="1" ht="12.2" customHeight="1" x14ac:dyDescent="0.2">
      <c r="A24" s="1037" t="s">
        <v>95</v>
      </c>
      <c r="B24" s="330" t="s">
        <v>160</v>
      </c>
      <c r="C24" s="331">
        <f>'29._Hivatal_önként'!C24+'30._TIK_önként'!C24+'31._Humán_önként'!C24+'32._Óvoda_önként'!C24+'33._TMKK_önként'!C24+'34._Rendelő_önként'!C24</f>
        <v>0</v>
      </c>
      <c r="D24" s="340">
        <f>'29._Hivatal_önként'!D24+'30._TIK_önként'!D24+'31._Humán_önként'!D24+'32._Óvoda_önként'!D24+'33._TMKK_önként'!D24+'34._Rendelő_önként'!D24</f>
        <v>0</v>
      </c>
      <c r="E24" s="88">
        <f>'29._Hivatal_önként'!E24+'30._TIK_önként'!E24+'31._Humán_önként'!E24+'32._Óvoda_önként'!E24+'33._TMKK_önként'!E24+'34._Rendelő_önként'!E24</f>
        <v>0</v>
      </c>
      <c r="F24" s="88">
        <f>'29._Hivatal_önként'!F24+'30._TIK_önként'!F24+'31._Humán_önként'!F24+'32._Óvoda_önként'!F24+'33._TMKK_önként'!F24+'34._Rendelő_önként'!F24</f>
        <v>0</v>
      </c>
      <c r="G24" s="88">
        <f>'29._Hivatal_önként'!G24+'30._TIK_önként'!G24+'31._Humán_önként'!G24+'32._Óvoda_önként'!G24+'33._TMKK_önként'!G24+'34._Rendelő_önként'!G24</f>
        <v>0</v>
      </c>
      <c r="H24" s="541">
        <f t="shared" si="1"/>
        <v>0</v>
      </c>
      <c r="I24" s="1308">
        <f>'29._Hivatal_önként'!I24+'30._TIK_önként'!I24+'31._Humán_önként'!I24+'32._Óvoda_önként'!I24+'33._TMKK_önként'!I24+'34._Rendelő_önként'!I24</f>
        <v>0</v>
      </c>
      <c r="J24" s="278">
        <f>'29._Hivatal_önként'!J24+'30._TIK_önként'!J24+'31._Humán_önként'!J24+'32._Óvoda_önként'!J24+'33._TMKK_önként'!J24+'34._Rendelő_önként'!J24</f>
        <v>0</v>
      </c>
      <c r="K24" s="278">
        <f>'29._Hivatal_önként'!K24+'30._TIK_önként'!K24+'31._Humán_önként'!K24+'32._Óvoda_önként'!K24+'33._TMKK_önként'!K24+'34._Rendelő_önként'!K24</f>
        <v>0</v>
      </c>
      <c r="L24" s="278">
        <f>'29._Hivatal_önként'!L24+'30._TIK_önként'!L24+'31._Humán_önként'!L24+'32._Óvoda_önként'!L24+'33._TMKK_önként'!L24+'34._Rendelő_önként'!L24</f>
        <v>0</v>
      </c>
    </row>
    <row r="25" spans="1:12" s="54" customFormat="1" ht="12.2" customHeight="1" x14ac:dyDescent="0.2">
      <c r="A25" s="1037" t="s">
        <v>96</v>
      </c>
      <c r="B25" s="330" t="s">
        <v>161</v>
      </c>
      <c r="C25" s="331">
        <f>'29._Hivatal_önként'!C25+'30._TIK_önként'!C25+'31._Humán_önként'!C25+'32._Óvoda_önként'!C25+'33._TMKK_önként'!C25+'34._Rendelő_önként'!C25</f>
        <v>1090154663</v>
      </c>
      <c r="D25" s="340">
        <f>'29._Hivatal_önként'!D25+'30._TIK_önként'!D25+'31._Humán_önként'!D25+'32._Óvoda_önként'!D25+'33._TMKK_önként'!D25+'34._Rendelő_önként'!D25</f>
        <v>1090154663</v>
      </c>
      <c r="E25" s="88">
        <f>'29._Hivatal_önként'!E25+'30._TIK_önként'!E25+'31._Humán_önként'!E25+'32._Óvoda_önként'!E25+'33._TMKK_önként'!E25+'34._Rendelő_önként'!E25</f>
        <v>1090154663</v>
      </c>
      <c r="F25" s="88">
        <f t="shared" ref="F25:K25" si="3">F26</f>
        <v>0</v>
      </c>
      <c r="G25" s="88">
        <f t="shared" si="3"/>
        <v>0</v>
      </c>
      <c r="H25" s="541">
        <f t="shared" si="1"/>
        <v>0</v>
      </c>
      <c r="I25" s="1308">
        <f t="shared" si="3"/>
        <v>0</v>
      </c>
      <c r="J25" s="278">
        <f t="shared" si="3"/>
        <v>0</v>
      </c>
      <c r="K25" s="278">
        <f t="shared" si="3"/>
        <v>0</v>
      </c>
      <c r="L25" s="278">
        <f>'29._Hivatal_önként'!L25+'30._TIK_önként'!L25+'31._Humán_önként'!L25+'32._Óvoda_önként'!L25+'33._TMKK_önként'!L25+'34._Rendelő_önként'!L25</f>
        <v>0</v>
      </c>
    </row>
    <row r="26" spans="1:12" s="54" customFormat="1" ht="12.2" customHeight="1" thickBot="1" x14ac:dyDescent="0.25">
      <c r="A26" s="1037" t="s">
        <v>317</v>
      </c>
      <c r="B26" s="335" t="s">
        <v>233</v>
      </c>
      <c r="C26" s="331">
        <f>'29._Hivatal_önként'!C26+'30._TIK_önként'!C26+'31._Humán_önként'!C26+'32._Óvoda_önként'!C26+'33._TMKK_önként'!C26+'34._Rendelő_önként'!C26</f>
        <v>0</v>
      </c>
      <c r="D26" s="340">
        <f>'29._Hivatal_önként'!D26+'30._TIK_önként'!D26+'31._Humán_önként'!D26+'32._Óvoda_önként'!D26+'33._TMKK_önként'!D26+'34._Rendelő_önként'!D26</f>
        <v>0</v>
      </c>
      <c r="E26" s="88">
        <f>'29._Hivatal_önként'!E26+'30._TIK_önként'!E26+'31._Humán_önként'!E26+'32._Óvoda_önként'!E26+'33._TMKK_önként'!E26+'34._Rendelő_önként'!E26</f>
        <v>0</v>
      </c>
      <c r="F26" s="88">
        <f>'29._Hivatal_önként'!F26+'30._TIK_önként'!F26+'31._Humán_önként'!F26+'32._Óvoda_önként'!F26+'33._TMKK_önként'!F26+'34._Rendelő_önként'!F26</f>
        <v>0</v>
      </c>
      <c r="G26" s="88">
        <f>'29._Hivatal_önként'!G26+'30._TIK_önként'!G26+'31._Humán_önként'!G26+'32._Óvoda_önként'!G26+'33._TMKK_önként'!G26+'34._Rendelő_önként'!G26</f>
        <v>0</v>
      </c>
      <c r="H26" s="545">
        <f t="shared" si="1"/>
        <v>0</v>
      </c>
      <c r="I26" s="1313">
        <f>'29._Hivatal_önként'!I26+'30._TIK_önként'!I26+'31._Humán_önként'!I26+'32._Óvoda_önként'!I26+'33._TMKK_önként'!I26+'34._Rendelő_önként'!I26</f>
        <v>0</v>
      </c>
      <c r="J26" s="283">
        <f>'29._Hivatal_önként'!J26+'30._TIK_önként'!J26+'31._Humán_önként'!J26+'32._Óvoda_önként'!J26+'33._TMKK_önként'!J26+'34._Rendelő_önként'!J26</f>
        <v>0</v>
      </c>
      <c r="K26" s="283">
        <f>'29._Hivatal_önként'!K26+'30._TIK_önként'!K26+'31._Humán_önként'!K26+'32._Óvoda_önként'!K26+'33._TMKK_önként'!K26+'34._Rendelő_önként'!K26</f>
        <v>0</v>
      </c>
      <c r="L26" s="283">
        <f>'29._Hivatal_önként'!L26+'30._TIK_önként'!L26+'31._Humán_önként'!L26+'32._Óvoda_önként'!L26+'33._TMKK_önként'!L26+'34._Rendelő_önként'!L26</f>
        <v>0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30">
        <f>'29._Hivatal_önként'!C27+'30._TIK_önként'!C27+'31._Humán_önként'!C27+'32._Óvoda_önként'!C27+'33._TMKK_önként'!C27+'34._Rendelő_önként'!C27</f>
        <v>0</v>
      </c>
      <c r="D27" s="129">
        <f>'29._Hivatal_önként'!D27+'30._TIK_önként'!D27+'31._Humán_önként'!D27+'32._Óvoda_önként'!D27+'33._TMKK_önként'!D27+'34._Rendelő_önként'!D27</f>
        <v>0</v>
      </c>
      <c r="E27" s="585">
        <f>'29._Hivatal_önként'!E27+'30._TIK_önként'!E27+'31._Humán_önként'!E27+'32._Óvoda_önként'!E27+'33._TMKK_önként'!E27+'34._Rendelő_önként'!E27</f>
        <v>0</v>
      </c>
      <c r="F27" s="585">
        <f>'29._Hivatal_önként'!F27+'30._TIK_önként'!F27+'31._Humán_önként'!F27+'32._Óvoda_önként'!F27+'33._TMKK_önként'!F27+'34._Rendelő_önként'!F27</f>
        <v>0</v>
      </c>
      <c r="G27" s="585">
        <f>'29._Hivatal_önként'!G27+'30._TIK_önként'!G27+'31._Humán_önként'!G27+'32._Óvoda_önként'!G27+'33._TMKK_önként'!G27+'34._Rendelő_önként'!G27</f>
        <v>0</v>
      </c>
      <c r="H27" s="74">
        <f t="shared" si="1"/>
        <v>0</v>
      </c>
      <c r="I27" s="290">
        <f>'29._Hivatal_önként'!I27+'30._TIK_önként'!I27+'31._Humán_önként'!I27+'32._Óvoda_önként'!I27+'33._TMKK_önként'!I27+'34._Rendelő_önként'!I27</f>
        <v>0</v>
      </c>
      <c r="J27" s="284">
        <f>'29._Hivatal_önként'!J27+'30._TIK_önként'!J27+'31._Humán_önként'!J27+'32._Óvoda_önként'!J27+'33._TMKK_önként'!J27+'34._Rendelő_önként'!J27</f>
        <v>0</v>
      </c>
      <c r="K27" s="284">
        <f>'29._Hivatal_önként'!K27+'30._TIK_önként'!K27+'31._Humán_önként'!K27+'32._Óvoda_önként'!K27+'33._TMKK_önként'!K27+'34._Rendelő_önként'!K27</f>
        <v>0</v>
      </c>
      <c r="L27" s="284">
        <f>'29._Hivatal_önként'!L27+'30._TIK_önként'!L27+'31._Humán_önként'!L27+'32._Óvoda_önként'!L27+'33._TMKK_önként'!L27+'34._Rendelő_önként'!L27</f>
        <v>0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C29+C30</f>
        <v>0</v>
      </c>
      <c r="D28" s="127">
        <f t="shared" ref="D28:K28" si="4">D29+D30</f>
        <v>0</v>
      </c>
      <c r="E28" s="582">
        <f t="shared" si="4"/>
        <v>0</v>
      </c>
      <c r="F28" s="582">
        <f t="shared" si="4"/>
        <v>0</v>
      </c>
      <c r="G28" s="582">
        <f t="shared" si="4"/>
        <v>0</v>
      </c>
      <c r="H28" s="74">
        <f t="shared" si="1"/>
        <v>0</v>
      </c>
      <c r="I28" s="290">
        <f t="shared" si="4"/>
        <v>0</v>
      </c>
      <c r="J28" s="284">
        <f t="shared" si="4"/>
        <v>0</v>
      </c>
      <c r="K28" s="284">
        <f t="shared" si="4"/>
        <v>0</v>
      </c>
      <c r="L28" s="284">
        <f>'29._Hivatal_önként'!L28+'30._TIK_önként'!L28+'31._Humán_önként'!L28+'32._Óvoda_önként'!L28+'33._TMKK_önként'!L28+'34._Rendelő_önként'!L28</f>
        <v>0</v>
      </c>
    </row>
    <row r="29" spans="1:12" s="54" customFormat="1" ht="12.2" customHeight="1" x14ac:dyDescent="0.2">
      <c r="A29" s="58" t="s">
        <v>100</v>
      </c>
      <c r="B29" s="59" t="s">
        <v>160</v>
      </c>
      <c r="C29" s="122">
        <f>'29._Hivatal_önként'!C29+'30._TIK_önként'!C29+'31._Humán_önként'!C29+'32._Óvoda_önként'!C29+'33._TMKK_önként'!C29+'34._Rendelő_önként'!C29</f>
        <v>0</v>
      </c>
      <c r="D29" s="189">
        <f>'29._Hivatal_önként'!D29+'30._TIK_önként'!D29+'31._Humán_önként'!D29+'32._Óvoda_önként'!D29+'33._TMKK_önként'!D29+'34._Rendelő_önként'!D29</f>
        <v>0</v>
      </c>
      <c r="E29" s="586">
        <f>'29._Hivatal_önként'!E29+'30._TIK_önként'!E29+'31._Humán_önként'!E29+'32._Óvoda_önként'!E29+'33._TMKK_önként'!E29+'34._Rendelő_önként'!E29</f>
        <v>0</v>
      </c>
      <c r="F29" s="586">
        <f>'29._Hivatal_önként'!F29+'30._TIK_önként'!F29+'31._Humán_önként'!F29+'32._Óvoda_önként'!F29+'33._TMKK_önként'!F29+'34._Rendelő_önként'!F29</f>
        <v>0</v>
      </c>
      <c r="G29" s="586">
        <f>'29._Hivatal_önként'!G29+'30._TIK_önként'!G29+'31._Humán_önként'!G29+'32._Óvoda_önként'!G29+'33._TMKK_önként'!G29+'34._Rendelő_önként'!G29</f>
        <v>0</v>
      </c>
      <c r="H29" s="546">
        <f t="shared" si="1"/>
        <v>0</v>
      </c>
      <c r="I29" s="1314">
        <f>'29._Hivatal_önként'!I29+'30._TIK_önként'!I29+'31._Humán_önként'!I29+'32._Óvoda_önként'!I29+'33._TMKK_önként'!I29+'34._Rendelő_önként'!I29</f>
        <v>0</v>
      </c>
      <c r="J29" s="285">
        <f>'29._Hivatal_önként'!J29+'30._TIK_önként'!J29+'31._Humán_önként'!J29+'32._Óvoda_önként'!J29+'33._TMKK_önként'!J29+'34._Rendelő_önként'!J29</f>
        <v>0</v>
      </c>
      <c r="K29" s="285">
        <f>'29._Hivatal_önként'!K29+'30._TIK_önként'!K29+'31._Humán_önként'!K29+'32._Óvoda_önként'!K29+'33._TMKK_önként'!K29+'34._Rendelő_önként'!K29</f>
        <v>0</v>
      </c>
      <c r="L29" s="285">
        <f>'29._Hivatal_önként'!L29+'30._TIK_önként'!L29+'31._Humán_önként'!L29+'32._Óvoda_önként'!L29+'33._TMKK_önként'!L29+'34._Rendelő_önként'!L29</f>
        <v>0</v>
      </c>
    </row>
    <row r="30" spans="1:12" s="54" customFormat="1" ht="12.2" customHeight="1" x14ac:dyDescent="0.2">
      <c r="A30" s="58" t="s">
        <v>101</v>
      </c>
      <c r="B30" s="336" t="s">
        <v>163</v>
      </c>
      <c r="C30" s="120">
        <f>'29._Hivatal_önként'!C30+'30._TIK_önként'!C30+'31._Humán_önként'!C30+'32._Óvoda_önként'!C30+'33._TMKK_önként'!C30+'34._Rendelő_önként'!C30</f>
        <v>0</v>
      </c>
      <c r="D30" s="193">
        <f t="shared" ref="D30:K30" si="5">D31</f>
        <v>0</v>
      </c>
      <c r="E30" s="107">
        <f t="shared" si="5"/>
        <v>0</v>
      </c>
      <c r="F30" s="107">
        <f t="shared" si="5"/>
        <v>0</v>
      </c>
      <c r="G30" s="339">
        <f t="shared" si="5"/>
        <v>0</v>
      </c>
      <c r="H30" s="534">
        <f t="shared" si="1"/>
        <v>0</v>
      </c>
      <c r="I30" s="1315">
        <f t="shared" si="5"/>
        <v>0</v>
      </c>
      <c r="J30" s="286">
        <f t="shared" si="5"/>
        <v>0</v>
      </c>
      <c r="K30" s="286">
        <f t="shared" si="5"/>
        <v>0</v>
      </c>
      <c r="L30" s="286">
        <f>'29._Hivatal_önként'!L30+'30._TIK_önként'!L30+'31._Humán_önként'!L30+'32._Óvoda_önként'!L30+'33._TMKK_önként'!L30+'34._Rendelő_önként'!L30</f>
        <v>0</v>
      </c>
    </row>
    <row r="31" spans="1:12" s="54" customFormat="1" ht="12.2" customHeight="1" thickBot="1" x14ac:dyDescent="0.25">
      <c r="A31" s="1037" t="s">
        <v>281</v>
      </c>
      <c r="B31" s="102" t="s">
        <v>165</v>
      </c>
      <c r="C31" s="92">
        <f>'29._Hivatal_önként'!C31+'30._TIK_önként'!C31+'31._Humán_önként'!C31+'32._Óvoda_önként'!C31+'33._TMKK_önként'!C31+'34._Rendelő_önként'!C31</f>
        <v>0</v>
      </c>
      <c r="D31" s="190">
        <f>'29._Hivatal_önként'!D31+'30._TIK_önként'!D31+'31._Humán_önként'!D31+'32._Óvoda_önként'!D31+'33._TMKK_önként'!D31+'34._Rendelő_önként'!D31</f>
        <v>0</v>
      </c>
      <c r="E31" s="587">
        <f>'29._Hivatal_önként'!E31+'30._TIK_önként'!E31+'31._Humán_önként'!E31+'32._Óvoda_önként'!E31+'33._TMKK_önként'!E31+'34._Rendelő_önként'!E31</f>
        <v>0</v>
      </c>
      <c r="F31" s="587">
        <f>'29._Hivatal_önként'!F31+'30._TIK_önként'!F31+'31._Humán_önként'!F31+'32._Óvoda_önként'!F31+'33._TMKK_önként'!F31+'34._Rendelő_önként'!F31</f>
        <v>0</v>
      </c>
      <c r="G31" s="587">
        <f>'29._Hivatal_önként'!G31+'30._TIK_önként'!G31+'31._Humán_önként'!G31+'32._Óvoda_önként'!G31+'33._TMKK_önként'!G31+'34._Rendelő_önként'!G31</f>
        <v>0</v>
      </c>
      <c r="H31" s="547">
        <f t="shared" si="1"/>
        <v>0</v>
      </c>
      <c r="I31" s="1316">
        <f>'29._Hivatal_önként'!I31+'30._TIK_önként'!I31+'31._Humán_önként'!I31+'32._Óvoda_önként'!I31+'33._TMKK_önként'!I31+'34._Rendelő_önként'!I31</f>
        <v>0</v>
      </c>
      <c r="J31" s="287">
        <f>'29._Hivatal_önként'!J31+'30._TIK_önként'!J31+'31._Humán_önként'!J31+'32._Óvoda_önként'!J31+'33._TMKK_önként'!J31+'34._Rendelő_önként'!J31</f>
        <v>0</v>
      </c>
      <c r="K31" s="287">
        <f>'29._Hivatal_önként'!K31+'30._TIK_önként'!K31+'31._Humán_önként'!K31+'32._Óvoda_önként'!K31+'33._TMKK_önként'!K31+'34._Rendelő_önként'!K31</f>
        <v>0</v>
      </c>
      <c r="L31" s="287">
        <f>'29._Hivatal_önként'!L31+'30._TIK_önként'!L31+'31._Humán_önként'!L31+'32._Óvoda_önként'!L31+'33._TMKK_önként'!L31+'34._Rendelő_önként'!L31</f>
        <v>0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SUM(C33:C35)</f>
        <v>0</v>
      </c>
      <c r="D32" s="127">
        <f t="shared" ref="D32:K32" si="6">SUM(D33:D35)</f>
        <v>0</v>
      </c>
      <c r="E32" s="582">
        <f t="shared" si="6"/>
        <v>0</v>
      </c>
      <c r="F32" s="582">
        <f t="shared" si="6"/>
        <v>0</v>
      </c>
      <c r="G32" s="582">
        <f t="shared" si="6"/>
        <v>0</v>
      </c>
      <c r="H32" s="74">
        <f t="shared" si="1"/>
        <v>0</v>
      </c>
      <c r="I32" s="290">
        <f t="shared" si="6"/>
        <v>0</v>
      </c>
      <c r="J32" s="284">
        <f t="shared" si="6"/>
        <v>0</v>
      </c>
      <c r="K32" s="284">
        <f t="shared" si="6"/>
        <v>0</v>
      </c>
      <c r="L32" s="284">
        <f>'29._Hivatal_önként'!L32+'30._TIK_önként'!L32+'31._Humán_önként'!L32+'32._Óvoda_önként'!L32+'33._TMKK_önként'!L32+'34._Rendelő_önként'!L32</f>
        <v>0</v>
      </c>
    </row>
    <row r="33" spans="1:12" s="54" customFormat="1" ht="12.2" customHeight="1" x14ac:dyDescent="0.2">
      <c r="A33" s="58" t="s">
        <v>89</v>
      </c>
      <c r="B33" s="59" t="s">
        <v>167</v>
      </c>
      <c r="C33" s="122">
        <f>'29._Hivatal_önként'!C33+'30._TIK_önként'!C33+'31._Humán_önként'!C33+'32._Óvoda_önként'!C33+'33._TMKK_önként'!C33+'34._Rendelő_önként'!C33</f>
        <v>0</v>
      </c>
      <c r="D33" s="189">
        <f>'29._Hivatal_önként'!D33+'30._TIK_önként'!D33+'31._Humán_önként'!D33+'32._Óvoda_önként'!D33+'33._TMKK_önként'!D33+'34._Rendelő_önként'!D33</f>
        <v>0</v>
      </c>
      <c r="E33" s="586">
        <f>'29._Hivatal_önként'!E33+'30._TIK_önként'!E33+'31._Humán_önként'!E33+'32._Óvoda_önként'!E33+'33._TMKK_önként'!E33+'34._Rendelő_önként'!E33</f>
        <v>0</v>
      </c>
      <c r="F33" s="586">
        <f>'29._Hivatal_önként'!F33+'30._TIK_önként'!F33+'31._Humán_önként'!F33+'32._Óvoda_önként'!F33+'33._TMKK_önként'!F33+'34._Rendelő_önként'!F33</f>
        <v>0</v>
      </c>
      <c r="G33" s="586">
        <f>'29._Hivatal_önként'!G33+'30._TIK_önként'!G33+'31._Humán_önként'!G33+'32._Óvoda_önként'!G33+'33._TMKK_önként'!G33+'34._Rendelő_önként'!G33</f>
        <v>0</v>
      </c>
      <c r="H33" s="546">
        <f t="shared" si="1"/>
        <v>0</v>
      </c>
      <c r="I33" s="1314">
        <f>'29._Hivatal_önként'!I33+'30._TIK_önként'!I33+'31._Humán_önként'!I33+'32._Óvoda_önként'!I33+'33._TMKK_önként'!I33+'34._Rendelő_önként'!I33</f>
        <v>0</v>
      </c>
      <c r="J33" s="285">
        <f>'29._Hivatal_önként'!J33+'30._TIK_önként'!J33+'31._Humán_önként'!J33+'32._Óvoda_önként'!J33+'33._TMKK_önként'!J33+'34._Rendelő_önként'!J33</f>
        <v>0</v>
      </c>
      <c r="K33" s="285">
        <f>'29._Hivatal_önként'!K33+'30._TIK_önként'!K33+'31._Humán_önként'!K33+'32._Óvoda_önként'!K33+'33._TMKK_önként'!K33+'34._Rendelő_önként'!K33</f>
        <v>0</v>
      </c>
      <c r="L33" s="285">
        <f>'29._Hivatal_önként'!L33+'30._TIK_önként'!L33+'31._Humán_önként'!L33+'32._Óvoda_önként'!L33+'33._TMKK_önként'!L33+'34._Rendelő_önként'!L33</f>
        <v>0</v>
      </c>
    </row>
    <row r="34" spans="1:12" s="54" customFormat="1" ht="12.2" customHeight="1" x14ac:dyDescent="0.2">
      <c r="A34" s="58" t="s">
        <v>102</v>
      </c>
      <c r="B34" s="336" t="s">
        <v>168</v>
      </c>
      <c r="C34" s="120">
        <f>'29._Hivatal_önként'!C34+'30._TIK_önként'!C34+'31._Humán_önként'!C34+'32._Óvoda_önként'!C34+'33._TMKK_önként'!C34+'34._Rendelő_önként'!C34</f>
        <v>0</v>
      </c>
      <c r="D34" s="193">
        <f>'29._Hivatal_önként'!D34+'30._TIK_önként'!D34+'31._Humán_önként'!D34+'32._Óvoda_önként'!D34+'33._TMKK_önként'!D34+'34._Rendelő_önként'!D34</f>
        <v>0</v>
      </c>
      <c r="E34" s="107">
        <f>'29._Hivatal_önként'!E34+'30._TIK_önként'!E34+'31._Humán_önként'!E34+'32._Óvoda_önként'!E34+'33._TMKK_önként'!E34+'34._Rendelő_önként'!E34</f>
        <v>0</v>
      </c>
      <c r="F34" s="107">
        <f>'29._Hivatal_önként'!F34+'30._TIK_önként'!F34+'31._Humán_önként'!F34+'32._Óvoda_önként'!F34+'33._TMKK_önként'!F34+'34._Rendelő_önként'!F34</f>
        <v>0</v>
      </c>
      <c r="G34" s="339">
        <f>'29._Hivatal_önként'!G34+'30._TIK_önként'!G34+'31._Humán_önként'!G34+'32._Óvoda_önként'!G34+'33._TMKK_önként'!G34+'34._Rendelő_önként'!G34</f>
        <v>0</v>
      </c>
      <c r="H34" s="534">
        <f t="shared" si="1"/>
        <v>0</v>
      </c>
      <c r="I34" s="1315">
        <f>'29._Hivatal_önként'!I34+'30._TIK_önként'!I34+'31._Humán_önként'!I34+'32._Óvoda_önként'!I34+'33._TMKK_önként'!I34+'34._Rendelő_önként'!I34</f>
        <v>0</v>
      </c>
      <c r="J34" s="286">
        <f>'29._Hivatal_önként'!J34+'30._TIK_önként'!J34+'31._Humán_önként'!J34+'32._Óvoda_önként'!J34+'33._TMKK_önként'!J34+'34._Rendelő_önként'!J34</f>
        <v>0</v>
      </c>
      <c r="K34" s="286">
        <f>'29._Hivatal_önként'!K34+'30._TIK_önként'!K34+'31._Humán_önként'!K34+'32._Óvoda_önként'!K34+'33._TMKK_önként'!K34+'34._Rendelő_önként'!K34</f>
        <v>0</v>
      </c>
      <c r="L34" s="286">
        <f>'29._Hivatal_önként'!L34+'30._TIK_önként'!L34+'31._Humán_önként'!L34+'32._Óvoda_önként'!L34+'33._TMKK_önként'!L34+'34._Rendelő_önként'!L34</f>
        <v>0</v>
      </c>
    </row>
    <row r="35" spans="1:12" s="54" customFormat="1" ht="12.2" customHeight="1" thickBot="1" x14ac:dyDescent="0.25">
      <c r="A35" s="1037" t="s">
        <v>103</v>
      </c>
      <c r="B35" s="62" t="s">
        <v>169</v>
      </c>
      <c r="C35" s="92">
        <f>'29._Hivatal_önként'!C35+'30._TIK_önként'!C35+'31._Humán_önként'!C35+'32._Óvoda_önként'!C35+'33._TMKK_önként'!C35+'34._Rendelő_önként'!C35</f>
        <v>0</v>
      </c>
      <c r="D35" s="190">
        <f>'29._Hivatal_önként'!D35+'30._TIK_önként'!D35+'31._Humán_önként'!D35+'32._Óvoda_önként'!D35+'33._TMKK_önként'!D35+'34._Rendelő_önként'!D35</f>
        <v>0</v>
      </c>
      <c r="E35" s="587">
        <f>'29._Hivatal_önként'!E35+'30._TIK_önként'!E35+'31._Humán_önként'!E35+'32._Óvoda_önként'!E35+'33._TMKK_önként'!E35+'34._Rendelő_önként'!E35</f>
        <v>0</v>
      </c>
      <c r="F35" s="587">
        <f>'29._Hivatal_önként'!F35+'30._TIK_önként'!F35+'31._Humán_önként'!F35+'32._Óvoda_önként'!F35+'33._TMKK_önként'!F35+'34._Rendelő_önként'!F35</f>
        <v>0</v>
      </c>
      <c r="G35" s="587">
        <f>'29._Hivatal_önként'!G35+'30._TIK_önként'!G35+'31._Humán_önként'!G35+'32._Óvoda_önként'!G35+'33._TMKK_önként'!G35+'34._Rendelő_önként'!G35</f>
        <v>0</v>
      </c>
      <c r="H35" s="548">
        <f t="shared" si="1"/>
        <v>0</v>
      </c>
      <c r="I35" s="1317">
        <f>'29._Hivatal_önként'!I35+'30._TIK_önként'!I35+'31._Humán_önként'!I35+'32._Óvoda_önként'!I35+'33._TMKK_önként'!I35+'34._Rendelő_önként'!I35</f>
        <v>0</v>
      </c>
      <c r="J35" s="288">
        <f>'29._Hivatal_önként'!J35+'30._TIK_önként'!J35+'31._Humán_önként'!J35+'32._Óvoda_önként'!J35+'33._TMKK_önként'!J35+'34._Rendelő_önként'!J35</f>
        <v>0</v>
      </c>
      <c r="K35" s="288">
        <f>'29._Hivatal_önként'!K35+'30._TIK_önként'!K35+'31._Humán_önként'!K35+'32._Óvoda_önként'!K35+'33._TMKK_önként'!K35+'34._Rendelő_önként'!K35</f>
        <v>0</v>
      </c>
      <c r="L35" s="288">
        <f>'29._Hivatal_önként'!L35+'30._TIK_önként'!L35+'31._Humán_önként'!L35+'32._Óvoda_önként'!L35+'33._TMKK_önként'!L35+'34._Rendelő_önként'!L35</f>
        <v>0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30">
        <f>'29._Hivatal_önként'!C36+'30._TIK_önként'!C36+'31._Humán_önként'!C36+'32._Óvoda_önként'!C36+'33._TMKK_önként'!C36+'34._Rendelő_önként'!C36</f>
        <v>5018250</v>
      </c>
      <c r="D36" s="129">
        <f>'29._Hivatal_önként'!D36+'30._TIK_önként'!D36+'31._Humán_önként'!D36+'32._Óvoda_önként'!D36+'33._TMKK_önként'!D36+'34._Rendelő_önként'!D36</f>
        <v>5018250</v>
      </c>
      <c r="E36" s="585">
        <f>'29._Hivatal_önként'!E36+'30._TIK_önként'!E36+'31._Humán_önként'!E36+'32._Óvoda_önként'!E36+'33._TMKK_önként'!E36+'34._Rendelő_önként'!E36</f>
        <v>576263</v>
      </c>
      <c r="F36" s="585">
        <f>'29._Hivatal_önként'!F36+'30._TIK_önként'!F36+'31._Humán_önként'!F36+'32._Óvoda_önként'!F36+'33._TMKK_önként'!F36+'34._Rendelő_önként'!F36</f>
        <v>5018250</v>
      </c>
      <c r="G36" s="585">
        <f>'29._Hivatal_önként'!G36+'30._TIK_önként'!G36+'31._Humán_önként'!G36+'32._Óvoda_önként'!G36+'33._TMKK_önként'!G36+'34._Rendelő_önként'!G36</f>
        <v>5018250</v>
      </c>
      <c r="H36" s="74">
        <f t="shared" si="1"/>
        <v>-4441987</v>
      </c>
      <c r="I36" s="290">
        <f>'29._Hivatal_önként'!I36+'30._TIK_önként'!I36+'31._Humán_önként'!I36+'32._Óvoda_önként'!I36+'33._TMKK_önként'!I36+'34._Rendelő_önként'!I36</f>
        <v>0</v>
      </c>
      <c r="J36" s="284">
        <f>'29._Hivatal_önként'!J36+'30._TIK_önként'!J36+'31._Humán_önként'!J36+'32._Óvoda_önként'!J36+'33._TMKK_önként'!J36+'34._Rendelő_önként'!J36</f>
        <v>0</v>
      </c>
      <c r="K36" s="284">
        <f>'29._Hivatal_önként'!K36+'30._TIK_önként'!K36+'31._Humán_önként'!K36+'32._Óvoda_önként'!K36+'33._TMKK_önként'!K36+'34._Rendelő_önként'!K36</f>
        <v>0</v>
      </c>
      <c r="L36" s="284">
        <f>'29._Hivatal_önként'!L36+'30._TIK_önként'!L36+'31._Humán_önként'!L36+'32._Óvoda_önként'!L36+'33._TMKK_önként'!L36+'34._Rendelő_önként'!L36</f>
        <v>0</v>
      </c>
    </row>
    <row r="37" spans="1:12" s="26" customFormat="1" ht="12.2" customHeight="1" thickBot="1" x14ac:dyDescent="0.25">
      <c r="A37" s="1038" t="s">
        <v>104</v>
      </c>
      <c r="B37" s="337" t="s">
        <v>165</v>
      </c>
      <c r="C37" s="1032">
        <f>'29._Hivatal_önként'!C37+'30._TIK_önként'!C37+'31._Humán_önként'!C37+'32._Óvoda_önként'!C37+'33._TMKK_önként'!C37+'34._Rendelő_önként'!C37</f>
        <v>5018250</v>
      </c>
      <c r="D37" s="823">
        <f>'29._Hivatal_önként'!D37+'30._TIK_önként'!D37+'31._Humán_önként'!D37+'32._Óvoda_önként'!D37+'33._TMKK_önként'!D37+'34._Rendelő_önként'!D37</f>
        <v>5018250</v>
      </c>
      <c r="E37" s="91">
        <f>'29._Hivatal_önként'!E37+'30._TIK_önként'!E37+'31._Humán_önként'!E37+'32._Óvoda_önként'!E37+'33._TMKK_önként'!E37+'34._Rendelő_önként'!E37</f>
        <v>576263</v>
      </c>
      <c r="F37" s="588">
        <f>'29._Hivatal_önként'!F37+'30._TIK_önként'!F37+'31._Humán_önként'!F37+'32._Óvoda_önként'!F37+'33._TMKK_önként'!F37+'34._Rendelő_önként'!F37</f>
        <v>0</v>
      </c>
      <c r="G37" s="588">
        <f>'29._Hivatal_önként'!G37+'30._TIK_önként'!G37+'31._Humán_önként'!G37+'32._Óvoda_önként'!G37+'33._TMKK_önként'!G37+'34._Rendelő_önként'!G37</f>
        <v>0</v>
      </c>
      <c r="H37" s="1376">
        <f t="shared" si="1"/>
        <v>-4441987</v>
      </c>
      <c r="I37" s="289">
        <f>'29._Hivatal_önként'!I37+'30._TIK_önként'!I37+'31._Humán_önként'!I37+'32._Óvoda_önként'!I37+'33._TMKK_önként'!I37+'34._Rendelő_önként'!I37</f>
        <v>0</v>
      </c>
      <c r="J37" s="289">
        <f>'29._Hivatal_önként'!J37+'30._TIK_önként'!J37+'31._Humán_önként'!J37+'32._Óvoda_önként'!J37+'33._TMKK_önként'!J37+'34._Rendelő_önként'!J37</f>
        <v>0</v>
      </c>
      <c r="K37" s="289">
        <f>'29._Hivatal_önként'!K37+'30._TIK_önként'!K37+'31._Humán_önként'!K37+'32._Óvoda_önként'!K37+'33._TMKK_önként'!K37+'34._Rendelő_önként'!K37</f>
        <v>0</v>
      </c>
      <c r="L37" s="289">
        <f>'29._Hivatal_önként'!L37+'30._TIK_önként'!L37+'31._Humán_önként'!L37+'32._Óvoda_önként'!L37+'33._TMKK_önként'!L37+'34._Rendelő_önként'!L37</f>
        <v>0</v>
      </c>
    </row>
    <row r="38" spans="1:12" s="26" customFormat="1" ht="12.2" customHeight="1" thickBot="1" x14ac:dyDescent="0.25">
      <c r="A38" s="55" t="s">
        <v>18</v>
      </c>
      <c r="B38" s="56" t="s">
        <v>555</v>
      </c>
      <c r="C38" s="130">
        <f>C39+C40</f>
        <v>131957503</v>
      </c>
      <c r="D38" s="129">
        <f t="shared" ref="D38:K38" si="7">D39+D40</f>
        <v>131957503</v>
      </c>
      <c r="E38" s="585">
        <f t="shared" si="7"/>
        <v>136399490</v>
      </c>
      <c r="F38" s="585">
        <f t="shared" si="7"/>
        <v>0</v>
      </c>
      <c r="G38" s="585">
        <f t="shared" si="7"/>
        <v>0</v>
      </c>
      <c r="H38" s="74">
        <f t="shared" si="1"/>
        <v>4441987</v>
      </c>
      <c r="I38" s="290">
        <f t="shared" si="7"/>
        <v>0</v>
      </c>
      <c r="J38" s="290">
        <f t="shared" si="7"/>
        <v>0</v>
      </c>
      <c r="K38" s="290">
        <f t="shared" si="7"/>
        <v>0</v>
      </c>
      <c r="L38" s="290">
        <f>'29._Hivatal_önként'!L38+'30._TIK_önként'!L38+'31._Humán_önként'!L38+'32._Óvoda_önként'!L38+'33._TMKK_önként'!L38+'34._Rendelő_önként'!L38</f>
        <v>0</v>
      </c>
    </row>
    <row r="39" spans="1:12" s="26" customFormat="1" ht="12.2" customHeight="1" x14ac:dyDescent="0.2">
      <c r="A39" s="12" t="s">
        <v>107</v>
      </c>
      <c r="B39" s="95" t="s">
        <v>212</v>
      </c>
      <c r="C39" s="131">
        <f>'29._Hivatal_önként'!C39+'30._TIK_önként'!C39+'31._Humán_önként'!C39+'32._Óvoda_önként'!C39+'33._TMKK_önként'!C39+'34._Rendelő_önként'!C39</f>
        <v>0</v>
      </c>
      <c r="D39" s="194">
        <f>'29._Hivatal_önként'!D39+'30._TIK_önként'!D39+'31._Humán_önként'!D39+'32._Óvoda_önként'!D39+'33._TMKK_önként'!D39+'34._Rendelő_önként'!D39</f>
        <v>0</v>
      </c>
      <c r="E39" s="589">
        <f>'29._Hivatal_önként'!E39+'30._TIK_önként'!E39+'31._Humán_önként'!E39+'32._Óvoda_önként'!E39+'33._TMKK_önként'!E39+'34._Rendelő_önként'!E39</f>
        <v>0</v>
      </c>
      <c r="F39" s="589">
        <f>'29._Hivatal_önként'!F39+'30._TIK_önként'!F39+'31._Humán_önként'!F39+'32._Óvoda_önként'!F39+'33._TMKK_önként'!F39+'34._Rendelő_önként'!F39</f>
        <v>0</v>
      </c>
      <c r="G39" s="589">
        <f>'29._Hivatal_önként'!G39+'30._TIK_önként'!G39+'31._Humán_önként'!G39+'32._Óvoda_önként'!G39+'33._TMKK_önként'!G39+'34._Rendelő_önként'!G39</f>
        <v>0</v>
      </c>
      <c r="H39" s="550">
        <f t="shared" si="1"/>
        <v>0</v>
      </c>
      <c r="I39" s="1318">
        <f>'29._Hivatal_önként'!I39+'30._TIK_önként'!I39+'31._Humán_önként'!I39+'32._Óvoda_önként'!I39+'33._TMKK_önként'!I39+'34._Rendelő_önként'!I39</f>
        <v>0</v>
      </c>
      <c r="J39" s="291">
        <f>'29._Hivatal_önként'!J39+'30._TIK_önként'!J39+'31._Humán_önként'!J39+'32._Óvoda_önként'!J39+'33._TMKK_önként'!J39+'34._Rendelő_önként'!J39</f>
        <v>0</v>
      </c>
      <c r="K39" s="291">
        <f>'29._Hivatal_önként'!K39+'30._TIK_önként'!K39+'31._Humán_önként'!K39+'32._Óvoda_önként'!K39+'33._TMKK_önként'!K39+'34._Rendelő_önként'!K39</f>
        <v>0</v>
      </c>
      <c r="L39" s="291">
        <f>'29._Hivatal_önként'!L39+'30._TIK_önként'!L39+'31._Humán_önként'!L39+'32._Óvoda_önként'!L39+'33._TMKK_önként'!L39+'34._Rendelő_önként'!L39</f>
        <v>0</v>
      </c>
    </row>
    <row r="40" spans="1:12" s="26" customFormat="1" ht="12.2" customHeight="1" x14ac:dyDescent="0.2">
      <c r="A40" s="1003" t="s">
        <v>108</v>
      </c>
      <c r="B40" s="346" t="s">
        <v>213</v>
      </c>
      <c r="C40" s="1033">
        <f>'29._Hivatal_önként'!C40+'30._TIK_önként'!C40+'31._Humán_önként'!C40+'32._Óvoda_önként'!C40+'33._TMKK_önként'!C40+'34._Rendelő_önként'!C40</f>
        <v>131957503</v>
      </c>
      <c r="D40" s="825">
        <f t="shared" ref="D40:K40" si="8">D41</f>
        <v>131957503</v>
      </c>
      <c r="E40" s="605">
        <f t="shared" si="8"/>
        <v>136399490</v>
      </c>
      <c r="F40" s="590">
        <f t="shared" si="8"/>
        <v>0</v>
      </c>
      <c r="G40" s="590">
        <f t="shared" si="8"/>
        <v>0</v>
      </c>
      <c r="H40" s="551">
        <f t="shared" si="1"/>
        <v>4441987</v>
      </c>
      <c r="I40" s="1319">
        <f t="shared" si="8"/>
        <v>0</v>
      </c>
      <c r="J40" s="292">
        <f t="shared" si="8"/>
        <v>0</v>
      </c>
      <c r="K40" s="292">
        <f t="shared" si="8"/>
        <v>0</v>
      </c>
      <c r="L40" s="292">
        <f>'29._Hivatal_önként'!L40+'30._TIK_önként'!L40+'31._Humán_önként'!L40+'32._Óvoda_önként'!L40+'33._TMKK_önként'!L40+'34._Rendelő_önként'!L40</f>
        <v>0</v>
      </c>
    </row>
    <row r="41" spans="1:12" s="26" customFormat="1" ht="12.2" customHeight="1" thickBot="1" x14ac:dyDescent="0.25">
      <c r="A41" s="1003" t="s">
        <v>323</v>
      </c>
      <c r="B41" s="103" t="s">
        <v>165</v>
      </c>
      <c r="C41" s="92">
        <f>'29._Hivatal_önként'!C41+'30._TIK_önként'!C41+'31._Humán_önként'!C41+'32._Óvoda_önként'!C41+'33._TMKK_önként'!C41+'34._Rendelő_önként'!C41</f>
        <v>131957503</v>
      </c>
      <c r="D41" s="190">
        <f>'29._Hivatal_önként'!D41+'30._TIK_önként'!D41+'31._Humán_önként'!D41+'32._Óvoda_önként'!D41+'33._TMKK_önként'!D41+'34._Rendelő_önként'!D41</f>
        <v>131957503</v>
      </c>
      <c r="E41" s="593">
        <f>'29._Hivatal_önként'!E41+'30._TIK_önként'!E41+'31._Humán_önként'!E41+'32._Óvoda_önként'!E41+'33._TMKK_önként'!E41+'34._Rendelő_önként'!E41</f>
        <v>136399490</v>
      </c>
      <c r="F41" s="591">
        <f>'29._Hivatal_önként'!F41+'30._TIK_önként'!F41+'31._Humán_önként'!F41+'32._Óvoda_önként'!F41+'33._TMKK_önként'!F41+'34._Rendelő_önként'!F41</f>
        <v>0</v>
      </c>
      <c r="G41" s="591">
        <f>'29._Hivatal_önként'!G41+'30._TIK_önként'!G41+'31._Humán_önként'!G41+'32._Óvoda_önként'!G41+'33._TMKK_önként'!G41+'34._Rendelő_önként'!G41</f>
        <v>0</v>
      </c>
      <c r="H41" s="1377">
        <f t="shared" si="1"/>
        <v>4441987</v>
      </c>
      <c r="I41" s="293">
        <f>'29._Hivatal_önként'!I41+'30._TIK_önként'!I41+'31._Humán_önként'!I41+'32._Óvoda_önként'!I41+'33._TMKK_önként'!I41+'34._Rendelő_önként'!I41</f>
        <v>0</v>
      </c>
      <c r="J41" s="293">
        <f>'29._Hivatal_önként'!J41+'30._TIK_önként'!J41+'31._Humán_önként'!J41+'32._Óvoda_önként'!J41+'33._TMKK_önként'!J41+'34._Rendelő_önként'!J41</f>
        <v>0</v>
      </c>
      <c r="K41" s="293">
        <f>'29._Hivatal_önként'!K41+'30._TIK_önként'!K41+'31._Humán_önként'!K41+'32._Óvoda_önként'!K41+'33._TMKK_önként'!K41+'34._Rendelő_önként'!K41</f>
        <v>0</v>
      </c>
      <c r="L41" s="293">
        <f>'29._Hivatal_önként'!L41+'30._TIK_önként'!L41+'31._Humán_önként'!L41+'32._Óvoda_önként'!L41+'33._TMKK_önként'!L41+'34._Rendelő_önként'!L41</f>
        <v>0</v>
      </c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1327358593</v>
      </c>
      <c r="D42" s="127">
        <f t="shared" ref="D42:K42" si="9">+D10+D22+D27+D28+D32+D36+D38</f>
        <v>1327358593</v>
      </c>
      <c r="E42" s="582">
        <f>+E10+E22+E27+E28+E32+E36+E38</f>
        <v>1327358593</v>
      </c>
      <c r="F42" s="582">
        <f t="shared" si="9"/>
        <v>5018250</v>
      </c>
      <c r="G42" s="582">
        <f t="shared" si="9"/>
        <v>5018250</v>
      </c>
      <c r="H42" s="74">
        <f t="shared" si="1"/>
        <v>0</v>
      </c>
      <c r="I42" s="290">
        <f t="shared" si="9"/>
        <v>0</v>
      </c>
      <c r="J42" s="290">
        <f t="shared" si="9"/>
        <v>0</v>
      </c>
      <c r="K42" s="290">
        <f t="shared" si="9"/>
        <v>0</v>
      </c>
      <c r="L42" s="290">
        <f>'29._Hivatal_önként'!L42+'30._TIK_önként'!L42+'31._Humán_önként'!L42+'32._Óvoda_önként'!L42+'33._TMKK_önként'!L42+'34._Rendelő_önként'!L42</f>
        <v>0</v>
      </c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C44+C45+C46+C47</f>
        <v>816997215</v>
      </c>
      <c r="D43" s="127">
        <f t="shared" ref="D43:K43" si="10">D44+D45+D46+D47</f>
        <v>829745215</v>
      </c>
      <c r="E43" s="582">
        <f t="shared" si="10"/>
        <v>1045834339</v>
      </c>
      <c r="F43" s="582">
        <f t="shared" si="10"/>
        <v>-5018250</v>
      </c>
      <c r="G43" s="582">
        <f t="shared" si="10"/>
        <v>-5018250</v>
      </c>
      <c r="H43" s="74">
        <f t="shared" si="1"/>
        <v>216089124</v>
      </c>
      <c r="I43" s="290">
        <f t="shared" si="10"/>
        <v>0</v>
      </c>
      <c r="J43" s="290">
        <f t="shared" si="10"/>
        <v>0</v>
      </c>
      <c r="K43" s="290">
        <f t="shared" si="10"/>
        <v>0</v>
      </c>
      <c r="L43" s="290">
        <f>'29._Hivatal_önként'!L43+'30._TIK_önként'!L43+'31._Humán_önként'!L43+'32._Óvoda_önként'!L43+'33._TMKK_önként'!L43+'34._Rendelő_önként'!L43</f>
        <v>0</v>
      </c>
    </row>
    <row r="44" spans="1:12" s="26" customFormat="1" ht="12.2" customHeight="1" x14ac:dyDescent="0.2">
      <c r="A44" s="58" t="s">
        <v>171</v>
      </c>
      <c r="B44" s="59" t="s">
        <v>131</v>
      </c>
      <c r="C44" s="122">
        <f>'29._Hivatal_önként'!C44+'30._TIK_önként'!C44+'31._Humán_önként'!C44+'32._Óvoda_önként'!C44+'33._TMKK_önként'!C44+'34._Rendelő_önként'!C44</f>
        <v>3550090</v>
      </c>
      <c r="D44" s="189">
        <f>'29._Hivatal_önként'!D44+'30._TIK_önként'!D44+'31._Humán_önként'!D44+'32._Óvoda_önként'!D44+'33._TMKK_önként'!D44+'34._Rendelő_önként'!D44</f>
        <v>233229456</v>
      </c>
      <c r="E44" s="586">
        <f>'29._Hivatal_önként'!E44+'30._TIK_önként'!E44+'31._Humán_önként'!E44+'32._Óvoda_önként'!E44+'33._TMKK_önként'!E44+'34._Rendelő_önként'!E44</f>
        <v>233229456</v>
      </c>
      <c r="F44" s="586">
        <f>'29._Hivatal_önként'!F44+'30._TIK_önként'!F44+'31._Humán_önként'!F44+'32._Óvoda_önként'!F44+'33._TMKK_önként'!F44+'34._Rendelő_önként'!F44</f>
        <v>0</v>
      </c>
      <c r="G44" s="586">
        <f>'29._Hivatal_önként'!G44+'30._TIK_önként'!G44+'31._Humán_önként'!G44+'32._Óvoda_önként'!G44+'33._TMKK_önként'!G44+'34._Rendelő_önként'!G44</f>
        <v>0</v>
      </c>
      <c r="H44" s="546">
        <f t="shared" si="1"/>
        <v>0</v>
      </c>
      <c r="I44" s="1314">
        <f>'29._Hivatal_önként'!I44+'30._TIK_önként'!I44+'31._Humán_önként'!I44+'32._Óvoda_önként'!I44+'33._TMKK_önként'!I44+'34._Rendelő_önként'!I44</f>
        <v>0</v>
      </c>
      <c r="J44" s="285">
        <f>'29._Hivatal_önként'!J44+'30._TIK_önként'!J44+'31._Humán_önként'!J44+'32._Óvoda_önként'!J44+'33._TMKK_önként'!J44+'34._Rendelő_önként'!J44</f>
        <v>0</v>
      </c>
      <c r="K44" s="285">
        <f>'29._Hivatal_önként'!K44+'30._TIK_önként'!K44+'31._Humán_önként'!K44+'32._Óvoda_önként'!K44+'33._TMKK_önként'!K44+'34._Rendelő_önként'!K44</f>
        <v>0</v>
      </c>
      <c r="L44" s="285">
        <f>'29._Hivatal_önként'!L44+'30._TIK_önként'!L44+'31._Humán_önként'!L44+'32._Óvoda_önként'!L44+'33._TMKK_önként'!L44+'34._Rendelő_önként'!L44</f>
        <v>0</v>
      </c>
    </row>
    <row r="45" spans="1:12" s="26" customFormat="1" ht="12.2" customHeight="1" x14ac:dyDescent="0.2">
      <c r="A45" s="71" t="s">
        <v>172</v>
      </c>
      <c r="B45" s="59" t="s">
        <v>186</v>
      </c>
      <c r="C45" s="120">
        <f>'29._Hivatal_önként'!C45+'30._TIK_önként'!C45+'31._Humán_önként'!C45+'32._Óvoda_önként'!C45+'33._TMKK_önként'!C45+'34._Rendelő_önként'!C45</f>
        <v>0</v>
      </c>
      <c r="D45" s="193">
        <f>'29._Hivatal_önként'!D45+'30._TIK_önként'!D45+'31._Humán_önként'!D45+'32._Óvoda_önként'!D45+'33._TMKK_önként'!D45+'34._Rendelő_önként'!D45</f>
        <v>297434</v>
      </c>
      <c r="E45" s="91">
        <f>'29._Hivatal_önként'!E45+'30._TIK_önként'!E45+'31._Humán_önként'!E45+'32._Óvoda_önként'!E45+'33._TMKK_önként'!E45+'34._Rendelő_önként'!E45</f>
        <v>297434</v>
      </c>
      <c r="F45" s="91">
        <f>'29._Hivatal_önként'!F45+'30._TIK_önként'!F45+'31._Humán_önként'!F45+'32._Óvoda_önként'!F45+'33._TMKK_önként'!F45+'34._Rendelő_önként'!F45</f>
        <v>0</v>
      </c>
      <c r="G45" s="91">
        <f>'29._Hivatal_önként'!G45+'30._TIK_önként'!G45+'31._Humán_önként'!G45+'32._Óvoda_önként'!G45+'33._TMKK_önként'!G45+'34._Rendelő_önként'!G45</f>
        <v>0</v>
      </c>
      <c r="H45" s="553">
        <f t="shared" si="1"/>
        <v>0</v>
      </c>
      <c r="I45" s="1320">
        <f>'29._Hivatal_önként'!I45+'30._TIK_önként'!I45+'31._Humán_önként'!I45+'32._Óvoda_önként'!I45+'33._TMKK_önként'!I45+'34._Rendelő_önként'!I45</f>
        <v>0</v>
      </c>
      <c r="J45" s="294">
        <f>'29._Hivatal_önként'!J45+'30._TIK_önként'!J45+'31._Humán_önként'!J45+'32._Óvoda_önként'!J45+'33._TMKK_önként'!J45+'34._Rendelő_önként'!J45</f>
        <v>0</v>
      </c>
      <c r="K45" s="294">
        <f>'29._Hivatal_önként'!K45+'30._TIK_önként'!K45+'31._Humán_önként'!K45+'32._Óvoda_önként'!K45+'33._TMKK_önként'!K45+'34._Rendelő_önként'!K45</f>
        <v>0</v>
      </c>
      <c r="L45" s="294">
        <f>'29._Hivatal_önként'!L45+'30._TIK_önként'!L45+'31._Humán_önként'!L45+'32._Óvoda_önként'!L45+'33._TMKK_önként'!L45+'34._Rendelő_önként'!L45</f>
        <v>0</v>
      </c>
    </row>
    <row r="46" spans="1:12" s="26" customFormat="1" ht="12.2" customHeight="1" x14ac:dyDescent="0.2">
      <c r="A46" s="1037" t="s">
        <v>173</v>
      </c>
      <c r="B46" s="336" t="s">
        <v>177</v>
      </c>
      <c r="C46" s="339">
        <f>'29._Hivatal_önként'!C46+'30._TIK_önként'!C46+'31._Humán_önként'!C46+'32._Óvoda_önként'!C46+'33._TMKK_önként'!C46+'34._Rendelő_önként'!C46</f>
        <v>788437478</v>
      </c>
      <c r="D46" s="323">
        <f>'29._Hivatal_önként'!D46+'30._TIK_önként'!D46+'31._Humán_önként'!D46+'32._Óvoda_önként'!D46+'33._TMKK_önként'!D46+'34._Rendelő_önként'!D46</f>
        <v>571506112</v>
      </c>
      <c r="E46" s="107">
        <f>'29._Hivatal_önként'!E46+'30._TIK_önként'!E46+'31._Humán_önként'!E46+'32._Óvoda_önként'!E46+'33._TMKK_önként'!E46+'34._Rendelő_önként'!E46</f>
        <v>792037223</v>
      </c>
      <c r="F46" s="107">
        <f>'29._Hivatal_önként'!F46+'30._TIK_önként'!F46+'31._Humán_önként'!F46+'32._Óvoda_önként'!F46+'33._TMKK_önként'!F46+'34._Rendelő_önként'!F46</f>
        <v>-5018250</v>
      </c>
      <c r="G46" s="107">
        <f>'29._Hivatal_önként'!G46+'30._TIK_önként'!G46+'31._Humán_önként'!G46+'32._Óvoda_önként'!G46+'33._TMKK_önként'!G46+'34._Rendelő_önként'!G46</f>
        <v>-5018250</v>
      </c>
      <c r="H46" s="534">
        <f t="shared" si="1"/>
        <v>220531111</v>
      </c>
      <c r="I46" s="1315">
        <f>'29._Hivatal_önként'!I46+'30._TIK_önként'!I46+'31._Humán_önként'!I46+'32._Óvoda_önként'!I46+'33._TMKK_önként'!I46+'34._Rendelő_önként'!I46</f>
        <v>0</v>
      </c>
      <c r="J46" s="286">
        <f>'29._Hivatal_önként'!J46+'30._TIK_önként'!J46+'31._Humán_önként'!J46+'32._Óvoda_önként'!J46+'33._TMKK_önként'!J46+'34._Rendelő_önként'!J46</f>
        <v>0</v>
      </c>
      <c r="K46" s="286">
        <f>'29._Hivatal_önként'!K46+'30._TIK_önként'!K46+'31._Humán_önként'!K46+'32._Óvoda_önként'!K46+'33._TMKK_önként'!K46+'34._Rendelő_önként'!K46</f>
        <v>0</v>
      </c>
      <c r="L46" s="286">
        <f>'29._Hivatal_önként'!L46+'30._TIK_önként'!L46+'31._Humán_önként'!L46+'32._Óvoda_önként'!L46+'33._TMKK_önként'!L46+'34._Rendelő_önként'!L46</f>
        <v>0</v>
      </c>
    </row>
    <row r="47" spans="1:12" s="54" customFormat="1" ht="12.2" customHeight="1" thickBot="1" x14ac:dyDescent="0.25">
      <c r="A47" s="58" t="s">
        <v>178</v>
      </c>
      <c r="B47" s="62" t="s">
        <v>179</v>
      </c>
      <c r="C47" s="1034">
        <f>'29._Hivatal_önként'!C47+'30._TIK_önként'!C47+'31._Humán_önként'!C47+'32._Óvoda_önként'!C47+'33._TMKK_önként'!C47+'34._Rendelő_önként'!C47</f>
        <v>25009647</v>
      </c>
      <c r="D47" s="195">
        <f>'29._Hivatal_önként'!D47+'30._TIK_önként'!D47+'31._Humán_önként'!D47+'32._Óvoda_önként'!D47+'33._TMKK_önként'!D47+'34._Rendelő_önként'!D47</f>
        <v>24712213</v>
      </c>
      <c r="E47" s="587">
        <f>'29._Hivatal_önként'!E47+'30._TIK_önként'!E47+'31._Humán_önként'!E47+'32._Óvoda_önként'!E47+'33._TMKK_önként'!E47+'34._Rendelő_önként'!E47</f>
        <v>20270226</v>
      </c>
      <c r="F47" s="587">
        <f>'29._Hivatal_önként'!F47+'30._TIK_önként'!F47+'31._Humán_önként'!F47+'32._Óvoda_önként'!F47+'33._TMKK_önként'!F47+'34._Rendelő_önként'!F47</f>
        <v>0</v>
      </c>
      <c r="G47" s="587">
        <f>'29._Hivatal_önként'!G47+'30._TIK_önként'!G47+'31._Humán_önként'!G47+'32._Óvoda_önként'!G47+'33._TMKK_önként'!G47+'34._Rendelő_önként'!G47</f>
        <v>0</v>
      </c>
      <c r="H47" s="548">
        <f t="shared" si="1"/>
        <v>-4441987</v>
      </c>
      <c r="I47" s="1317">
        <f>'29._Hivatal_önként'!I47+'30._TIK_önként'!I47+'31._Humán_önként'!I47+'32._Óvoda_önként'!I47+'33._TMKK_önként'!I47+'34._Rendelő_önként'!I47</f>
        <v>0</v>
      </c>
      <c r="J47" s="288">
        <f>'29._Hivatal_önként'!J47+'30._TIK_önként'!J47+'31._Humán_önként'!J47+'32._Óvoda_önként'!J47+'33._TMKK_önként'!J47+'34._Rendelő_önként'!J47</f>
        <v>0</v>
      </c>
      <c r="K47" s="288">
        <f>'29._Hivatal_önként'!K47+'30._TIK_önként'!K47+'31._Humán_önként'!K47+'32._Óvoda_önként'!K47+'33._TMKK_önként'!K47+'34._Rendelő_önként'!K47</f>
        <v>0</v>
      </c>
      <c r="L47" s="288">
        <f>'29._Hivatal_önként'!L47+'30._TIK_önként'!L47+'31._Humán_önként'!L47+'32._Óvoda_önként'!L47+'33._TMKK_önként'!L47+'34._Rendelő_önként'!L47</f>
        <v>0</v>
      </c>
    </row>
    <row r="48" spans="1:12" s="559" customFormat="1" ht="15" customHeight="1" thickBot="1" x14ac:dyDescent="0.2">
      <c r="A48" s="63" t="s">
        <v>21</v>
      </c>
      <c r="B48" s="556" t="s">
        <v>174</v>
      </c>
      <c r="C48" s="135">
        <f>+C42+C43</f>
        <v>2144355808</v>
      </c>
      <c r="D48" s="134">
        <f t="shared" ref="D48:K48" si="11">+D42+D43</f>
        <v>2157103808</v>
      </c>
      <c r="E48" s="592">
        <f t="shared" si="11"/>
        <v>2373192932</v>
      </c>
      <c r="F48" s="592">
        <f t="shared" si="11"/>
        <v>0</v>
      </c>
      <c r="G48" s="592">
        <f t="shared" si="11"/>
        <v>0</v>
      </c>
      <c r="H48" s="557">
        <f t="shared" si="1"/>
        <v>216089124</v>
      </c>
      <c r="I48" s="558">
        <f t="shared" si="11"/>
        <v>0</v>
      </c>
      <c r="J48" s="558">
        <f t="shared" si="11"/>
        <v>0</v>
      </c>
      <c r="K48" s="558">
        <f t="shared" si="11"/>
        <v>0</v>
      </c>
      <c r="L48" s="558">
        <f>'29._Hivatal_önként'!L48+'30._TIK_önként'!L48+'31._Humán_önként'!L48+'32._Óvoda_önként'!L48+'33._TMKK_önként'!L48+'34._Rendelő_önként'!L48</f>
        <v>0</v>
      </c>
    </row>
    <row r="49" spans="1:16" s="54" customFormat="1" ht="15" customHeight="1" x14ac:dyDescent="0.2">
      <c r="A49" s="64"/>
      <c r="B49" s="65"/>
      <c r="C49" s="66"/>
      <c r="D49" s="66"/>
      <c r="E49" s="66"/>
      <c r="F49" s="66"/>
      <c r="G49" s="66"/>
      <c r="H49" s="66"/>
      <c r="P49" s="54" t="b">
        <f>H48=H69</f>
        <v>1</v>
      </c>
    </row>
    <row r="50" spans="1:16" ht="13.5" thickBot="1" x14ac:dyDescent="0.25">
      <c r="A50" s="1912" t="s">
        <v>362</v>
      </c>
      <c r="B50" s="1912"/>
      <c r="C50" s="1912"/>
      <c r="D50" s="1912"/>
      <c r="E50" s="1912"/>
      <c r="F50" s="1912"/>
      <c r="G50" s="1912"/>
      <c r="H50" s="1912"/>
    </row>
    <row r="51" spans="1:16" s="554" customFormat="1" ht="54" customHeight="1" thickBot="1" x14ac:dyDescent="0.25">
      <c r="A51" s="641"/>
      <c r="B51" s="642" t="s">
        <v>38</v>
      </c>
      <c r="C51" s="21" t="str">
        <f>C7</f>
        <v>2023. évi eredeti előirányzat
2/2023. (II.14.)</v>
      </c>
      <c r="D51" s="166" t="str">
        <f t="shared" ref="D51:L51" si="12">D7</f>
        <v>Módosított előirányzat a 14/2023.  (VI.29.)  rendelet szerint</v>
      </c>
      <c r="E51" s="21" t="str">
        <f t="shared" si="12"/>
        <v>Módosított előirányzat a 18/2023. (IX.26.)  rendelet szerint</v>
      </c>
      <c r="F51" s="21" t="str">
        <f t="shared" si="12"/>
        <v>Módosított előirányzat 2023.09.30-án</v>
      </c>
      <c r="G51" s="21" t="str">
        <f t="shared" si="12"/>
        <v>Módosított előirányzat a …../2023. (II…..)  rendelet szerint</v>
      </c>
      <c r="H51" s="32" t="str">
        <f t="shared" si="12"/>
        <v>Változás a 14/2023. (VI.29.) rendelethez képest</v>
      </c>
      <c r="I51" s="166" t="str">
        <f t="shared" si="12"/>
        <v>2023. évi teljesítés              2023.06.30-ig</v>
      </c>
      <c r="J51" s="21" t="str">
        <f t="shared" si="12"/>
        <v>2023. évi teljesítés              2023.09.30-ig</v>
      </c>
      <c r="K51" s="21" t="str">
        <f t="shared" si="12"/>
        <v>2023. évi teljesítés              2023.12.31-ig</v>
      </c>
      <c r="L51" s="21" t="str">
        <f t="shared" si="12"/>
        <v>Teljesítés %-a</v>
      </c>
    </row>
    <row r="52" spans="1:16" s="31" customFormat="1" ht="12.2" customHeight="1" thickBot="1" x14ac:dyDescent="0.25">
      <c r="A52" s="55" t="s">
        <v>12</v>
      </c>
      <c r="B52" s="56" t="s">
        <v>547</v>
      </c>
      <c r="C52" s="89">
        <f>+C53+C55+C56+C57+C58</f>
        <v>1987388658</v>
      </c>
      <c r="D52" s="127">
        <f t="shared" ref="D52:K52" si="13">+D53+D55+D56+D57+D58</f>
        <v>2000136658</v>
      </c>
      <c r="E52" s="582">
        <f t="shared" si="13"/>
        <v>2216225782</v>
      </c>
      <c r="F52" s="582">
        <f t="shared" si="13"/>
        <v>0</v>
      </c>
      <c r="G52" s="582">
        <f t="shared" si="13"/>
        <v>0</v>
      </c>
      <c r="H52" s="48">
        <f t="shared" ref="H52:H71" si="14">+E52-D52</f>
        <v>216089124</v>
      </c>
      <c r="I52" s="175">
        <f t="shared" si="13"/>
        <v>0</v>
      </c>
      <c r="J52" s="48">
        <f t="shared" si="13"/>
        <v>0</v>
      </c>
      <c r="K52" s="48">
        <f t="shared" si="13"/>
        <v>0</v>
      </c>
      <c r="L52" s="48">
        <f>'29._Hivatal_önként'!Q53+'30._TIK_önként'!L53+'31._Humán_önként'!L53+'32._Óvoda_önként'!L53+'33._TMKK_önként'!L53+'34._Rendelő_önként'!L53</f>
        <v>0</v>
      </c>
    </row>
    <row r="53" spans="1:16" ht="12.2" customHeight="1" x14ac:dyDescent="0.2">
      <c r="A53" s="1037" t="s">
        <v>91</v>
      </c>
      <c r="B53" s="17" t="s">
        <v>68</v>
      </c>
      <c r="C53" s="122">
        <f>'29._Hivatal_önként'!H54+'30._TIK_önként'!C54+'31._Humán_önként'!C54+'32._Óvoda_önként'!C54+'33._TMKK_önként'!C54+'34._Rendelő_önként'!C54</f>
        <v>1342534057</v>
      </c>
      <c r="D53" s="189">
        <f>'29._Hivatal_önként'!I54+'30._TIK_önként'!D54+'31._Humán_önként'!D54+'32._Óvoda_önként'!D54+'33._TMKK_önként'!D54+'34._Rendelő_önként'!D54</f>
        <v>1351634057</v>
      </c>
      <c r="E53" s="586">
        <f>'29._Hivatal_önként'!J54+'30._TIK_önként'!E54+'31._Humán_önként'!E54+'32._Óvoda_önként'!E54+'33._TMKK_önként'!E54+'34._Rendelő_önként'!E54</f>
        <v>1481189659</v>
      </c>
      <c r="F53" s="586">
        <f>'29._Hivatal_önként'!K54+'30._TIK_önként'!F54+'31._Humán_önként'!F54+'32._Óvoda_önként'!F54+'33._TMKK_önként'!F54+'34._Rendelő_önként'!F54</f>
        <v>0</v>
      </c>
      <c r="G53" s="586">
        <f>'29._Hivatal_önként'!L54+'30._TIK_önként'!G54+'31._Humán_önként'!G54+'32._Óvoda_önként'!G54+'33._TMKK_önként'!G54+'34._Rendelő_önként'!G54</f>
        <v>0</v>
      </c>
      <c r="H53" s="33">
        <f t="shared" si="14"/>
        <v>129555602</v>
      </c>
      <c r="I53" s="177">
        <f>'29._Hivatal_önként'!N54+'30._TIK_önként'!I54+'31._Humán_önként'!I54+'32._Óvoda_önként'!I54+'33._TMKK_önként'!I54+'34._Rendelő_önként'!I54</f>
        <v>0</v>
      </c>
      <c r="J53" s="33">
        <f>'29._Hivatal_önként'!O54+'30._TIK_önként'!J54+'31._Humán_önként'!J54+'32._Óvoda_önként'!J54+'33._TMKK_önként'!J54+'34._Rendelő_önként'!J54</f>
        <v>0</v>
      </c>
      <c r="K53" s="33">
        <f>'29._Hivatal_önként'!P54+'30._TIK_önként'!K54+'31._Humán_önként'!K54+'32._Óvoda_önként'!K54+'33._TMKK_önként'!K54+'34._Rendelő_önként'!K54</f>
        <v>0</v>
      </c>
      <c r="L53" s="33">
        <f>'29._Hivatal_önként'!Q54+'30._TIK_önként'!L54+'31._Humán_önként'!L54+'32._Óvoda_önként'!L54+'33._TMKK_önként'!L54+'34._Rendelő_önként'!L54</f>
        <v>0</v>
      </c>
    </row>
    <row r="54" spans="1:16" ht="12.2" customHeight="1" x14ac:dyDescent="0.2">
      <c r="A54" s="1037" t="s">
        <v>305</v>
      </c>
      <c r="B54" s="335" t="s">
        <v>270</v>
      </c>
      <c r="C54" s="122">
        <f>'29._Hivatal_önként'!H55+'30._TIK_önként'!C55+'31._Humán_önként'!C55+'32._Óvoda_önként'!C55+'33._TMKK_önként'!C55+'34._Rendelő_önként'!C55</f>
        <v>0</v>
      </c>
      <c r="D54" s="189">
        <f>'29._Hivatal_önként'!I55+'30._TIK_önként'!D55+'31._Humán_önként'!D55+'32._Óvoda_önként'!D55+'33._TMKK_önként'!D55+'34._Rendelő_önként'!D55</f>
        <v>0</v>
      </c>
      <c r="E54" s="586">
        <f>'29._Hivatal_önként'!J55+'30._TIK_önként'!E55+'31._Humán_önként'!E55+'32._Óvoda_önként'!E55+'33._TMKK_önként'!E55+'34._Rendelő_önként'!E55</f>
        <v>56111296</v>
      </c>
      <c r="F54" s="586">
        <f>'29._Hivatal_önként'!K55+'30._TIK_önként'!F55+'31._Humán_önként'!F55+'32._Óvoda_önként'!F55+'33._TMKK_önként'!F55+'34._Rendelő_önként'!F55</f>
        <v>0</v>
      </c>
      <c r="G54" s="586">
        <f>'29._Hivatal_önként'!L55+'30._TIK_önként'!G55+'31._Humán_önként'!G55+'32._Óvoda_önként'!G55+'33._TMKK_önként'!G55+'34._Rendelő_önként'!G55</f>
        <v>0</v>
      </c>
      <c r="H54" s="33">
        <f t="shared" si="14"/>
        <v>56111296</v>
      </c>
      <c r="I54" s="177">
        <f>'29._Hivatal_önként'!N55+'30._TIK_önként'!I55+'31._Humán_önként'!I55+'32._Óvoda_önként'!I55+'33._TMKK_önként'!I55+'34._Rendelő_önként'!I55</f>
        <v>0</v>
      </c>
      <c r="J54" s="33">
        <f>'29._Hivatal_önként'!O55+'30._TIK_önként'!J55+'31._Humán_önként'!J55+'32._Óvoda_önként'!J55+'33._TMKK_önként'!J55+'34._Rendelő_önként'!J55</f>
        <v>0</v>
      </c>
      <c r="K54" s="33">
        <f>'29._Hivatal_önként'!P55+'30._TIK_önként'!K55+'31._Humán_önként'!K55+'32._Óvoda_önként'!K55+'33._TMKK_önként'!K55+'34._Rendelő_önként'!K55</f>
        <v>0</v>
      </c>
      <c r="L54" s="33">
        <f>'29._Hivatal_önként'!Q55+'30._TIK_önként'!L55+'31._Humán_önként'!L55+'32._Óvoda_önként'!L55+'33._TMKK_önként'!L55+'34._Rendelő_önként'!L55</f>
        <v>0</v>
      </c>
    </row>
    <row r="55" spans="1:16" ht="12.2" customHeight="1" x14ac:dyDescent="0.2">
      <c r="A55" s="1037" t="s">
        <v>92</v>
      </c>
      <c r="B55" s="330" t="s">
        <v>87</v>
      </c>
      <c r="C55" s="339">
        <f>'29._Hivatal_önként'!H56+'30._TIK_önként'!C56+'31._Humán_önként'!C56+'32._Óvoda_önként'!C56+'33._TMKK_önként'!C56+'34._Rendelő_önként'!C56</f>
        <v>173420659</v>
      </c>
      <c r="D55" s="323">
        <f>'29._Hivatal_önként'!I56+'30._TIK_önként'!D56+'31._Humán_önként'!D56+'32._Óvoda_önként'!D56+'33._TMKK_önként'!D56+'34._Rendelő_önként'!D56</f>
        <v>175968659</v>
      </c>
      <c r="E55" s="107">
        <f>'29._Hivatal_önként'!J56+'30._TIK_önként'!E56+'31._Humán_önként'!E56+'32._Óvoda_önként'!E56+'33._TMKK_önként'!E56+'34._Rendelő_önként'!E56</f>
        <v>200901770</v>
      </c>
      <c r="F55" s="107">
        <f>'29._Hivatal_önként'!K56+'30._TIK_önként'!F56+'31._Humán_önként'!F56+'32._Óvoda_önként'!F56+'33._TMKK_önként'!F56+'34._Rendelő_önként'!F56</f>
        <v>0</v>
      </c>
      <c r="G55" s="107">
        <f>'29._Hivatal_önként'!L56+'30._TIK_önként'!G56+'31._Humán_önként'!G56+'32._Óvoda_önként'!G56+'33._TMKK_önként'!G56+'34._Rendelő_önként'!G56</f>
        <v>0</v>
      </c>
      <c r="H55" s="324">
        <f t="shared" si="14"/>
        <v>24933111</v>
      </c>
      <c r="I55" s="503">
        <f>'29._Hivatal_önként'!N56+'30._TIK_önként'!I56+'31._Humán_önként'!I56+'32._Óvoda_önként'!I56+'33._TMKK_önként'!I56+'34._Rendelő_önként'!I56</f>
        <v>0</v>
      </c>
      <c r="J55" s="34">
        <f>'29._Hivatal_önként'!O56+'30._TIK_önként'!J56+'31._Humán_önként'!J56+'32._Óvoda_önként'!J56+'33._TMKK_önként'!J56+'34._Rendelő_önként'!J56</f>
        <v>0</v>
      </c>
      <c r="K55" s="34">
        <f>'29._Hivatal_önként'!P56+'30._TIK_önként'!K56+'31._Humán_önként'!K56+'32._Óvoda_önként'!K56+'33._TMKK_önként'!K56+'34._Rendelő_önként'!K56</f>
        <v>0</v>
      </c>
      <c r="L55" s="34">
        <f>'29._Hivatal_önként'!Q56+'30._TIK_önként'!L56+'31._Humán_önként'!L56+'32._Óvoda_önként'!L56+'33._TMKK_önként'!L56+'34._Rendelő_önként'!L56</f>
        <v>0</v>
      </c>
    </row>
    <row r="56" spans="1:16" ht="12.2" customHeight="1" x14ac:dyDescent="0.2">
      <c r="A56" s="1037" t="s">
        <v>93</v>
      </c>
      <c r="B56" s="330" t="s">
        <v>69</v>
      </c>
      <c r="C56" s="339">
        <f>'29._Hivatal_önként'!H57+'30._TIK_önként'!C57+'31._Humán_önként'!C57+'32._Óvoda_önként'!C57+'33._TMKK_önként'!C57+'34._Rendelő_önként'!C57</f>
        <v>471433942</v>
      </c>
      <c r="D56" s="323">
        <f>'29._Hivatal_önként'!I57+'30._TIK_önként'!D57+'31._Humán_önként'!D57+'32._Óvoda_önként'!D57+'33._TMKK_önként'!D57+'34._Rendelő_önként'!D57</f>
        <v>472533942</v>
      </c>
      <c r="E56" s="107">
        <f>'29._Hivatal_önként'!J57+'30._TIK_önként'!E57+'31._Humán_önként'!E57+'32._Óvoda_önként'!E57+'33._TMKK_önként'!E57+'34._Rendelő_önként'!E57</f>
        <v>534134353</v>
      </c>
      <c r="F56" s="107">
        <f>'29._Hivatal_önként'!K57+'30._TIK_önként'!F57+'31._Humán_önként'!F57+'32._Óvoda_önként'!F57+'33._TMKK_önként'!F57+'34._Rendelő_önként'!F57</f>
        <v>0</v>
      </c>
      <c r="G56" s="107">
        <f>'29._Hivatal_önként'!L57+'30._TIK_önként'!G57+'31._Humán_önként'!G57+'32._Óvoda_önként'!G57+'33._TMKK_önként'!G57+'34._Rendelő_önként'!G57</f>
        <v>0</v>
      </c>
      <c r="H56" s="324">
        <f t="shared" si="14"/>
        <v>61600411</v>
      </c>
      <c r="I56" s="503">
        <f>'29._Hivatal_önként'!N57+'30._TIK_önként'!I57+'31._Humán_önként'!I57+'32._Óvoda_önként'!I57+'33._TMKK_önként'!I57+'34._Rendelő_önként'!I57</f>
        <v>0</v>
      </c>
      <c r="J56" s="34">
        <f>'29._Hivatal_önként'!O57+'30._TIK_önként'!J57+'31._Humán_önként'!J57+'32._Óvoda_önként'!J57+'33._TMKK_önként'!J57+'34._Rendelő_önként'!J57</f>
        <v>0</v>
      </c>
      <c r="K56" s="34">
        <f>'29._Hivatal_önként'!P57+'30._TIK_önként'!K57+'31._Humán_önként'!K57+'32._Óvoda_önként'!K57+'33._TMKK_önként'!K57+'34._Rendelő_önként'!K57</f>
        <v>0</v>
      </c>
      <c r="L56" s="34">
        <f>'29._Hivatal_önként'!Q57+'30._TIK_önként'!L57+'31._Humán_önként'!L57+'32._Óvoda_önként'!L57+'33._TMKK_önként'!L57+'34._Rendelő_önként'!L57</f>
        <v>0</v>
      </c>
    </row>
    <row r="57" spans="1:16" ht="12.2" customHeight="1" x14ac:dyDescent="0.2">
      <c r="A57" s="1037" t="s">
        <v>90</v>
      </c>
      <c r="B57" s="330" t="s">
        <v>80</v>
      </c>
      <c r="C57" s="339">
        <f>'29._Hivatal_önként'!H58+'30._TIK_önként'!C58+'31._Humán_önként'!C58+'32._Óvoda_önként'!C58+'33._TMKK_önként'!C58+'34._Rendelő_önként'!C58</f>
        <v>0</v>
      </c>
      <c r="D57" s="323">
        <f>'29._Hivatal_önként'!I58+'30._TIK_önként'!D58+'31._Humán_önként'!D58+'32._Óvoda_önként'!D58+'33._TMKK_önként'!D58+'34._Rendelő_önként'!D58</f>
        <v>0</v>
      </c>
      <c r="E57" s="107">
        <f>'29._Hivatal_önként'!J58+'30._TIK_önként'!E58+'31._Humán_önként'!E58+'32._Óvoda_önként'!E58+'33._TMKK_önként'!E58+'34._Rendelő_önként'!E58</f>
        <v>0</v>
      </c>
      <c r="F57" s="107">
        <f>'29._Hivatal_önként'!K58+'30._TIK_önként'!F58+'31._Humán_önként'!F58+'32._Óvoda_önként'!F58+'33._TMKK_önként'!F58+'34._Rendelő_önként'!F58</f>
        <v>0</v>
      </c>
      <c r="G57" s="107">
        <f>'29._Hivatal_önként'!L58+'30._TIK_önként'!G58+'31._Humán_önként'!G58+'32._Óvoda_önként'!G58+'33._TMKK_önként'!G58+'34._Rendelő_önként'!G58</f>
        <v>0</v>
      </c>
      <c r="H57" s="324">
        <f t="shared" si="14"/>
        <v>0</v>
      </c>
      <c r="I57" s="503">
        <f>'29._Hivatal_önként'!N58+'30._TIK_önként'!I58+'31._Humán_önként'!I58+'32._Óvoda_önként'!I58+'33._TMKK_önként'!I58+'34._Rendelő_önként'!I58</f>
        <v>0</v>
      </c>
      <c r="J57" s="34">
        <f>'29._Hivatal_önként'!O58+'30._TIK_önként'!J58+'31._Humán_önként'!J58+'32._Óvoda_önként'!J58+'33._TMKK_önként'!J58+'34._Rendelő_önként'!J58</f>
        <v>0</v>
      </c>
      <c r="K57" s="34">
        <f>'29._Hivatal_önként'!P58+'30._TIK_önként'!K58+'31._Humán_önként'!K58+'32._Óvoda_önként'!K58+'33._TMKK_önként'!K58+'34._Rendelő_önként'!K58</f>
        <v>0</v>
      </c>
      <c r="L57" s="34">
        <f>'29._Hivatal_önként'!Q58+'30._TIK_önként'!L58+'31._Humán_önként'!L58+'32._Óvoda_önként'!L58+'33._TMKK_önként'!L58+'34._Rendelő_önként'!L58</f>
        <v>0</v>
      </c>
    </row>
    <row r="58" spans="1:16" ht="12.2" customHeight="1" x14ac:dyDescent="0.2">
      <c r="A58" s="1037" t="s">
        <v>147</v>
      </c>
      <c r="B58" s="330" t="s">
        <v>88</v>
      </c>
      <c r="C58" s="339">
        <f>C59+C60</f>
        <v>0</v>
      </c>
      <c r="D58" s="323">
        <f t="shared" ref="D58:K58" si="15">D59+D60</f>
        <v>0</v>
      </c>
      <c r="E58" s="107">
        <f t="shared" si="15"/>
        <v>0</v>
      </c>
      <c r="F58" s="107">
        <f t="shared" si="15"/>
        <v>0</v>
      </c>
      <c r="G58" s="107">
        <f t="shared" si="15"/>
        <v>0</v>
      </c>
      <c r="H58" s="324">
        <f t="shared" si="14"/>
        <v>0</v>
      </c>
      <c r="I58" s="503">
        <f t="shared" si="15"/>
        <v>0</v>
      </c>
      <c r="J58" s="34">
        <f t="shared" si="15"/>
        <v>0</v>
      </c>
      <c r="K58" s="34">
        <f t="shared" si="15"/>
        <v>0</v>
      </c>
      <c r="L58" s="34">
        <f>'29._Hivatal_önként'!Q59+'30._TIK_önként'!L59+'31._Humán_önként'!L59+'32._Óvoda_önként'!L59+'33._TMKK_önként'!L59+'34._Rendelő_önként'!L59</f>
        <v>0</v>
      </c>
    </row>
    <row r="59" spans="1:16" ht="12.2" customHeight="1" x14ac:dyDescent="0.2">
      <c r="A59" s="1037" t="s">
        <v>306</v>
      </c>
      <c r="B59" s="521" t="s">
        <v>235</v>
      </c>
      <c r="C59" s="339">
        <f>'29._Hivatal_önként'!H60+'30._TIK_önként'!C60+'31._Humán_önként'!C60+'32._Óvoda_önként'!C60+'33._TMKK_önként'!C60+'34._Rendelő_önként'!C60</f>
        <v>0</v>
      </c>
      <c r="D59" s="323">
        <f>'29._Hivatal_önként'!I60+'30._TIK_önként'!D60+'31._Humán_önként'!D60+'32._Óvoda_önként'!D60+'33._TMKK_önként'!D60+'34._Rendelő_önként'!D60</f>
        <v>0</v>
      </c>
      <c r="E59" s="107">
        <f>'29._Hivatal_önként'!J60+'30._TIK_önként'!E60+'31._Humán_önként'!E60+'32._Óvoda_önként'!E60+'33._TMKK_önként'!E60+'34._Rendelő_önként'!E60</f>
        <v>0</v>
      </c>
      <c r="F59" s="107">
        <f>'29._Hivatal_önként'!K60+'30._TIK_önként'!F60+'31._Humán_önként'!F60+'32._Óvoda_önként'!F60+'33._TMKK_önként'!F60+'34._Rendelő_önként'!F60</f>
        <v>0</v>
      </c>
      <c r="G59" s="107">
        <f>'29._Hivatal_önként'!L60+'30._TIK_önként'!G60+'31._Humán_önként'!G60+'32._Óvoda_önként'!G60+'33._TMKK_önként'!G60+'34._Rendelő_önként'!G60</f>
        <v>0</v>
      </c>
      <c r="H59" s="324">
        <f t="shared" si="14"/>
        <v>0</v>
      </c>
      <c r="I59" s="503">
        <f>'29._Hivatal_önként'!N60+'30._TIK_önként'!I60+'31._Humán_önként'!I60+'32._Óvoda_önként'!I60+'33._TMKK_önként'!I60+'34._Rendelő_önként'!I60</f>
        <v>0</v>
      </c>
      <c r="J59" s="34">
        <f>'29._Hivatal_önként'!O60+'30._TIK_önként'!J60+'31._Humán_önként'!J60+'32._Óvoda_önként'!J60+'33._TMKK_önként'!J60+'34._Rendelő_önként'!J60</f>
        <v>0</v>
      </c>
      <c r="K59" s="34">
        <f>'29._Hivatal_önként'!P60+'30._TIK_önként'!K60+'31._Humán_önként'!K60+'32._Óvoda_önként'!K60+'33._TMKK_önként'!K60+'34._Rendelő_önként'!K60</f>
        <v>0</v>
      </c>
      <c r="L59" s="34">
        <f>'29._Hivatal_önként'!Q60+'30._TIK_önként'!L60+'31._Humán_önként'!L60+'32._Óvoda_önként'!L60+'33._TMKK_önként'!L60+'34._Rendelő_önként'!L60</f>
        <v>0</v>
      </c>
    </row>
    <row r="60" spans="1:16" ht="12.2" customHeight="1" thickBot="1" x14ac:dyDescent="0.25">
      <c r="A60" s="84" t="s">
        <v>307</v>
      </c>
      <c r="B60" s="85" t="s">
        <v>234</v>
      </c>
      <c r="C60" s="92">
        <f>'29._Hivatal_önként'!H61+'30._TIK_önként'!C61+'31._Humán_önként'!C61+'32._Óvoda_önként'!C61+'33._TMKK_önként'!C61+'34._Rendelő_önként'!C61</f>
        <v>0</v>
      </c>
      <c r="D60" s="190">
        <f>'29._Hivatal_önként'!I61+'30._TIK_önként'!D61+'31._Humán_önként'!D61+'32._Óvoda_önként'!D61+'33._TMKK_önként'!D61+'34._Rendelő_önként'!D61</f>
        <v>0</v>
      </c>
      <c r="E60" s="593">
        <f>'29._Hivatal_önként'!J61+'30._TIK_önként'!E61+'31._Humán_önként'!E61+'32._Óvoda_önként'!E61+'33._TMKK_önként'!E61+'34._Rendelő_önként'!E61</f>
        <v>0</v>
      </c>
      <c r="F60" s="593">
        <f>'29._Hivatal_önként'!K61+'30._TIK_önként'!F61+'31._Humán_önként'!F61+'32._Óvoda_önként'!F61+'33._TMKK_önként'!F61+'34._Rendelő_önként'!F61</f>
        <v>0</v>
      </c>
      <c r="G60" s="593">
        <f>'29._Hivatal_önként'!L61+'30._TIK_önként'!G61+'31._Humán_önként'!G61+'32._Óvoda_önként'!G61+'33._TMKK_önként'!G61+'34._Rendelő_önként'!G61</f>
        <v>0</v>
      </c>
      <c r="H60" s="61">
        <f t="shared" si="14"/>
        <v>0</v>
      </c>
      <c r="I60" s="178">
        <f>'29._Hivatal_önként'!N61+'30._TIK_önként'!I61+'31._Humán_önként'!I61+'32._Óvoda_önként'!I61+'33._TMKK_önként'!I61+'34._Rendelő_önként'!I61</f>
        <v>0</v>
      </c>
      <c r="J60" s="61">
        <f>'29._Hivatal_önként'!O61+'30._TIK_önként'!J61+'31._Humán_önként'!J61+'32._Óvoda_önként'!J61+'33._TMKK_önként'!J61+'34._Rendelő_önként'!J61</f>
        <v>0</v>
      </c>
      <c r="K60" s="61">
        <f>'29._Hivatal_önként'!P61+'30._TIK_önként'!K61+'31._Humán_önként'!K61+'32._Óvoda_önként'!K61+'33._TMKK_önként'!K61+'34._Rendelő_önként'!K61</f>
        <v>0</v>
      </c>
      <c r="L60" s="61">
        <f>'29._Hivatal_önként'!Q61+'30._TIK_önként'!L61+'31._Humán_önként'!L61+'32._Óvoda_önként'!L61+'33._TMKK_önként'!L61+'34._Rendelő_önként'!L61</f>
        <v>0</v>
      </c>
    </row>
    <row r="61" spans="1:16" ht="12.2" customHeight="1" thickBot="1" x14ac:dyDescent="0.25">
      <c r="A61" s="55" t="s">
        <v>13</v>
      </c>
      <c r="B61" s="56" t="s">
        <v>548</v>
      </c>
      <c r="C61" s="89">
        <f>C62+C64+C66</f>
        <v>156967150</v>
      </c>
      <c r="D61" s="127">
        <f t="shared" ref="D61:K61" si="16">D62+D64+D66</f>
        <v>156967150</v>
      </c>
      <c r="E61" s="582">
        <f t="shared" si="16"/>
        <v>156967150</v>
      </c>
      <c r="F61" s="582">
        <f t="shared" si="16"/>
        <v>0</v>
      </c>
      <c r="G61" s="582">
        <f t="shared" si="16"/>
        <v>0</v>
      </c>
      <c r="H61" s="48">
        <f t="shared" si="14"/>
        <v>0</v>
      </c>
      <c r="I61" s="175">
        <f t="shared" si="16"/>
        <v>0</v>
      </c>
      <c r="J61" s="48">
        <f t="shared" si="16"/>
        <v>0</v>
      </c>
      <c r="K61" s="48">
        <f t="shared" si="16"/>
        <v>0</v>
      </c>
      <c r="L61" s="48">
        <f>'29._Hivatal_önként'!Q62+'30._TIK_önként'!L62+'31._Humán_önként'!L62+'32._Óvoda_önként'!L62+'33._TMKK_önként'!L62+'34._Rendelő_önként'!L62</f>
        <v>0</v>
      </c>
    </row>
    <row r="62" spans="1:16" s="31" customFormat="1" ht="12.2" customHeight="1" x14ac:dyDescent="0.2">
      <c r="A62" s="1037" t="s">
        <v>94</v>
      </c>
      <c r="B62" s="17" t="s">
        <v>119</v>
      </c>
      <c r="C62" s="122">
        <f>'29._Hivatal_önként'!H63+'30._TIK_önként'!C63+'31._Humán_önként'!C63+'32._Óvoda_önként'!C63+'33._TMKK_önként'!C63+'34._Rendelő_önként'!C63</f>
        <v>156967150</v>
      </c>
      <c r="D62" s="189">
        <f>'29._Hivatal_önként'!I63+'30._TIK_önként'!D63+'31._Humán_önként'!D63+'32._Óvoda_önként'!D63+'33._TMKK_önként'!D63+'34._Rendelő_önként'!D63</f>
        <v>156967150</v>
      </c>
      <c r="E62" s="586">
        <f>'29._Hivatal_önként'!J63+'30._TIK_önként'!E63+'31._Humán_önként'!E63+'32._Óvoda_önként'!E63+'33._TMKK_önként'!E63+'34._Rendelő_önként'!E63</f>
        <v>156967150</v>
      </c>
      <c r="F62" s="586">
        <f>'29._Hivatal_önként'!K63+'30._TIK_önként'!F63+'31._Humán_önként'!F63+'32._Óvoda_önként'!F63+'33._TMKK_önként'!F63+'34._Rendelő_önként'!F63</f>
        <v>0</v>
      </c>
      <c r="G62" s="586">
        <f>'29._Hivatal_önként'!L63+'30._TIK_önként'!G63+'31._Humán_önként'!G63+'32._Óvoda_önként'!G63+'33._TMKK_önként'!G63+'34._Rendelő_önként'!G63</f>
        <v>0</v>
      </c>
      <c r="H62" s="33">
        <f>+E62-D62</f>
        <v>0</v>
      </c>
      <c r="I62" s="177">
        <f>'29._Hivatal_önként'!N63+'30._TIK_önként'!I63+'31._Humán_önként'!I63+'32._Óvoda_önként'!I63+'33._TMKK_önként'!I63+'34._Rendelő_önként'!I63</f>
        <v>0</v>
      </c>
      <c r="J62" s="33">
        <f>'29._Hivatal_önként'!O63+'30._TIK_önként'!J63+'31._Humán_önként'!J63+'32._Óvoda_önként'!J63+'33._TMKK_önként'!J63+'34._Rendelő_önként'!J63</f>
        <v>0</v>
      </c>
      <c r="K62" s="33">
        <f>'29._Hivatal_önként'!P63+'30._TIK_önként'!K63+'31._Humán_önként'!K63+'32._Óvoda_önként'!K63+'33._TMKK_önként'!K63+'34._Rendelő_önként'!K63</f>
        <v>0</v>
      </c>
      <c r="L62" s="33">
        <f>'29._Hivatal_önként'!Q63+'30._TIK_önként'!L63+'31._Humán_önként'!L63+'32._Óvoda_önként'!L63+'33._TMKK_önként'!L63+'34._Rendelő_önként'!L63</f>
        <v>0</v>
      </c>
    </row>
    <row r="63" spans="1:16" s="31" customFormat="1" ht="12.2" customHeight="1" x14ac:dyDescent="0.2">
      <c r="A63" s="1037" t="s">
        <v>316</v>
      </c>
      <c r="B63" s="522" t="s">
        <v>236</v>
      </c>
      <c r="C63" s="122">
        <f>'29._Hivatal_önként'!H64+'30._TIK_önként'!C64+'31._Humán_önként'!C64+'32._Óvoda_önként'!C64+'33._TMKK_önként'!C64+'34._Rendelő_önként'!C64</f>
        <v>131957503</v>
      </c>
      <c r="D63" s="189">
        <f>'29._Hivatal_önként'!I64+'30._TIK_önként'!D64+'31._Humán_önként'!D64+'32._Óvoda_önként'!D64+'33._TMKK_önként'!D64+'34._Rendelő_önként'!D64</f>
        <v>131957503</v>
      </c>
      <c r="E63" s="586">
        <f>'29._Hivatal_önként'!J64+'30._TIK_önként'!E64+'31._Humán_önként'!E64+'32._Óvoda_önként'!E64+'33._TMKK_önként'!E64+'34._Rendelő_önként'!E64</f>
        <v>131957503</v>
      </c>
      <c r="F63" s="586">
        <f>'29._Hivatal_önként'!K64+'30._TIK_önként'!F64+'31._Humán_önként'!F64+'32._Óvoda_önként'!F64+'33._TMKK_önként'!F64+'34._Rendelő_önként'!F64</f>
        <v>0</v>
      </c>
      <c r="G63" s="586">
        <f>'29._Hivatal_önként'!L64+'30._TIK_önként'!G64+'31._Humán_önként'!G64+'32._Óvoda_önként'!G64+'33._TMKK_önként'!G64+'34._Rendelő_önként'!G64</f>
        <v>0</v>
      </c>
      <c r="H63" s="33">
        <f t="shared" si="14"/>
        <v>0</v>
      </c>
      <c r="I63" s="177">
        <f>'29._Hivatal_önként'!N64+'30._TIK_önként'!I64+'31._Humán_önként'!I64+'32._Óvoda_önként'!I64+'33._TMKK_önként'!I64+'34._Rendelő_önként'!I64</f>
        <v>0</v>
      </c>
      <c r="J63" s="33">
        <f>'29._Hivatal_önként'!O64+'30._TIK_önként'!J64+'31._Humán_önként'!J64+'32._Óvoda_önként'!J64+'33._TMKK_önként'!J64+'34._Rendelő_önként'!J64</f>
        <v>0</v>
      </c>
      <c r="K63" s="33">
        <f>'29._Hivatal_önként'!P64+'30._TIK_önként'!K64+'31._Humán_önként'!K64+'32._Óvoda_önként'!K64+'33._TMKK_önként'!K64+'34._Rendelő_önként'!K64</f>
        <v>0</v>
      </c>
      <c r="L63" s="33">
        <f>'29._Hivatal_önként'!Q64+'30._TIK_önként'!L64+'31._Humán_önként'!L64+'32._Óvoda_önként'!L64+'33._TMKK_önként'!L64+'34._Rendelő_önként'!L64</f>
        <v>0</v>
      </c>
    </row>
    <row r="64" spans="1:16" ht="12.2" customHeight="1" x14ac:dyDescent="0.2">
      <c r="A64" s="1037" t="s">
        <v>95</v>
      </c>
      <c r="B64" s="330" t="s">
        <v>2</v>
      </c>
      <c r="C64" s="339">
        <f>'29._Hivatal_önként'!H65+'30._TIK_önként'!C65+'31._Humán_önként'!C65+'32._Óvoda_önként'!C65+'33._TMKK_önként'!C65+'34._Rendelő_önként'!C65</f>
        <v>0</v>
      </c>
      <c r="D64" s="323">
        <f>'29._Hivatal_önként'!I65+'30._TIK_önként'!D65+'31._Humán_önként'!D65+'32._Óvoda_önként'!D65+'33._TMKK_önként'!D65+'34._Rendelő_önként'!D65</f>
        <v>0</v>
      </c>
      <c r="E64" s="107">
        <f>'29._Hivatal_önként'!J65+'30._TIK_önként'!E65+'31._Humán_önként'!E65+'32._Óvoda_önként'!E65+'33._TMKK_önként'!E65+'34._Rendelő_önként'!E65</f>
        <v>0</v>
      </c>
      <c r="F64" s="107">
        <f>'29._Hivatal_önként'!K65+'30._TIK_önként'!F65+'31._Humán_önként'!F65+'32._Óvoda_önként'!F65+'33._TMKK_önként'!F65+'34._Rendelő_önként'!F65</f>
        <v>0</v>
      </c>
      <c r="G64" s="107">
        <f>'29._Hivatal_önként'!L65+'30._TIK_önként'!G65+'31._Humán_önként'!G65+'32._Óvoda_önként'!G65+'33._TMKK_önként'!G65+'34._Rendelő_önként'!G65</f>
        <v>0</v>
      </c>
      <c r="H64" s="324">
        <f t="shared" si="14"/>
        <v>0</v>
      </c>
      <c r="I64" s="503">
        <f>'29._Hivatal_önként'!N65+'30._TIK_önként'!I65+'31._Humán_önként'!I65+'32._Óvoda_önként'!I65+'33._TMKK_önként'!I65+'34._Rendelő_önként'!I65</f>
        <v>0</v>
      </c>
      <c r="J64" s="34">
        <f>'29._Hivatal_önként'!O65+'30._TIK_önként'!J65+'31._Humán_önként'!J65+'32._Óvoda_önként'!J65+'33._TMKK_önként'!J65+'34._Rendelő_önként'!J65</f>
        <v>0</v>
      </c>
      <c r="K64" s="34">
        <f>'29._Hivatal_önként'!P65+'30._TIK_önként'!K65+'31._Humán_önként'!K65+'32._Óvoda_önként'!K65+'33._TMKK_önként'!K65+'34._Rendelő_önként'!K65</f>
        <v>0</v>
      </c>
      <c r="L64" s="34">
        <f>'29._Hivatal_önként'!Q65+'30._TIK_önként'!L65+'31._Humán_önként'!L65+'32._Óvoda_önként'!L65+'33._TMKK_önként'!L65+'34._Rendelő_önként'!L65</f>
        <v>0</v>
      </c>
    </row>
    <row r="65" spans="1:14" ht="12.2" customHeight="1" x14ac:dyDescent="0.2">
      <c r="A65" s="1037" t="s">
        <v>342</v>
      </c>
      <c r="B65" s="523" t="s">
        <v>237</v>
      </c>
      <c r="C65" s="339">
        <f>'29._Hivatal_önként'!H66+'30._TIK_önként'!C66+'31._Humán_önként'!C66+'32._Óvoda_önként'!C66+'33._TMKK_önként'!C66+'34._Rendelő_önként'!C66</f>
        <v>0</v>
      </c>
      <c r="D65" s="323">
        <f>'29._Hivatal_önként'!I66+'30._TIK_önként'!D66+'31._Humán_önként'!D66+'32._Óvoda_önként'!D66+'33._TMKK_önként'!D66+'34._Rendelő_önként'!D66</f>
        <v>0</v>
      </c>
      <c r="E65" s="107">
        <f>'29._Hivatal_önként'!J66+'30._TIK_önként'!E66+'31._Humán_önként'!E66+'32._Óvoda_önként'!E66+'33._TMKK_önként'!E66+'34._Rendelő_önként'!E66</f>
        <v>0</v>
      </c>
      <c r="F65" s="107">
        <f>'29._Hivatal_önként'!K66+'30._TIK_önként'!F66+'31._Humán_önként'!F66+'32._Óvoda_önként'!F66+'33._TMKK_önként'!F66+'34._Rendelő_önként'!F66</f>
        <v>0</v>
      </c>
      <c r="G65" s="107">
        <f>'29._Hivatal_önként'!L66+'30._TIK_önként'!G66+'31._Humán_önként'!G66+'32._Óvoda_önként'!G66+'33._TMKK_önként'!G66+'34._Rendelő_önként'!G66</f>
        <v>0</v>
      </c>
      <c r="H65" s="324">
        <f t="shared" si="14"/>
        <v>0</v>
      </c>
      <c r="I65" s="503">
        <f>'29._Hivatal_önként'!N66+'30._TIK_önként'!I66+'31._Humán_önként'!I66+'32._Óvoda_önként'!I66+'33._TMKK_önként'!I66+'34._Rendelő_önként'!I66</f>
        <v>0</v>
      </c>
      <c r="J65" s="34">
        <f>'29._Hivatal_önként'!O66+'30._TIK_önként'!J66+'31._Humán_önként'!J66+'32._Óvoda_önként'!J66+'33._TMKK_önként'!J66+'34._Rendelő_önként'!J66</f>
        <v>0</v>
      </c>
      <c r="K65" s="34">
        <f>'29._Hivatal_önként'!P66+'30._TIK_önként'!K66+'31._Humán_önként'!K66+'32._Óvoda_önként'!K66+'33._TMKK_önként'!K66+'34._Rendelő_önként'!K66</f>
        <v>0</v>
      </c>
      <c r="L65" s="34">
        <f>'29._Hivatal_önként'!Q66+'30._TIK_önként'!L66+'31._Humán_önként'!L66+'32._Óvoda_önként'!L66+'33._TMKK_önként'!L66+'34._Rendelő_önként'!L66</f>
        <v>0</v>
      </c>
    </row>
    <row r="66" spans="1:14" ht="12.2" customHeight="1" x14ac:dyDescent="0.2">
      <c r="A66" s="1037" t="s">
        <v>96</v>
      </c>
      <c r="B66" s="17" t="s">
        <v>175</v>
      </c>
      <c r="C66" s="339">
        <f>C67+C68</f>
        <v>0</v>
      </c>
      <c r="D66" s="323">
        <f t="shared" ref="D66:K66" si="17">D67+D68</f>
        <v>0</v>
      </c>
      <c r="E66" s="107">
        <f t="shared" si="17"/>
        <v>0</v>
      </c>
      <c r="F66" s="107">
        <f t="shared" si="17"/>
        <v>0</v>
      </c>
      <c r="G66" s="107">
        <f t="shared" si="17"/>
        <v>0</v>
      </c>
      <c r="H66" s="324">
        <f t="shared" si="14"/>
        <v>0</v>
      </c>
      <c r="I66" s="503">
        <f t="shared" si="17"/>
        <v>0</v>
      </c>
      <c r="J66" s="34">
        <f t="shared" si="17"/>
        <v>0</v>
      </c>
      <c r="K66" s="34">
        <f t="shared" si="17"/>
        <v>0</v>
      </c>
      <c r="L66" s="34">
        <f>'29._Hivatal_önként'!Q67+'30._TIK_önként'!L67+'31._Humán_önként'!L67+'32._Óvoda_önként'!L67+'33._TMKK_önként'!L67+'34._Rendelő_önként'!L67</f>
        <v>0</v>
      </c>
    </row>
    <row r="67" spans="1:14" ht="12.2" customHeight="1" x14ac:dyDescent="0.2">
      <c r="A67" s="1037" t="s">
        <v>317</v>
      </c>
      <c r="B67" s="521" t="s">
        <v>239</v>
      </c>
      <c r="C67" s="339">
        <f>'29._Hivatal_önként'!H68+'30._TIK_önként'!C68+'31._Humán_önként'!C68+'32._Óvoda_önként'!C68+'33._TMKK_önként'!C68+'34._Rendelő_önként'!C68</f>
        <v>0</v>
      </c>
      <c r="D67" s="323">
        <f>'29._Hivatal_önként'!I68+'30._TIK_önként'!D68+'31._Humán_önként'!D68+'32._Óvoda_önként'!D68+'33._TMKK_önként'!D68+'34._Rendelő_önként'!D68</f>
        <v>0</v>
      </c>
      <c r="E67" s="107">
        <f>'29._Hivatal_önként'!J68+'30._TIK_önként'!E68+'31._Humán_önként'!E68+'32._Óvoda_önként'!E68+'33._TMKK_önként'!E68+'34._Rendelő_önként'!E68</f>
        <v>0</v>
      </c>
      <c r="F67" s="107">
        <f>'29._Hivatal_önként'!K68+'30._TIK_önként'!F68+'31._Humán_önként'!F68+'32._Óvoda_önként'!F68+'33._TMKK_önként'!F68+'34._Rendelő_önként'!F68</f>
        <v>0</v>
      </c>
      <c r="G67" s="107">
        <f>'29._Hivatal_önként'!L68+'30._TIK_önként'!G68+'31._Humán_önként'!G68+'32._Óvoda_önként'!G68+'33._TMKK_önként'!G68+'34._Rendelő_önként'!G68</f>
        <v>0</v>
      </c>
      <c r="H67" s="324">
        <f t="shared" si="14"/>
        <v>0</v>
      </c>
      <c r="I67" s="503">
        <f>'29._Hivatal_önként'!N68+'30._TIK_önként'!I68+'31._Humán_önként'!I68+'32._Óvoda_önként'!I68+'33._TMKK_önként'!I68+'34._Rendelő_önként'!I68</f>
        <v>0</v>
      </c>
      <c r="J67" s="34">
        <f>'29._Hivatal_önként'!O68+'30._TIK_önként'!J68+'31._Humán_önként'!J68+'32._Óvoda_önként'!J68+'33._TMKK_önként'!J68+'34._Rendelő_önként'!J68</f>
        <v>0</v>
      </c>
      <c r="K67" s="34">
        <f>'29._Hivatal_önként'!P68+'30._TIK_önként'!K68+'31._Humán_önként'!K68+'32._Óvoda_önként'!K68+'33._TMKK_önként'!K68+'34._Rendelő_önként'!K68</f>
        <v>0</v>
      </c>
      <c r="L67" s="34">
        <f>'29._Hivatal_önként'!Q68+'30._TIK_önként'!L68+'31._Humán_önként'!L68+'32._Óvoda_önként'!L68+'33._TMKK_önként'!L68+'34._Rendelő_önként'!L68</f>
        <v>0</v>
      </c>
    </row>
    <row r="68" spans="1:14" ht="12.2" customHeight="1" thickBot="1" x14ac:dyDescent="0.25">
      <c r="A68" s="1037" t="s">
        <v>318</v>
      </c>
      <c r="B68" s="521" t="s">
        <v>238</v>
      </c>
      <c r="C68" s="339">
        <f>'29._Hivatal_önként'!H69+'30._TIK_önként'!C69+'31._Humán_önként'!C69+'32._Óvoda_önként'!C69+'33._TMKK_önként'!C69+'34._Rendelő_önként'!C69</f>
        <v>0</v>
      </c>
      <c r="D68" s="323">
        <f>'29._Hivatal_önként'!I69+'30._TIK_önként'!D69+'31._Humán_önként'!D69+'32._Óvoda_önként'!D69+'33._TMKK_önként'!D69+'34._Rendelő_önként'!D69</f>
        <v>0</v>
      </c>
      <c r="E68" s="107">
        <f>'29._Hivatal_önként'!J69+'30._TIK_önként'!E69+'31._Humán_önként'!E69+'32._Óvoda_önként'!E69+'33._TMKK_önként'!E69+'34._Rendelő_önként'!E69</f>
        <v>0</v>
      </c>
      <c r="F68" s="107">
        <f>'29._Hivatal_önként'!K69+'30._TIK_önként'!F69+'31._Humán_önként'!F69+'32._Óvoda_önként'!F69+'33._TMKK_önként'!F69+'34._Rendelő_önként'!F69</f>
        <v>0</v>
      </c>
      <c r="G68" s="107">
        <f>'29._Hivatal_önként'!L69+'30._TIK_önként'!G69+'31._Humán_önként'!G69+'32._Óvoda_önként'!G69+'33._TMKK_önként'!G69+'34._Rendelő_önként'!G69</f>
        <v>0</v>
      </c>
      <c r="H68" s="324">
        <f t="shared" si="14"/>
        <v>0</v>
      </c>
      <c r="I68" s="503">
        <f>'29._Hivatal_önként'!N69+'30._TIK_önként'!I69+'31._Humán_önként'!I69+'32._Óvoda_önként'!I69+'33._TMKK_önként'!I69+'34._Rendelő_önként'!I69</f>
        <v>0</v>
      </c>
      <c r="J68" s="34">
        <f>'29._Hivatal_önként'!O69+'30._TIK_önként'!J69+'31._Humán_önként'!J69+'32._Óvoda_önként'!J69+'33._TMKK_önként'!J69+'34._Rendelő_önként'!J69</f>
        <v>0</v>
      </c>
      <c r="K68" s="34">
        <f>'29._Hivatal_önként'!P69+'30._TIK_önként'!K69+'31._Humán_önként'!K69+'32._Óvoda_önként'!K69+'33._TMKK_önként'!K69+'34._Rendelő_önként'!K69</f>
        <v>0</v>
      </c>
      <c r="L68" s="34">
        <f>'29._Hivatal_önként'!Q69+'30._TIK_önként'!L69+'31._Humán_önként'!L69+'32._Óvoda_önként'!L69+'33._TMKK_önként'!L69+'34._Rendelő_önként'!L69</f>
        <v>0</v>
      </c>
      <c r="N68" s="18">
        <f>+D69-D48</f>
        <v>0</v>
      </c>
    </row>
    <row r="69" spans="1:14" ht="15" customHeight="1" thickBot="1" x14ac:dyDescent="0.25">
      <c r="A69" s="55" t="s">
        <v>14</v>
      </c>
      <c r="B69" s="67" t="s">
        <v>176</v>
      </c>
      <c r="C69" s="135">
        <f>'29._Hivatal_önként'!H70+'30._TIK_önként'!C70+'31._Humán_önként'!C70+'32._Óvoda_önként'!C70+'33._TMKK_önként'!C70+'34._Rendelő_önként'!C70</f>
        <v>2144355808</v>
      </c>
      <c r="D69" s="134">
        <f>'29._Hivatal_önként'!I70+'30._TIK_önként'!D70+'31._Humán_önként'!D70+'32._Óvoda_önként'!D70+'33._TMKK_önként'!D70+'34._Rendelő_önként'!D70</f>
        <v>2157103808</v>
      </c>
      <c r="E69" s="592">
        <f>'29._Hivatal_önként'!J70+'30._TIK_önként'!E70+'31._Humán_önként'!E70+'32._Óvoda_önként'!E70+'33._TMKK_önként'!E70+'34._Rendelő_önként'!E70</f>
        <v>2373192932</v>
      </c>
      <c r="F69" s="592">
        <f>'29._Hivatal_önként'!K70+'30._TIK_önként'!F70+'31._Humán_önként'!F70+'32._Óvoda_önként'!F70+'33._TMKK_önként'!F70+'34._Rendelő_önként'!F70</f>
        <v>0</v>
      </c>
      <c r="G69" s="592">
        <f>'29._Hivatal_önként'!L70+'30._TIK_önként'!G70+'31._Humán_önként'!G70+'32._Óvoda_önként'!G70+'33._TMKK_önként'!G70+'34._Rendelő_önként'!G70</f>
        <v>0</v>
      </c>
      <c r="H69" s="68">
        <f>+E69-D69</f>
        <v>216089124</v>
      </c>
      <c r="I69" s="176">
        <f>'29._Hivatal_önként'!N70+'30._TIK_önként'!I70+'31._Humán_önként'!I70+'32._Óvoda_önként'!I70+'33._TMKK_önként'!I70+'34._Rendelő_önként'!I70</f>
        <v>0</v>
      </c>
      <c r="J69" s="68">
        <f>'29._Hivatal_önként'!O70+'30._TIK_önként'!J70+'31._Humán_önként'!J70+'32._Óvoda_önként'!J70+'33._TMKK_önként'!J70+'34._Rendelő_önként'!J70</f>
        <v>0</v>
      </c>
      <c r="K69" s="68">
        <f>'29._Hivatal_önként'!P70+'30._TIK_önként'!K70+'31._Humán_önként'!K70+'32._Óvoda_önként'!K70+'33._TMKK_önként'!K70+'34._Rendelő_önként'!K70</f>
        <v>0</v>
      </c>
      <c r="L69" s="68">
        <f>'29._Hivatal_önként'!Q70+'30._TIK_önként'!L70+'31._Humán_önként'!L70+'32._Óvoda_önként'!L70+'33._TMKK_önként'!L70+'34._Rendelő_önként'!L70</f>
        <v>0</v>
      </c>
    </row>
    <row r="70" spans="1:14" ht="13.5" thickBot="1" x14ac:dyDescent="0.25">
      <c r="C70" s="27"/>
      <c r="D70" s="27"/>
      <c r="E70" s="27"/>
      <c r="F70" s="27"/>
      <c r="G70" s="27"/>
      <c r="H70" s="27"/>
      <c r="I70" s="27"/>
      <c r="J70" s="27"/>
      <c r="K70" s="27"/>
      <c r="L70" s="27"/>
    </row>
    <row r="71" spans="1:14" ht="15" customHeight="1" thickBot="1" x14ac:dyDescent="0.25">
      <c r="A71" s="69" t="s">
        <v>292</v>
      </c>
      <c r="B71" s="70"/>
      <c r="C71" s="136">
        <f>'29._Hivatal_önként'!H72+'30._TIK_önként'!C72+'31._Humán_önként'!C72+'32._Óvoda_önként'!C72+'33._TMKK_önként'!C72+'34._Rendelő_önként'!C72</f>
        <v>213</v>
      </c>
      <c r="D71" s="635">
        <f>'29._Hivatal_önként'!I72+'30._TIK_önként'!D72+'31._Humán_önként'!D72+'32._Óvoda_önként'!D72+'33._TMKK_önként'!D72+'34._Rendelő_önként'!D72</f>
        <v>182</v>
      </c>
      <c r="E71" s="520">
        <f>'29._Hivatal_önként'!J72+'30._TIK_önként'!E72+'31._Humán_önként'!E72+'32._Óvoda_önként'!E72+'33._TMKK_önként'!E72+'34._Rendelő_önként'!E72</f>
        <v>182</v>
      </c>
      <c r="F71" s="520">
        <f>'29._Hivatal_önként'!K72+'30._TIK_önként'!F72+'31._Humán_önként'!F72+'32._Óvoda_önként'!F72+'33._TMKK_önként'!F72+'34._Rendelő_önként'!F72</f>
        <v>2</v>
      </c>
      <c r="G71" s="520">
        <f>'29._Hivatal_önként'!L72+'30._TIK_önként'!G72+'31._Humán_önként'!G72+'32._Óvoda_önként'!G72+'33._TMKK_önként'!G72+'34._Rendelő_önként'!G72</f>
        <v>2</v>
      </c>
      <c r="H71" s="174">
        <f t="shared" si="14"/>
        <v>0</v>
      </c>
      <c r="I71" s="174">
        <f>'29._Hivatal_önként'!N72+'30._TIK_önként'!I72+'31._Humán_önként'!I72+'32._Óvoda_önként'!I72+'33._TMKK_önként'!I72+'34._Rendelő_önként'!I72</f>
        <v>2</v>
      </c>
      <c r="J71" s="174">
        <f>'29._Hivatal_önként'!O72+'30._TIK_önként'!J72+'31._Humán_önként'!J72+'32._Óvoda_önként'!J72+'33._TMKK_önként'!J72+'34._Rendelő_önként'!J72</f>
        <v>2</v>
      </c>
      <c r="K71" s="174">
        <f>'29._Hivatal_önként'!P72+'30._TIK_önként'!K72+'31._Humán_önként'!K72+'32._Óvoda_önként'!K72+'33._TMKK_önként'!K72+'34._Rendelő_önként'!K72</f>
        <v>2</v>
      </c>
      <c r="L71" s="174">
        <f>'29._Hivatal_önként'!Q72+'30._TIK_önként'!L72+'31._Humán_önként'!L72+'32._Óvoda_önként'!L72+'33._TMKK_önként'!L72+'34._Rendelő_önként'!L72</f>
        <v>2</v>
      </c>
    </row>
    <row r="72" spans="1:14" ht="14.25" hidden="1" customHeight="1" thickBot="1" x14ac:dyDescent="0.25">
      <c r="A72" s="69" t="s">
        <v>291</v>
      </c>
      <c r="B72" s="70"/>
      <c r="C72" s="609">
        <f>'29._Hivatal_önként'!H73+'30._TIK_önként'!C73+'31._Humán_önként'!C73+'32._Óvoda_önként'!C73+'33._TMKK_önként'!C73+'34._Rendelő_önként'!C73</f>
        <v>0</v>
      </c>
      <c r="D72" s="639">
        <f>'29._Hivatal_önként'!I73+'30._TIK_önként'!D73+'31._Humán_önként'!D73+'32._Óvoda_önként'!D73+'33._TMKK_önként'!D73+'34._Rendelő_önként'!D73</f>
        <v>0</v>
      </c>
      <c r="E72" s="607">
        <f>'29._Hivatal_önként'!J73+'30._TIK_önként'!E73+'31._Humán_önként'!E73+'32._Óvoda_önként'!E73+'33._TMKK_önként'!E73+'34._Rendelő_önként'!E73</f>
        <v>0</v>
      </c>
      <c r="F72" s="607">
        <f>'29._Hivatal_önként'!K73+'30._TIK_önként'!F73+'31._Humán_önként'!F73+'32._Óvoda_önként'!F73+'33._TMKK_önként'!F73+'34._Rendelő_önként'!F73</f>
        <v>0</v>
      </c>
      <c r="G72" s="607">
        <f>'29._Hivatal_önként'!L73+'30._TIK_önként'!G73+'31._Humán_önként'!G73+'32._Óvoda_önként'!G73+'33._TMKK_önként'!G73+'34._Rendelő_önként'!G73</f>
        <v>0</v>
      </c>
      <c r="H72" s="609">
        <f t="shared" ref="H72" si="18">+D72-C72</f>
        <v>0</v>
      </c>
      <c r="I72" s="174">
        <f>'29._Hivatal_önként'!N73+'30._TIK_önként'!I73+'31._Humán_önként'!I73+'32._Óvoda_önként'!I73+'33._TMKK_önként'!I73+'34._Rendelő_önként'!I73</f>
        <v>0</v>
      </c>
      <c r="J72" s="174">
        <f>'29._Hivatal_önként'!O73+'30._TIK_önként'!J73+'31._Humán_önként'!J73+'32._Óvoda_önként'!J73+'33._TMKK_önként'!J73+'34._Rendelő_önként'!J73</f>
        <v>0</v>
      </c>
      <c r="K72" s="174">
        <f>'29._Hivatal_önként'!P73+'30._TIK_önként'!K73+'31._Humán_önként'!K73+'32._Óvoda_önként'!K73+'33._TMKK_önként'!K73+'34._Rendelő_önként'!K73</f>
        <v>0</v>
      </c>
      <c r="L72" s="174">
        <f>'29._Hivatal_önként'!Q73+'30._TIK_önként'!L73+'31._Humán_önként'!L73+'32._Óvoda_önként'!L73+'33._TMKK_önként'!L73+'34._Rendelő_önként'!L73</f>
        <v>0</v>
      </c>
    </row>
    <row r="73" spans="1:14" x14ac:dyDescent="0.2">
      <c r="H73" s="163" t="s">
        <v>385</v>
      </c>
    </row>
  </sheetData>
  <mergeCells count="7">
    <mergeCell ref="A9:H9"/>
    <mergeCell ref="A50:H50"/>
    <mergeCell ref="A1:H1"/>
    <mergeCell ref="A2:H2"/>
    <mergeCell ref="C4:H4"/>
    <mergeCell ref="C5:H5"/>
    <mergeCell ref="A6:H6"/>
  </mergeCells>
  <printOptions horizontalCentered="1" verticalCentered="1"/>
  <pageMargins left="0.59055118110236227" right="0.39370078740157483" top="0.51181102362204722" bottom="0.15748031496062992" header="0.31496062992125984" footer="0.31496062992125984"/>
  <pageSetup paperSize="9" scale="73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3"/>
  <sheetViews>
    <sheetView view="pageBreakPreview" zoomScaleNormal="100" zoomScaleSheetLayoutView="100" workbookViewId="0">
      <selection activeCell="A2" sqref="A2:H2"/>
    </sheetView>
  </sheetViews>
  <sheetFormatPr defaultRowHeight="12.75" x14ac:dyDescent="0.2"/>
  <cols>
    <col min="1" max="1" width="13.83203125" style="988" customWidth="1"/>
    <col min="2" max="2" width="64.6640625" style="25" customWidth="1"/>
    <col min="3" max="3" width="15.1640625" style="25" customWidth="1"/>
    <col min="4" max="4" width="15.83203125" style="25" customWidth="1"/>
    <col min="5" max="5" width="16.33203125" style="25" customWidth="1"/>
    <col min="6" max="7" width="16" style="25" hidden="1" customWidth="1"/>
    <col min="8" max="8" width="15.83203125" style="25" customWidth="1"/>
    <col min="9" max="9" width="24.1640625" style="25" hidden="1" customWidth="1"/>
    <col min="10" max="10" width="21.6640625" style="25" hidden="1" customWidth="1"/>
    <col min="11" max="12" width="17" style="25" hidden="1" customWidth="1"/>
    <col min="13" max="19" width="9.33203125" style="25" customWidth="1"/>
    <col min="20" max="260" width="9.33203125" style="25"/>
    <col min="261" max="261" width="13.83203125" style="25" customWidth="1"/>
    <col min="262" max="262" width="79.1640625" style="25" customWidth="1"/>
    <col min="263" max="263" width="21.6640625" style="25" customWidth="1"/>
    <col min="264" max="516" width="9.33203125" style="25"/>
    <col min="517" max="517" width="13.83203125" style="25" customWidth="1"/>
    <col min="518" max="518" width="79.1640625" style="25" customWidth="1"/>
    <col min="519" max="519" width="21.6640625" style="25" customWidth="1"/>
    <col min="520" max="772" width="9.33203125" style="25"/>
    <col min="773" max="773" width="13.83203125" style="25" customWidth="1"/>
    <col min="774" max="774" width="79.1640625" style="25" customWidth="1"/>
    <col min="775" max="775" width="21.6640625" style="25" customWidth="1"/>
    <col min="776" max="1028" width="9.33203125" style="25"/>
    <col min="1029" max="1029" width="13.83203125" style="25" customWidth="1"/>
    <col min="1030" max="1030" width="79.1640625" style="25" customWidth="1"/>
    <col min="1031" max="1031" width="21.6640625" style="25" customWidth="1"/>
    <col min="1032" max="1284" width="9.33203125" style="25"/>
    <col min="1285" max="1285" width="13.83203125" style="25" customWidth="1"/>
    <col min="1286" max="1286" width="79.1640625" style="25" customWidth="1"/>
    <col min="1287" max="1287" width="21.6640625" style="25" customWidth="1"/>
    <col min="1288" max="1540" width="9.33203125" style="25"/>
    <col min="1541" max="1541" width="13.83203125" style="25" customWidth="1"/>
    <col min="1542" max="1542" width="79.1640625" style="25" customWidth="1"/>
    <col min="1543" max="1543" width="21.6640625" style="25" customWidth="1"/>
    <col min="1544" max="1796" width="9.33203125" style="25"/>
    <col min="1797" max="1797" width="13.83203125" style="25" customWidth="1"/>
    <col min="1798" max="1798" width="79.1640625" style="25" customWidth="1"/>
    <col min="1799" max="1799" width="21.6640625" style="25" customWidth="1"/>
    <col min="1800" max="2052" width="9.33203125" style="25"/>
    <col min="2053" max="2053" width="13.83203125" style="25" customWidth="1"/>
    <col min="2054" max="2054" width="79.1640625" style="25" customWidth="1"/>
    <col min="2055" max="2055" width="21.6640625" style="25" customWidth="1"/>
    <col min="2056" max="2308" width="9.33203125" style="25"/>
    <col min="2309" max="2309" width="13.83203125" style="25" customWidth="1"/>
    <col min="2310" max="2310" width="79.1640625" style="25" customWidth="1"/>
    <col min="2311" max="2311" width="21.6640625" style="25" customWidth="1"/>
    <col min="2312" max="2564" width="9.33203125" style="25"/>
    <col min="2565" max="2565" width="13.83203125" style="25" customWidth="1"/>
    <col min="2566" max="2566" width="79.1640625" style="25" customWidth="1"/>
    <col min="2567" max="2567" width="21.6640625" style="25" customWidth="1"/>
    <col min="2568" max="2820" width="9.33203125" style="25"/>
    <col min="2821" max="2821" width="13.83203125" style="25" customWidth="1"/>
    <col min="2822" max="2822" width="79.1640625" style="25" customWidth="1"/>
    <col min="2823" max="2823" width="21.6640625" style="25" customWidth="1"/>
    <col min="2824" max="3076" width="9.33203125" style="25"/>
    <col min="3077" max="3077" width="13.83203125" style="25" customWidth="1"/>
    <col min="3078" max="3078" width="79.1640625" style="25" customWidth="1"/>
    <col min="3079" max="3079" width="21.6640625" style="25" customWidth="1"/>
    <col min="3080" max="3332" width="9.33203125" style="25"/>
    <col min="3333" max="3333" width="13.83203125" style="25" customWidth="1"/>
    <col min="3334" max="3334" width="79.1640625" style="25" customWidth="1"/>
    <col min="3335" max="3335" width="21.6640625" style="25" customWidth="1"/>
    <col min="3336" max="3588" width="9.33203125" style="25"/>
    <col min="3589" max="3589" width="13.83203125" style="25" customWidth="1"/>
    <col min="3590" max="3590" width="79.1640625" style="25" customWidth="1"/>
    <col min="3591" max="3591" width="21.6640625" style="25" customWidth="1"/>
    <col min="3592" max="3844" width="9.33203125" style="25"/>
    <col min="3845" max="3845" width="13.83203125" style="25" customWidth="1"/>
    <col min="3846" max="3846" width="79.1640625" style="25" customWidth="1"/>
    <col min="3847" max="3847" width="21.6640625" style="25" customWidth="1"/>
    <col min="3848" max="4100" width="9.33203125" style="25"/>
    <col min="4101" max="4101" width="13.83203125" style="25" customWidth="1"/>
    <col min="4102" max="4102" width="79.1640625" style="25" customWidth="1"/>
    <col min="4103" max="4103" width="21.6640625" style="25" customWidth="1"/>
    <col min="4104" max="4356" width="9.33203125" style="25"/>
    <col min="4357" max="4357" width="13.83203125" style="25" customWidth="1"/>
    <col min="4358" max="4358" width="79.1640625" style="25" customWidth="1"/>
    <col min="4359" max="4359" width="21.6640625" style="25" customWidth="1"/>
    <col min="4360" max="4612" width="9.33203125" style="25"/>
    <col min="4613" max="4613" width="13.83203125" style="25" customWidth="1"/>
    <col min="4614" max="4614" width="79.1640625" style="25" customWidth="1"/>
    <col min="4615" max="4615" width="21.6640625" style="25" customWidth="1"/>
    <col min="4616" max="4868" width="9.33203125" style="25"/>
    <col min="4869" max="4869" width="13.83203125" style="25" customWidth="1"/>
    <col min="4870" max="4870" width="79.1640625" style="25" customWidth="1"/>
    <col min="4871" max="4871" width="21.6640625" style="25" customWidth="1"/>
    <col min="4872" max="5124" width="9.33203125" style="25"/>
    <col min="5125" max="5125" width="13.83203125" style="25" customWidth="1"/>
    <col min="5126" max="5126" width="79.1640625" style="25" customWidth="1"/>
    <col min="5127" max="5127" width="21.6640625" style="25" customWidth="1"/>
    <col min="5128" max="5380" width="9.33203125" style="25"/>
    <col min="5381" max="5381" width="13.83203125" style="25" customWidth="1"/>
    <col min="5382" max="5382" width="79.1640625" style="25" customWidth="1"/>
    <col min="5383" max="5383" width="21.6640625" style="25" customWidth="1"/>
    <col min="5384" max="5636" width="9.33203125" style="25"/>
    <col min="5637" max="5637" width="13.83203125" style="25" customWidth="1"/>
    <col min="5638" max="5638" width="79.1640625" style="25" customWidth="1"/>
    <col min="5639" max="5639" width="21.6640625" style="25" customWidth="1"/>
    <col min="5640" max="5892" width="9.33203125" style="25"/>
    <col min="5893" max="5893" width="13.83203125" style="25" customWidth="1"/>
    <col min="5894" max="5894" width="79.1640625" style="25" customWidth="1"/>
    <col min="5895" max="5895" width="21.6640625" style="25" customWidth="1"/>
    <col min="5896" max="6148" width="9.33203125" style="25"/>
    <col min="6149" max="6149" width="13.83203125" style="25" customWidth="1"/>
    <col min="6150" max="6150" width="79.1640625" style="25" customWidth="1"/>
    <col min="6151" max="6151" width="21.6640625" style="25" customWidth="1"/>
    <col min="6152" max="6404" width="9.33203125" style="25"/>
    <col min="6405" max="6405" width="13.83203125" style="25" customWidth="1"/>
    <col min="6406" max="6406" width="79.1640625" style="25" customWidth="1"/>
    <col min="6407" max="6407" width="21.6640625" style="25" customWidth="1"/>
    <col min="6408" max="6660" width="9.33203125" style="25"/>
    <col min="6661" max="6661" width="13.83203125" style="25" customWidth="1"/>
    <col min="6662" max="6662" width="79.1640625" style="25" customWidth="1"/>
    <col min="6663" max="6663" width="21.6640625" style="25" customWidth="1"/>
    <col min="6664" max="6916" width="9.33203125" style="25"/>
    <col min="6917" max="6917" width="13.83203125" style="25" customWidth="1"/>
    <col min="6918" max="6918" width="79.1640625" style="25" customWidth="1"/>
    <col min="6919" max="6919" width="21.6640625" style="25" customWidth="1"/>
    <col min="6920" max="7172" width="9.33203125" style="25"/>
    <col min="7173" max="7173" width="13.83203125" style="25" customWidth="1"/>
    <col min="7174" max="7174" width="79.1640625" style="25" customWidth="1"/>
    <col min="7175" max="7175" width="21.6640625" style="25" customWidth="1"/>
    <col min="7176" max="7428" width="9.33203125" style="25"/>
    <col min="7429" max="7429" width="13.83203125" style="25" customWidth="1"/>
    <col min="7430" max="7430" width="79.1640625" style="25" customWidth="1"/>
    <col min="7431" max="7431" width="21.6640625" style="25" customWidth="1"/>
    <col min="7432" max="7684" width="9.33203125" style="25"/>
    <col min="7685" max="7685" width="13.83203125" style="25" customWidth="1"/>
    <col min="7686" max="7686" width="79.1640625" style="25" customWidth="1"/>
    <col min="7687" max="7687" width="21.6640625" style="25" customWidth="1"/>
    <col min="7688" max="7940" width="9.33203125" style="25"/>
    <col min="7941" max="7941" width="13.83203125" style="25" customWidth="1"/>
    <col min="7942" max="7942" width="79.1640625" style="25" customWidth="1"/>
    <col min="7943" max="7943" width="21.6640625" style="25" customWidth="1"/>
    <col min="7944" max="8196" width="9.33203125" style="25"/>
    <col min="8197" max="8197" width="13.83203125" style="25" customWidth="1"/>
    <col min="8198" max="8198" width="79.1640625" style="25" customWidth="1"/>
    <col min="8199" max="8199" width="21.6640625" style="25" customWidth="1"/>
    <col min="8200" max="8452" width="9.33203125" style="25"/>
    <col min="8453" max="8453" width="13.83203125" style="25" customWidth="1"/>
    <col min="8454" max="8454" width="79.1640625" style="25" customWidth="1"/>
    <col min="8455" max="8455" width="21.6640625" style="25" customWidth="1"/>
    <col min="8456" max="8708" width="9.33203125" style="25"/>
    <col min="8709" max="8709" width="13.83203125" style="25" customWidth="1"/>
    <col min="8710" max="8710" width="79.1640625" style="25" customWidth="1"/>
    <col min="8711" max="8711" width="21.6640625" style="25" customWidth="1"/>
    <col min="8712" max="8964" width="9.33203125" style="25"/>
    <col min="8965" max="8965" width="13.83203125" style="25" customWidth="1"/>
    <col min="8966" max="8966" width="79.1640625" style="25" customWidth="1"/>
    <col min="8967" max="8967" width="21.6640625" style="25" customWidth="1"/>
    <col min="8968" max="9220" width="9.33203125" style="25"/>
    <col min="9221" max="9221" width="13.83203125" style="25" customWidth="1"/>
    <col min="9222" max="9222" width="79.1640625" style="25" customWidth="1"/>
    <col min="9223" max="9223" width="21.6640625" style="25" customWidth="1"/>
    <col min="9224" max="9476" width="9.33203125" style="25"/>
    <col min="9477" max="9477" width="13.83203125" style="25" customWidth="1"/>
    <col min="9478" max="9478" width="79.1640625" style="25" customWidth="1"/>
    <col min="9479" max="9479" width="21.6640625" style="25" customWidth="1"/>
    <col min="9480" max="9732" width="9.33203125" style="25"/>
    <col min="9733" max="9733" width="13.83203125" style="25" customWidth="1"/>
    <col min="9734" max="9734" width="79.1640625" style="25" customWidth="1"/>
    <col min="9735" max="9735" width="21.6640625" style="25" customWidth="1"/>
    <col min="9736" max="9988" width="9.33203125" style="25"/>
    <col min="9989" max="9989" width="13.83203125" style="25" customWidth="1"/>
    <col min="9990" max="9990" width="79.1640625" style="25" customWidth="1"/>
    <col min="9991" max="9991" width="21.6640625" style="25" customWidth="1"/>
    <col min="9992" max="10244" width="9.33203125" style="25"/>
    <col min="10245" max="10245" width="13.83203125" style="25" customWidth="1"/>
    <col min="10246" max="10246" width="79.1640625" style="25" customWidth="1"/>
    <col min="10247" max="10247" width="21.6640625" style="25" customWidth="1"/>
    <col min="10248" max="10500" width="9.33203125" style="25"/>
    <col min="10501" max="10501" width="13.83203125" style="25" customWidth="1"/>
    <col min="10502" max="10502" width="79.1640625" style="25" customWidth="1"/>
    <col min="10503" max="10503" width="21.6640625" style="25" customWidth="1"/>
    <col min="10504" max="10756" width="9.33203125" style="25"/>
    <col min="10757" max="10757" width="13.83203125" style="25" customWidth="1"/>
    <col min="10758" max="10758" width="79.1640625" style="25" customWidth="1"/>
    <col min="10759" max="10759" width="21.6640625" style="25" customWidth="1"/>
    <col min="10760" max="11012" width="9.33203125" style="25"/>
    <col min="11013" max="11013" width="13.83203125" style="25" customWidth="1"/>
    <col min="11014" max="11014" width="79.1640625" style="25" customWidth="1"/>
    <col min="11015" max="11015" width="21.6640625" style="25" customWidth="1"/>
    <col min="11016" max="11268" width="9.33203125" style="25"/>
    <col min="11269" max="11269" width="13.83203125" style="25" customWidth="1"/>
    <col min="11270" max="11270" width="79.1640625" style="25" customWidth="1"/>
    <col min="11271" max="11271" width="21.6640625" style="25" customWidth="1"/>
    <col min="11272" max="11524" width="9.33203125" style="25"/>
    <col min="11525" max="11525" width="13.83203125" style="25" customWidth="1"/>
    <col min="11526" max="11526" width="79.1640625" style="25" customWidth="1"/>
    <col min="11527" max="11527" width="21.6640625" style="25" customWidth="1"/>
    <col min="11528" max="11780" width="9.33203125" style="25"/>
    <col min="11781" max="11781" width="13.83203125" style="25" customWidth="1"/>
    <col min="11782" max="11782" width="79.1640625" style="25" customWidth="1"/>
    <col min="11783" max="11783" width="21.6640625" style="25" customWidth="1"/>
    <col min="11784" max="12036" width="9.33203125" style="25"/>
    <col min="12037" max="12037" width="13.83203125" style="25" customWidth="1"/>
    <col min="12038" max="12038" width="79.1640625" style="25" customWidth="1"/>
    <col min="12039" max="12039" width="21.6640625" style="25" customWidth="1"/>
    <col min="12040" max="12292" width="9.33203125" style="25"/>
    <col min="12293" max="12293" width="13.83203125" style="25" customWidth="1"/>
    <col min="12294" max="12294" width="79.1640625" style="25" customWidth="1"/>
    <col min="12295" max="12295" width="21.6640625" style="25" customWidth="1"/>
    <col min="12296" max="12548" width="9.33203125" style="25"/>
    <col min="12549" max="12549" width="13.83203125" style="25" customWidth="1"/>
    <col min="12550" max="12550" width="79.1640625" style="25" customWidth="1"/>
    <col min="12551" max="12551" width="21.6640625" style="25" customWidth="1"/>
    <col min="12552" max="12804" width="9.33203125" style="25"/>
    <col min="12805" max="12805" width="13.83203125" style="25" customWidth="1"/>
    <col min="12806" max="12806" width="79.1640625" style="25" customWidth="1"/>
    <col min="12807" max="12807" width="21.6640625" style="25" customWidth="1"/>
    <col min="12808" max="13060" width="9.33203125" style="25"/>
    <col min="13061" max="13061" width="13.83203125" style="25" customWidth="1"/>
    <col min="13062" max="13062" width="79.1640625" style="25" customWidth="1"/>
    <col min="13063" max="13063" width="21.6640625" style="25" customWidth="1"/>
    <col min="13064" max="13316" width="9.33203125" style="25"/>
    <col min="13317" max="13317" width="13.83203125" style="25" customWidth="1"/>
    <col min="13318" max="13318" width="79.1640625" style="25" customWidth="1"/>
    <col min="13319" max="13319" width="21.6640625" style="25" customWidth="1"/>
    <col min="13320" max="13572" width="9.33203125" style="25"/>
    <col min="13573" max="13573" width="13.83203125" style="25" customWidth="1"/>
    <col min="13574" max="13574" width="79.1640625" style="25" customWidth="1"/>
    <col min="13575" max="13575" width="21.6640625" style="25" customWidth="1"/>
    <col min="13576" max="13828" width="9.33203125" style="25"/>
    <col min="13829" max="13829" width="13.83203125" style="25" customWidth="1"/>
    <col min="13830" max="13830" width="79.1640625" style="25" customWidth="1"/>
    <col min="13831" max="13831" width="21.6640625" style="25" customWidth="1"/>
    <col min="13832" max="14084" width="9.33203125" style="25"/>
    <col min="14085" max="14085" width="13.83203125" style="25" customWidth="1"/>
    <col min="14086" max="14086" width="79.1640625" style="25" customWidth="1"/>
    <col min="14087" max="14087" width="21.6640625" style="25" customWidth="1"/>
    <col min="14088" max="14340" width="9.33203125" style="25"/>
    <col min="14341" max="14341" width="13.83203125" style="25" customWidth="1"/>
    <col min="14342" max="14342" width="79.1640625" style="25" customWidth="1"/>
    <col min="14343" max="14343" width="21.6640625" style="25" customWidth="1"/>
    <col min="14344" max="14596" width="9.33203125" style="25"/>
    <col min="14597" max="14597" width="13.83203125" style="25" customWidth="1"/>
    <col min="14598" max="14598" width="79.1640625" style="25" customWidth="1"/>
    <col min="14599" max="14599" width="21.6640625" style="25" customWidth="1"/>
    <col min="14600" max="14852" width="9.33203125" style="25"/>
    <col min="14853" max="14853" width="13.83203125" style="25" customWidth="1"/>
    <col min="14854" max="14854" width="79.1640625" style="25" customWidth="1"/>
    <col min="14855" max="14855" width="21.6640625" style="25" customWidth="1"/>
    <col min="14856" max="15108" width="9.33203125" style="25"/>
    <col min="15109" max="15109" width="13.83203125" style="25" customWidth="1"/>
    <col min="15110" max="15110" width="79.1640625" style="25" customWidth="1"/>
    <col min="15111" max="15111" width="21.6640625" style="25" customWidth="1"/>
    <col min="15112" max="15364" width="9.33203125" style="25"/>
    <col min="15365" max="15365" width="13.83203125" style="25" customWidth="1"/>
    <col min="15366" max="15366" width="79.1640625" style="25" customWidth="1"/>
    <col min="15367" max="15367" width="21.6640625" style="25" customWidth="1"/>
    <col min="15368" max="15620" width="9.33203125" style="25"/>
    <col min="15621" max="15621" width="13.83203125" style="25" customWidth="1"/>
    <col min="15622" max="15622" width="79.1640625" style="25" customWidth="1"/>
    <col min="15623" max="15623" width="21.6640625" style="25" customWidth="1"/>
    <col min="15624" max="15876" width="9.33203125" style="25"/>
    <col min="15877" max="15877" width="13.83203125" style="25" customWidth="1"/>
    <col min="15878" max="15878" width="79.1640625" style="25" customWidth="1"/>
    <col min="15879" max="15879" width="21.6640625" style="25" customWidth="1"/>
    <col min="15880" max="16132" width="9.33203125" style="25"/>
    <col min="16133" max="16133" width="13.83203125" style="25" customWidth="1"/>
    <col min="16134" max="16134" width="79.1640625" style="25" customWidth="1"/>
    <col min="16135" max="16135" width="21.6640625" style="25" customWidth="1"/>
    <col min="16136" max="16384" width="9.33203125" style="25"/>
  </cols>
  <sheetData>
    <row r="1" spans="1:12" s="535" customFormat="1" ht="12.75" customHeight="1" x14ac:dyDescent="0.2">
      <c r="A1" s="1774" t="s">
        <v>805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726</v>
      </c>
      <c r="B2" s="1774"/>
      <c r="C2" s="1774"/>
      <c r="D2" s="1774"/>
      <c r="E2" s="1774"/>
      <c r="F2" s="1774"/>
      <c r="G2" s="1774"/>
      <c r="H2" s="1774"/>
    </row>
    <row r="3" spans="1:12" s="24" customFormat="1" ht="15" customHeight="1" thickBot="1" x14ac:dyDescent="0.25">
      <c r="A3" s="170"/>
      <c r="C3" s="982"/>
      <c r="D3" s="982"/>
      <c r="E3" s="982"/>
      <c r="F3" s="982"/>
      <c r="G3" s="982" t="s">
        <v>385</v>
      </c>
      <c r="H3" s="982"/>
    </row>
    <row r="4" spans="1:12" s="38" customFormat="1" ht="38.25" customHeight="1" x14ac:dyDescent="0.2">
      <c r="A4" s="36" t="s">
        <v>137</v>
      </c>
      <c r="B4" s="37" t="s">
        <v>130</v>
      </c>
      <c r="C4" s="1806" t="s">
        <v>187</v>
      </c>
      <c r="D4" s="1807"/>
      <c r="E4" s="1807"/>
      <c r="F4" s="1807"/>
      <c r="G4" s="1807"/>
      <c r="H4" s="1808" t="s">
        <v>187</v>
      </c>
      <c r="I4" s="295"/>
      <c r="J4" s="295"/>
      <c r="K4" s="517"/>
      <c r="L4" s="517"/>
    </row>
    <row r="5" spans="1:12" s="38" customFormat="1" ht="28.5" customHeight="1" thickBot="1" x14ac:dyDescent="0.25">
      <c r="A5" s="39" t="s">
        <v>139</v>
      </c>
      <c r="B5" s="40" t="s">
        <v>404</v>
      </c>
      <c r="C5" s="1926" t="s">
        <v>141</v>
      </c>
      <c r="D5" s="1927"/>
      <c r="E5" s="1927"/>
      <c r="F5" s="1927"/>
      <c r="G5" s="1927"/>
      <c r="H5" s="1928" t="s">
        <v>141</v>
      </c>
      <c r="I5" s="296"/>
      <c r="J5" s="296"/>
      <c r="K5" s="518"/>
      <c r="L5" s="518"/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5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91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82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/>
      <c r="B9" s="1922" t="s">
        <v>37</v>
      </c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2780200</v>
      </c>
      <c r="D10" s="127">
        <f t="shared" ref="D10:K10" si="0">SUM(D11:D21)</f>
        <v>2780200</v>
      </c>
      <c r="E10" s="582">
        <f t="shared" si="0"/>
        <v>5245200</v>
      </c>
      <c r="F10" s="582">
        <f t="shared" si="0"/>
        <v>5245200</v>
      </c>
      <c r="G10" s="582">
        <f t="shared" si="0"/>
        <v>0</v>
      </c>
      <c r="H10" s="48">
        <f>+E10-D10</f>
        <v>2465000</v>
      </c>
      <c r="I10" s="1306">
        <f t="shared" si="0"/>
        <v>0</v>
      </c>
      <c r="J10" s="276">
        <f t="shared" si="0"/>
        <v>6590066</v>
      </c>
      <c r="K10" s="276">
        <f t="shared" si="0"/>
        <v>0</v>
      </c>
      <c r="L10" s="276">
        <f>'29._Hivatal_államig'!L10+'30._TIK_államig'!L10+'31._Humán_államig'!L10+'32._Óvoda_államig'!L10+'33._TMKK_államig'!L10+'34._Rendelő_államig'!L10</f>
        <v>546.43458086043972</v>
      </c>
    </row>
    <row r="11" spans="1:12" s="26" customFormat="1" ht="12.2" customHeight="1" x14ac:dyDescent="0.2">
      <c r="A11" s="49" t="s">
        <v>91</v>
      </c>
      <c r="B11" s="50" t="s">
        <v>143</v>
      </c>
      <c r="C11" s="128">
        <f>'29._Hivatal_államig'!C11+'30._TIK_államig'!C11+'31._Humán_államig'!C11+'32._Óvoda_államig'!C11+'33._TMKK_államig'!C11+'34._Rendelő_államig'!C11</f>
        <v>0</v>
      </c>
      <c r="D11" s="192">
        <f>'29._Hivatal_államig'!D11+'30._TIK_államig'!D11+'31._Humán_államig'!D11+'32._Óvoda_államig'!D11+'33._TMKK_államig'!D11+'34._Rendelő_államig'!D11</f>
        <v>0</v>
      </c>
      <c r="E11" s="583">
        <f>'29._Hivatal_államig'!E11+'30._TIK_államig'!E11+'31._Humán_államig'!E11+'32._Óvoda_államig'!E11+'33._TMKK_államig'!E11+'34._Rendelő_államig'!E11</f>
        <v>0</v>
      </c>
      <c r="F11" s="583">
        <f>'29._Hivatal_államig'!F11+'30._TIK_államig'!F11+'31._Humán_államig'!F11+'32._Óvoda_államig'!F11+'33._TMKK_államig'!F11+'34._Rendelő_államig'!F11</f>
        <v>0</v>
      </c>
      <c r="G11" s="583">
        <f>'29._Hivatal_államig'!G11+'30._TIK_államig'!G11+'31._Humán_államig'!G11+'32._Óvoda_államig'!G11+'33._TMKK_államig'!G11+'34._Rendelő_államig'!G11</f>
        <v>0</v>
      </c>
      <c r="H11" s="540">
        <f t="shared" ref="H11:H47" si="1">+E11-D11</f>
        <v>0</v>
      </c>
      <c r="I11" s="1307">
        <f>'29._Hivatal_államig'!I11+'30._TIK_államig'!I11+'31._Humán_államig'!I11+'32._Óvoda_államig'!I11+'33._TMKK_államig'!I11+'34._Rendelő_államig'!I11</f>
        <v>0</v>
      </c>
      <c r="J11" s="277">
        <f>'29._Hivatal_államig'!J11+'30._TIK_államig'!J11+'31._Humán_államig'!J11+'32._Óvoda_államig'!J11+'33._TMKK_államig'!J11+'34._Rendelő_államig'!J11</f>
        <v>0</v>
      </c>
      <c r="K11" s="277">
        <f>'29._Hivatal_államig'!K11+'30._TIK_államig'!K11+'31._Humán_államig'!K11+'32._Óvoda_államig'!K11+'33._TMKK_államig'!K11+'34._Rendelő_államig'!K11</f>
        <v>0</v>
      </c>
      <c r="L11" s="277" t="e">
        <f>'29._Hivatal_államig'!L11+'30._TIK_államig'!L11+'31._Humán_államig'!L11+'32._Óvoda_államig'!L11+'33._TMKK_államig'!L11+'34._Rendelő_államig'!L11</f>
        <v>#VALUE!</v>
      </c>
    </row>
    <row r="12" spans="1:12" s="26" customFormat="1" ht="12.2" customHeight="1" x14ac:dyDescent="0.2">
      <c r="A12" s="1037" t="s">
        <v>92</v>
      </c>
      <c r="B12" s="330" t="s">
        <v>144</v>
      </c>
      <c r="C12" s="331">
        <f>'29._Hivatal_államig'!C12+'30._TIK_államig'!C12+'31._Humán_államig'!C12+'32._Óvoda_államig'!C12+'33._TMKK_államig'!C12+'34._Rendelő_államig'!C12</f>
        <v>0</v>
      </c>
      <c r="D12" s="340">
        <f>'29._Hivatal_államig'!D12+'30._TIK_államig'!D12+'31._Humán_államig'!D12+'32._Óvoda_államig'!D12+'33._TMKK_államig'!D12+'34._Rendelő_államig'!D12</f>
        <v>0</v>
      </c>
      <c r="E12" s="88">
        <f>'29._Hivatal_államig'!E12+'30._TIK_államig'!E12+'31._Humán_államig'!E12+'32._Óvoda_államig'!E12+'33._TMKK_államig'!E12+'34._Rendelő_államig'!E12</f>
        <v>0</v>
      </c>
      <c r="F12" s="88">
        <f>'29._Hivatal_államig'!F12+'30._TIK_államig'!F12+'31._Humán_államig'!F12+'32._Óvoda_államig'!F12+'33._TMKK_államig'!F12+'34._Rendelő_államig'!F12</f>
        <v>0</v>
      </c>
      <c r="G12" s="88">
        <f>'29._Hivatal_államig'!G12+'30._TIK_államig'!G12+'31._Humán_államig'!G12+'32._Óvoda_államig'!G12+'33._TMKK_államig'!G12+'34._Rendelő_államig'!G12</f>
        <v>0</v>
      </c>
      <c r="H12" s="541">
        <f t="shared" si="1"/>
        <v>0</v>
      </c>
      <c r="I12" s="1308">
        <f>'29._Hivatal_államig'!I12+'30._TIK_államig'!I12+'31._Humán_államig'!I12+'32._Óvoda_államig'!I12+'33._TMKK_államig'!I12+'34._Rendelő_államig'!I12</f>
        <v>0</v>
      </c>
      <c r="J12" s="278">
        <f>'29._Hivatal_államig'!J12+'30._TIK_államig'!J12+'31._Humán_államig'!J12+'32._Óvoda_államig'!J12+'33._TMKK_államig'!J12+'34._Rendelő_államig'!J12</f>
        <v>8000</v>
      </c>
      <c r="K12" s="278">
        <f>'29._Hivatal_államig'!K12+'30._TIK_államig'!K12+'31._Humán_államig'!K12+'32._Óvoda_államig'!K12+'33._TMKK_államig'!K12+'34._Rendelő_államig'!K12</f>
        <v>0</v>
      </c>
      <c r="L12" s="278" t="e">
        <f>'29._Hivatal_államig'!L12+'30._TIK_államig'!L12+'31._Humán_államig'!L12+'32._Óvoda_államig'!L12+'33._TMKK_államig'!L12+'34._Rendelő_államig'!L12</f>
        <v>#VALUE!</v>
      </c>
    </row>
    <row r="13" spans="1:12" s="26" customFormat="1" ht="12.2" customHeight="1" x14ac:dyDescent="0.2">
      <c r="A13" s="1037" t="s">
        <v>93</v>
      </c>
      <c r="B13" s="330" t="s">
        <v>145</v>
      </c>
      <c r="C13" s="331">
        <f>'29._Hivatal_államig'!C13+'30._TIK_államig'!C13+'31._Humán_államig'!C13+'32._Óvoda_államig'!C13+'33._TMKK_államig'!C13+'34._Rendelő_államig'!C13</f>
        <v>1792000</v>
      </c>
      <c r="D13" s="340">
        <f>'29._Hivatal_államig'!D13+'30._TIK_államig'!D13+'31._Humán_államig'!D13+'32._Óvoda_államig'!D13+'33._TMKK_államig'!D13+'34._Rendelő_államig'!D13</f>
        <v>1792000</v>
      </c>
      <c r="E13" s="88">
        <f>'29._Hivatal_államig'!E13+'30._TIK_államig'!E13+'31._Humán_államig'!E13+'32._Óvoda_államig'!E13+'33._TMKK_államig'!E13+'34._Rendelő_államig'!E13</f>
        <v>4257000</v>
      </c>
      <c r="F13" s="88">
        <f>'29._Hivatal_államig'!F13+'30._TIK_államig'!F13+'31._Humán_államig'!F13+'32._Óvoda_államig'!F13+'33._TMKK_államig'!F13+'34._Rendelő_államig'!F13</f>
        <v>4257000</v>
      </c>
      <c r="G13" s="88">
        <f>'29._Hivatal_államig'!G13+'30._TIK_államig'!G13+'31._Humán_államig'!G13+'32._Óvoda_államig'!G13+'33._TMKK_államig'!G13+'34._Rendelő_államig'!G13</f>
        <v>0</v>
      </c>
      <c r="H13" s="541">
        <f t="shared" si="1"/>
        <v>2465000</v>
      </c>
      <c r="I13" s="1308">
        <f>'29._Hivatal_államig'!I13+'30._TIK_államig'!I13+'31._Humán_államig'!I13+'32._Óvoda_államig'!I13+'33._TMKK_államig'!I13+'34._Rendelő_államig'!I13</f>
        <v>0</v>
      </c>
      <c r="J13" s="278">
        <f>'29._Hivatal_államig'!J13+'30._TIK_államig'!J13+'31._Humán_államig'!J13+'32._Óvoda_államig'!J13+'33._TMKK_államig'!J13+'34._Rendelő_államig'!J13</f>
        <v>4445294</v>
      </c>
      <c r="K13" s="278">
        <f>'29._Hivatal_államig'!K13+'30._TIK_államig'!K13+'31._Humán_államig'!K13+'32._Óvoda_államig'!K13+'33._TMKK_államig'!K13+'34._Rendelő_államig'!K13</f>
        <v>0</v>
      </c>
      <c r="L13" s="278">
        <f>'29._Hivatal_államig'!L13+'30._TIK_államig'!L13+'31._Humán_államig'!L13+'32._Óvoda_államig'!L13+'33._TMKK_államig'!L13+'34._Rendelő_államig'!L13</f>
        <v>104.42316185106884</v>
      </c>
    </row>
    <row r="14" spans="1:12" s="26" customFormat="1" ht="12.2" customHeight="1" x14ac:dyDescent="0.2">
      <c r="A14" s="1037" t="s">
        <v>90</v>
      </c>
      <c r="B14" s="330" t="s">
        <v>146</v>
      </c>
      <c r="C14" s="331">
        <f>'29._Hivatal_államig'!C14+'30._TIK_államig'!C14+'31._Humán_államig'!C14+'32._Óvoda_államig'!C14+'33._TMKK_államig'!C14+'34._Rendelő_államig'!C14</f>
        <v>0</v>
      </c>
      <c r="D14" s="340">
        <f>'29._Hivatal_államig'!D14+'30._TIK_államig'!D14+'31._Humán_államig'!D14+'32._Óvoda_államig'!D14+'33._TMKK_államig'!D14+'34._Rendelő_államig'!D14</f>
        <v>0</v>
      </c>
      <c r="E14" s="88">
        <f>'29._Hivatal_államig'!E14+'30._TIK_államig'!E14+'31._Humán_államig'!E14+'32._Óvoda_államig'!E14+'33._TMKK_államig'!E14+'34._Rendelő_államig'!E14</f>
        <v>0</v>
      </c>
      <c r="F14" s="88">
        <f>'29._Hivatal_államig'!F14+'30._TIK_államig'!F14+'31._Humán_államig'!F14+'32._Óvoda_államig'!F14+'33._TMKK_államig'!F14+'34._Rendelő_államig'!F14</f>
        <v>0</v>
      </c>
      <c r="G14" s="88">
        <f>'29._Hivatal_államig'!G14+'30._TIK_államig'!G14+'31._Humán_államig'!G14+'32._Óvoda_államig'!G14+'33._TMKK_államig'!G14+'34._Rendelő_államig'!G14</f>
        <v>0</v>
      </c>
      <c r="H14" s="541">
        <f t="shared" si="1"/>
        <v>0</v>
      </c>
      <c r="I14" s="1308">
        <f>'29._Hivatal_államig'!I14+'30._TIK_államig'!I14+'31._Humán_államig'!I14+'32._Óvoda_államig'!I14+'33._TMKK_államig'!I14+'34._Rendelő_államig'!I14</f>
        <v>0</v>
      </c>
      <c r="J14" s="278">
        <f>'29._Hivatal_államig'!J14+'30._TIK_államig'!J14+'31._Humán_államig'!J14+'32._Óvoda_államig'!J14+'33._TMKK_államig'!J14+'34._Rendelő_államig'!J14</f>
        <v>0</v>
      </c>
      <c r="K14" s="278">
        <f>'29._Hivatal_államig'!K14+'30._TIK_államig'!K14+'31._Humán_államig'!K14+'32._Óvoda_államig'!K14+'33._TMKK_államig'!K14+'34._Rendelő_államig'!K14</f>
        <v>0</v>
      </c>
      <c r="L14" s="278" t="e">
        <f>'29._Hivatal_államig'!L14+'30._TIK_államig'!L14+'31._Humán_államig'!L14+'32._Óvoda_államig'!L14+'33._TMKK_államig'!L14+'34._Rendelő_államig'!L14</f>
        <v>#VALUE!</v>
      </c>
    </row>
    <row r="15" spans="1:12" s="26" customFormat="1" ht="12.2" customHeight="1" x14ac:dyDescent="0.2">
      <c r="A15" s="1037" t="s">
        <v>147</v>
      </c>
      <c r="B15" s="330" t="s">
        <v>148</v>
      </c>
      <c r="C15" s="331">
        <f>'29._Hivatal_államig'!C15+'30._TIK_államig'!C15+'31._Humán_államig'!C15+'32._Óvoda_államig'!C15+'33._TMKK_államig'!C15+'34._Rendelő_államig'!C15</f>
        <v>0</v>
      </c>
      <c r="D15" s="340">
        <f>'29._Hivatal_államig'!D15+'30._TIK_államig'!D15+'31._Humán_államig'!D15+'32._Óvoda_államig'!D15+'33._TMKK_államig'!D15+'34._Rendelő_államig'!D15</f>
        <v>0</v>
      </c>
      <c r="E15" s="88">
        <f>'29._Hivatal_államig'!E15+'30._TIK_államig'!E15+'31._Humán_államig'!E15+'32._Óvoda_államig'!E15+'33._TMKK_államig'!E15+'34._Rendelő_államig'!E15</f>
        <v>0</v>
      </c>
      <c r="F15" s="88">
        <f>'29._Hivatal_államig'!F15+'30._TIK_államig'!F15+'31._Humán_államig'!F15+'32._Óvoda_államig'!F15+'33._TMKK_államig'!F15+'34._Rendelő_államig'!F15</f>
        <v>0</v>
      </c>
      <c r="G15" s="88">
        <f>'29._Hivatal_államig'!G15+'30._TIK_államig'!G15+'31._Humán_államig'!G15+'32._Óvoda_államig'!G15+'33._TMKK_államig'!G15+'34._Rendelő_államig'!G15</f>
        <v>0</v>
      </c>
      <c r="H15" s="541">
        <f t="shared" si="1"/>
        <v>0</v>
      </c>
      <c r="I15" s="1308">
        <f>'29._Hivatal_államig'!I15+'30._TIK_államig'!I15+'31._Humán_államig'!I15+'32._Óvoda_államig'!I15+'33._TMKK_államig'!I15+'34._Rendelő_államig'!I15</f>
        <v>0</v>
      </c>
      <c r="J15" s="278">
        <f>'29._Hivatal_államig'!J15+'30._TIK_államig'!J15+'31._Humán_államig'!J15+'32._Óvoda_államig'!J15+'33._TMKK_államig'!J15+'34._Rendelő_államig'!J15</f>
        <v>0</v>
      </c>
      <c r="K15" s="278">
        <f>'29._Hivatal_államig'!K15+'30._TIK_államig'!K15+'31._Humán_államig'!K15+'32._Óvoda_államig'!K15+'33._TMKK_államig'!K15+'34._Rendelő_államig'!K15</f>
        <v>0</v>
      </c>
      <c r="L15" s="278" t="e">
        <f>'29._Hivatal_államig'!L15+'30._TIK_államig'!L15+'31._Humán_államig'!L15+'32._Óvoda_államig'!L15+'33._TMKK_államig'!L15+'34._Rendelő_államig'!L15</f>
        <v>#VALUE!</v>
      </c>
    </row>
    <row r="16" spans="1:12" s="26" customFormat="1" ht="12.2" customHeight="1" x14ac:dyDescent="0.2">
      <c r="A16" s="1037" t="s">
        <v>149</v>
      </c>
      <c r="B16" s="330" t="s">
        <v>150</v>
      </c>
      <c r="C16" s="331">
        <f>'29._Hivatal_államig'!C16+'30._TIK_államig'!C16+'31._Humán_államig'!C16+'32._Óvoda_államig'!C16+'33._TMKK_államig'!C16+'34._Rendelő_államig'!C16</f>
        <v>448200</v>
      </c>
      <c r="D16" s="340">
        <f>'29._Hivatal_államig'!D16+'30._TIK_államig'!D16+'31._Humán_államig'!D16+'32._Óvoda_államig'!D16+'33._TMKK_államig'!D16+'34._Rendelő_államig'!D16</f>
        <v>448200</v>
      </c>
      <c r="E16" s="88">
        <f>'29._Hivatal_államig'!E16+'30._TIK_államig'!E16+'31._Humán_államig'!E16+'32._Óvoda_államig'!E16+'33._TMKK_államig'!E16+'34._Rendelő_államig'!E16</f>
        <v>448200</v>
      </c>
      <c r="F16" s="88">
        <f>'29._Hivatal_államig'!F16+'30._TIK_államig'!F16+'31._Humán_államig'!F16+'32._Óvoda_államig'!F16+'33._TMKK_államig'!F16+'34._Rendelő_államig'!F16</f>
        <v>448200</v>
      </c>
      <c r="G16" s="88">
        <f>'29._Hivatal_államig'!G16+'30._TIK_államig'!G16+'31._Humán_államig'!G16+'32._Óvoda_államig'!G16+'33._TMKK_államig'!G16+'34._Rendelő_államig'!G16</f>
        <v>0</v>
      </c>
      <c r="H16" s="541">
        <f t="shared" si="1"/>
        <v>0</v>
      </c>
      <c r="I16" s="1308">
        <f>'29._Hivatal_államig'!I16+'30._TIK_államig'!I16+'31._Humán_államig'!I16+'32._Óvoda_államig'!I16+'33._TMKK_államig'!I16+'34._Rendelő_államig'!I16</f>
        <v>0</v>
      </c>
      <c r="J16" s="278">
        <f>'29._Hivatal_államig'!J16+'30._TIK_államig'!J16+'31._Humán_államig'!J16+'32._Óvoda_államig'!J16+'33._TMKK_államig'!J16+'34._Rendelő_államig'!J16</f>
        <v>1221026</v>
      </c>
      <c r="K16" s="278">
        <f>'29._Hivatal_államig'!K16+'30._TIK_államig'!K16+'31._Humán_államig'!K16+'32._Óvoda_államig'!K16+'33._TMKK_államig'!K16+'34._Rendelő_államig'!K16</f>
        <v>0</v>
      </c>
      <c r="L16" s="278">
        <f>'29._Hivatal_államig'!L16+'30._TIK_államig'!L16+'31._Humán_államig'!L16+'32._Óvoda_államig'!L16+'33._TMKK_államig'!L16+'34._Rendelő_államig'!L16</f>
        <v>272.42882641677824</v>
      </c>
    </row>
    <row r="17" spans="1:12" s="26" customFormat="1" ht="12.2" customHeight="1" x14ac:dyDescent="0.2">
      <c r="A17" s="1037" t="s">
        <v>151</v>
      </c>
      <c r="B17" s="52" t="s">
        <v>152</v>
      </c>
      <c r="C17" s="331">
        <f>'29._Hivatal_államig'!C17+'30._TIK_államig'!C17+'31._Humán_államig'!C17+'32._Óvoda_államig'!C17+'33._TMKK_államig'!C17+'34._Rendelő_államig'!C17</f>
        <v>0</v>
      </c>
      <c r="D17" s="340">
        <f>'29._Hivatal_államig'!D17+'30._TIK_államig'!D17+'31._Humán_államig'!D17+'32._Óvoda_államig'!D17+'33._TMKK_államig'!D17+'34._Rendelő_államig'!D17</f>
        <v>0</v>
      </c>
      <c r="E17" s="88">
        <f>'29._Hivatal_államig'!E17+'30._TIK_államig'!E17+'31._Humán_államig'!E17+'32._Óvoda_államig'!E17+'33._TMKK_államig'!E17+'34._Rendelő_államig'!E17</f>
        <v>0</v>
      </c>
      <c r="F17" s="88">
        <f>'29._Hivatal_államig'!F17+'30._TIK_államig'!F17+'31._Humán_államig'!F17+'32._Óvoda_államig'!F17+'33._TMKK_államig'!F17+'34._Rendelő_államig'!F17</f>
        <v>0</v>
      </c>
      <c r="G17" s="88">
        <f>'29._Hivatal_államig'!G17+'30._TIK_államig'!G17+'31._Humán_államig'!G17+'32._Óvoda_államig'!G17+'33._TMKK_államig'!G17+'34._Rendelő_államig'!G17</f>
        <v>0</v>
      </c>
      <c r="H17" s="541">
        <f t="shared" si="1"/>
        <v>0</v>
      </c>
      <c r="I17" s="1308">
        <f>'29._Hivatal_államig'!I17+'30._TIK_államig'!I17+'31._Humán_államig'!I17+'32._Óvoda_államig'!I17+'33._TMKK_államig'!I17+'34._Rendelő_államig'!I17</f>
        <v>0</v>
      </c>
      <c r="J17" s="278">
        <f>'29._Hivatal_államig'!J17+'30._TIK_államig'!J17+'31._Humán_államig'!J17+'32._Óvoda_államig'!J17+'33._TMKK_államig'!J17+'34._Rendelő_államig'!J17</f>
        <v>0</v>
      </c>
      <c r="K17" s="278">
        <f>'29._Hivatal_államig'!K17+'30._TIK_államig'!K17+'31._Humán_államig'!K17+'32._Óvoda_államig'!K17+'33._TMKK_államig'!K17+'34._Rendelő_államig'!K17</f>
        <v>0</v>
      </c>
      <c r="L17" s="278" t="e">
        <f>'29._Hivatal_államig'!L17+'30._TIK_államig'!L17+'31._Humán_államig'!L17+'32._Óvoda_államig'!L17+'33._TMKK_államig'!L17+'34._Rendelő_államig'!L17</f>
        <v>#VALUE!</v>
      </c>
    </row>
    <row r="18" spans="1:12" s="26" customFormat="1" ht="12.2" customHeight="1" x14ac:dyDescent="0.2">
      <c r="A18" s="1037" t="s">
        <v>153</v>
      </c>
      <c r="B18" s="345" t="s">
        <v>302</v>
      </c>
      <c r="C18" s="121">
        <f>'29._Hivatal_államig'!C18+'30._TIK_államig'!C18+'31._Humán_államig'!C18+'32._Óvoda_államig'!C18+'33._TMKK_államig'!C18+'34._Rendelő_államig'!C18</f>
        <v>0</v>
      </c>
      <c r="D18" s="188">
        <f>'29._Hivatal_államig'!D18+'30._TIK_államig'!D18+'31._Humán_államig'!D18+'32._Óvoda_államig'!D18+'33._TMKK_államig'!D18+'34._Rendelő_államig'!D18</f>
        <v>0</v>
      </c>
      <c r="E18" s="90">
        <f>'29._Hivatal_államig'!E18+'30._TIK_államig'!E18+'31._Humán_államig'!E18+'32._Óvoda_államig'!E18+'33._TMKK_államig'!E18+'34._Rendelő_államig'!E18</f>
        <v>0</v>
      </c>
      <c r="F18" s="90">
        <f>'29._Hivatal_államig'!F18+'30._TIK_államig'!F18+'31._Humán_államig'!F18+'32._Óvoda_államig'!F18+'33._TMKK_államig'!F18+'34._Rendelő_államig'!F18</f>
        <v>0</v>
      </c>
      <c r="G18" s="90">
        <f>'29._Hivatal_államig'!G18+'30._TIK_államig'!G18+'31._Humán_államig'!G18+'32._Óvoda_államig'!G18+'33._TMKK_államig'!G18+'34._Rendelő_államig'!G18</f>
        <v>0</v>
      </c>
      <c r="H18" s="542">
        <f t="shared" si="1"/>
        <v>0</v>
      </c>
      <c r="I18" s="1309">
        <f>'29._Hivatal_államig'!I18+'30._TIK_államig'!I18+'31._Humán_államig'!I18+'32._Óvoda_államig'!I18+'33._TMKK_államig'!I18+'34._Rendelő_államig'!I18</f>
        <v>0</v>
      </c>
      <c r="J18" s="279">
        <f>'29._Hivatal_államig'!J18+'30._TIK_államig'!J18+'31._Humán_államig'!J18+'32._Óvoda_államig'!J18+'33._TMKK_államig'!J18+'34._Rendelő_államig'!J18</f>
        <v>0</v>
      </c>
      <c r="K18" s="279">
        <f>'29._Hivatal_államig'!K18+'30._TIK_államig'!K18+'31._Humán_államig'!K18+'32._Óvoda_államig'!K18+'33._TMKK_államig'!K18+'34._Rendelő_államig'!K18</f>
        <v>0</v>
      </c>
      <c r="L18" s="279" t="e">
        <f>'29._Hivatal_államig'!L18+'30._TIK_államig'!L18+'31._Humán_államig'!L18+'32._Óvoda_államig'!L18+'33._TMKK_államig'!L18+'34._Rendelő_államig'!L18</f>
        <v>#VALUE!</v>
      </c>
    </row>
    <row r="19" spans="1:12" s="54" customFormat="1" ht="12.2" customHeight="1" x14ac:dyDescent="0.2">
      <c r="A19" s="1037" t="s">
        <v>154</v>
      </c>
      <c r="B19" s="330" t="s">
        <v>155</v>
      </c>
      <c r="C19" s="331">
        <f>'29._Hivatal_államig'!C19+'30._TIK_államig'!C19+'31._Humán_államig'!C19+'32._Óvoda_államig'!C19+'33._TMKK_államig'!C19+'34._Rendelő_államig'!C19</f>
        <v>0</v>
      </c>
      <c r="D19" s="340">
        <f>'29._Hivatal_államig'!D19+'30._TIK_államig'!D19+'31._Humán_államig'!D19+'32._Óvoda_államig'!D19+'33._TMKK_államig'!D19+'34._Rendelő_államig'!D19</f>
        <v>0</v>
      </c>
      <c r="E19" s="88">
        <f>'29._Hivatal_államig'!E19+'30._TIK_államig'!E19+'31._Humán_államig'!E19+'32._Óvoda_államig'!E19+'33._TMKK_államig'!E19+'34._Rendelő_államig'!E19</f>
        <v>0</v>
      </c>
      <c r="F19" s="88">
        <f>'29._Hivatal_államig'!F19+'30._TIK_államig'!F19+'31._Humán_államig'!F19+'32._Óvoda_államig'!F19+'33._TMKK_államig'!F19+'34._Rendelő_államig'!F19</f>
        <v>0</v>
      </c>
      <c r="G19" s="88">
        <f>'29._Hivatal_államig'!G19+'30._TIK_államig'!G19+'31._Humán_államig'!G19+'32._Óvoda_államig'!G19+'33._TMKK_államig'!G19+'34._Rendelő_államig'!G19</f>
        <v>0</v>
      </c>
      <c r="H19" s="541">
        <f t="shared" si="1"/>
        <v>0</v>
      </c>
      <c r="I19" s="1308">
        <f>'29._Hivatal_államig'!I19+'30._TIK_államig'!I19+'31._Humán_államig'!I19+'32._Óvoda_államig'!I19+'33._TMKK_államig'!I19+'34._Rendelő_államig'!I19</f>
        <v>0</v>
      </c>
      <c r="J19" s="278">
        <f>'29._Hivatal_államig'!J19+'30._TIK_államig'!J19+'31._Humán_államig'!J19+'32._Óvoda_államig'!J19+'33._TMKK_államig'!J19+'34._Rendelő_államig'!J19</f>
        <v>0</v>
      </c>
      <c r="K19" s="278">
        <f>'29._Hivatal_államig'!K19+'30._TIK_államig'!K19+'31._Humán_államig'!K19+'32._Óvoda_államig'!K19+'33._TMKK_államig'!K19+'34._Rendelő_államig'!K19</f>
        <v>0</v>
      </c>
      <c r="L19" s="278" t="e">
        <f>'29._Hivatal_államig'!L19+'30._TIK_államig'!L19+'31._Humán_államig'!L19+'32._Óvoda_államig'!L19+'33._TMKK_államig'!L19+'34._Rendelő_államig'!L19</f>
        <v>#VALUE!</v>
      </c>
    </row>
    <row r="20" spans="1:12" s="54" customFormat="1" ht="12.2" customHeight="1" x14ac:dyDescent="0.2">
      <c r="A20" s="1037" t="s">
        <v>156</v>
      </c>
      <c r="B20" s="345" t="s">
        <v>275</v>
      </c>
      <c r="C20" s="333">
        <f>'29._Hivatal_államig'!C20+'30._TIK_államig'!C20+'31._Humán_államig'!C20+'32._Óvoda_államig'!C20+'33._TMKK_államig'!C20+'34._Rendelő_államig'!C20</f>
        <v>0</v>
      </c>
      <c r="D20" s="341">
        <f>'29._Hivatal_államig'!D20+'30._TIK_államig'!D20+'31._Humán_államig'!D20+'32._Óvoda_államig'!D20+'33._TMKK_államig'!D20+'34._Rendelő_államig'!D20</f>
        <v>0</v>
      </c>
      <c r="E20" s="88">
        <f>'29._Hivatal_államig'!E20+'30._TIK_államig'!E20+'31._Humán_államig'!E20+'32._Óvoda_államig'!E20+'33._TMKK_államig'!E20+'34._Rendelő_államig'!E20</f>
        <v>0</v>
      </c>
      <c r="F20" s="88">
        <f>'29._Hivatal_államig'!F20+'30._TIK_államig'!F20+'31._Humán_államig'!F20+'32._Óvoda_államig'!F20+'33._TMKK_államig'!F20+'34._Rendelő_államig'!F20</f>
        <v>0</v>
      </c>
      <c r="G20" s="331">
        <f>'29._Hivatal_államig'!G20+'30._TIK_államig'!G20+'31._Humán_államig'!G20+'32._Óvoda_államig'!G20+'33._TMKK_államig'!G20+'34._Rendelő_államig'!G20</f>
        <v>0</v>
      </c>
      <c r="H20" s="543">
        <f t="shared" si="1"/>
        <v>0</v>
      </c>
      <c r="I20" s="1310">
        <f>'29._Hivatal_államig'!I20+'30._TIK_államig'!I20+'31._Humán_államig'!I20+'32._Óvoda_államig'!I20+'33._TMKK_államig'!I20+'34._Rendelő_államig'!I20</f>
        <v>0</v>
      </c>
      <c r="J20" s="280">
        <f>'29._Hivatal_államig'!J20+'30._TIK_államig'!J20+'31._Humán_államig'!J20+'32._Óvoda_államig'!J20+'33._TMKK_államig'!J20+'34._Rendelő_államig'!J20</f>
        <v>0</v>
      </c>
      <c r="K20" s="280">
        <f>'29._Hivatal_államig'!K20+'30._TIK_államig'!K20+'31._Humán_államig'!K20+'32._Óvoda_államig'!K20+'33._TMKK_államig'!K20+'34._Rendelő_államig'!K20</f>
        <v>0</v>
      </c>
      <c r="L20" s="280" t="e">
        <f>'29._Hivatal_államig'!L20+'30._TIK_államig'!L20+'31._Humán_államig'!L20+'32._Óvoda_államig'!L20+'33._TMKK_államig'!L20+'34._Rendelő_államig'!L20</f>
        <v>#VALUE!</v>
      </c>
    </row>
    <row r="21" spans="1:12" s="54" customFormat="1" ht="12.2" customHeight="1" thickBot="1" x14ac:dyDescent="0.25">
      <c r="A21" s="1037" t="s">
        <v>276</v>
      </c>
      <c r="B21" s="52" t="s">
        <v>157</v>
      </c>
      <c r="C21" s="333">
        <f>'29._Hivatal_államig'!C21+'30._TIK_államig'!C21+'31._Humán_államig'!C21+'32._Óvoda_államig'!C21+'33._TMKK_államig'!C21+'34._Rendelő_államig'!C21</f>
        <v>540000</v>
      </c>
      <c r="D21" s="341">
        <f>'29._Hivatal_államig'!D21+'30._TIK_államig'!D21+'31._Humán_államig'!D21+'32._Óvoda_államig'!D21+'33._TMKK_államig'!D21+'34._Rendelő_államig'!D21</f>
        <v>540000</v>
      </c>
      <c r="E21" s="90">
        <f>'29._Hivatal_államig'!E21+'30._TIK_államig'!E21+'31._Humán_államig'!E21+'32._Óvoda_államig'!E21+'33._TMKK_államig'!E21+'34._Rendelő_államig'!E21</f>
        <v>540000</v>
      </c>
      <c r="F21" s="90">
        <f>'29._Hivatal_államig'!F21+'30._TIK_államig'!F21+'31._Humán_államig'!F21+'32._Óvoda_államig'!F21+'33._TMKK_államig'!F21+'34._Rendelő_államig'!F21</f>
        <v>540000</v>
      </c>
      <c r="G21" s="90">
        <f>'29._Hivatal_államig'!G21+'30._TIK_államig'!G21+'31._Humán_államig'!G21+'32._Óvoda_államig'!G21+'33._TMKK_államig'!G21+'34._Rendelő_államig'!G21</f>
        <v>0</v>
      </c>
      <c r="H21" s="544">
        <f t="shared" si="1"/>
        <v>0</v>
      </c>
      <c r="I21" s="1311">
        <f>'29._Hivatal_államig'!I21+'30._TIK_államig'!I21+'31._Humán_államig'!I21+'32._Óvoda_államig'!I21+'33._TMKK_államig'!I21+'34._Rendelő_államig'!I21</f>
        <v>0</v>
      </c>
      <c r="J21" s="281">
        <f>'29._Hivatal_államig'!J21+'30._TIK_államig'!J21+'31._Humán_államig'!J21+'32._Óvoda_államig'!J21+'33._TMKK_államig'!J21+'34._Rendelő_államig'!J21</f>
        <v>915746</v>
      </c>
      <c r="K21" s="281">
        <f>'29._Hivatal_államig'!K21+'30._TIK_államig'!K21+'31._Humán_államig'!K21+'32._Óvoda_államig'!K21+'33._TMKK_államig'!K21+'34._Rendelő_államig'!K21</f>
        <v>0</v>
      </c>
      <c r="L21" s="281">
        <f>'29._Hivatal_államig'!L21+'30._TIK_államig'!L21+'31._Humán_államig'!L21+'32._Óvoda_államig'!L21+'33._TMKK_államig'!L21+'34._Rendelő_államig'!L21</f>
        <v>169.58259259259259</v>
      </c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+C23+C24+C25</f>
        <v>0</v>
      </c>
      <c r="D22" s="127">
        <f t="shared" ref="D22:K22" si="2">+D23+D24+D25</f>
        <v>0</v>
      </c>
      <c r="E22" s="582">
        <f t="shared" si="2"/>
        <v>331428</v>
      </c>
      <c r="F22" s="582">
        <f t="shared" si="2"/>
        <v>0</v>
      </c>
      <c r="G22" s="582">
        <f t="shared" si="2"/>
        <v>0</v>
      </c>
      <c r="H22" s="48">
        <f t="shared" si="1"/>
        <v>331428</v>
      </c>
      <c r="I22" s="1306">
        <f t="shared" si="2"/>
        <v>0</v>
      </c>
      <c r="J22" s="276">
        <f t="shared" si="2"/>
        <v>0</v>
      </c>
      <c r="K22" s="276">
        <f t="shared" si="2"/>
        <v>0</v>
      </c>
      <c r="L22" s="276">
        <f>'29._Hivatal_államig'!L22+'30._TIK_államig'!L22+'31._Humán_államig'!L22+'32._Óvoda_államig'!L22+'33._TMKK_államig'!L22+'34._Rendelő_államig'!L22</f>
        <v>100</v>
      </c>
    </row>
    <row r="23" spans="1:12" s="54" customFormat="1" ht="12.2" customHeight="1" x14ac:dyDescent="0.2">
      <c r="A23" s="1037" t="s">
        <v>94</v>
      </c>
      <c r="B23" s="17" t="s">
        <v>159</v>
      </c>
      <c r="C23" s="331">
        <f>'29._Hivatal_államig'!C23+'30._TIK_államig'!C23+'31._Humán_államig'!C23+'32._Óvoda_államig'!C23+'33._TMKK_államig'!C23+'34._Rendelő_államig'!C23</f>
        <v>0</v>
      </c>
      <c r="D23" s="340">
        <f>'29._Hivatal_államig'!D23+'30._TIK_államig'!D23+'31._Humán_államig'!D23+'32._Óvoda_államig'!D23+'33._TMKK_államig'!D23+'34._Rendelő_államig'!D23</f>
        <v>0</v>
      </c>
      <c r="E23" s="584">
        <f>'29._Hivatal_államig'!E23+'30._TIK_államig'!E23+'31._Humán_államig'!E23+'32._Óvoda_államig'!E23+'33._TMKK_államig'!E23+'34._Rendelő_államig'!E23</f>
        <v>0</v>
      </c>
      <c r="F23" s="584">
        <f>'29._Hivatal_államig'!F23+'30._TIK_államig'!F23+'31._Humán_államig'!F23+'32._Óvoda_államig'!F23+'33._TMKK_államig'!F23+'34._Rendelő_államig'!F23</f>
        <v>0</v>
      </c>
      <c r="G23" s="584">
        <f>'29._Hivatal_államig'!G23+'30._TIK_államig'!G23+'31._Humán_államig'!G23+'32._Óvoda_államig'!G23+'33._TMKK_államig'!G23+'34._Rendelő_államig'!G23</f>
        <v>0</v>
      </c>
      <c r="H23" s="75">
        <f t="shared" si="1"/>
        <v>0</v>
      </c>
      <c r="I23" s="1312">
        <f>'29._Hivatal_államig'!I23+'30._TIK_államig'!I23+'31._Humán_államig'!I23+'32._Óvoda_államig'!I23+'33._TMKK_államig'!I23+'34._Rendelő_államig'!I23</f>
        <v>0</v>
      </c>
      <c r="J23" s="282">
        <f>'29._Hivatal_államig'!J23+'30._TIK_államig'!J23+'31._Humán_államig'!J23+'32._Óvoda_államig'!J23+'33._TMKK_államig'!J23+'34._Rendelő_államig'!J23</f>
        <v>0</v>
      </c>
      <c r="K23" s="282">
        <f>'29._Hivatal_államig'!K23+'30._TIK_államig'!K23+'31._Humán_államig'!K23+'32._Óvoda_államig'!K23+'33._TMKK_államig'!K23+'34._Rendelő_államig'!K23</f>
        <v>0</v>
      </c>
      <c r="L23" s="282" t="e">
        <f>'29._Hivatal_államig'!L23+'30._TIK_államig'!L23+'31._Humán_államig'!L23+'32._Óvoda_államig'!L23+'33._TMKK_államig'!L23+'34._Rendelő_államig'!L23</f>
        <v>#VALUE!</v>
      </c>
    </row>
    <row r="24" spans="1:12" s="54" customFormat="1" ht="12.2" customHeight="1" x14ac:dyDescent="0.2">
      <c r="A24" s="1037" t="s">
        <v>95</v>
      </c>
      <c r="B24" s="330" t="s">
        <v>160</v>
      </c>
      <c r="C24" s="331">
        <f>'29._Hivatal_államig'!C24+'30._TIK_államig'!C24+'31._Humán_államig'!C24+'32._Óvoda_államig'!C24+'33._TMKK_államig'!C24+'34._Rendelő_államig'!C24</f>
        <v>0</v>
      </c>
      <c r="D24" s="340">
        <f>'29._Hivatal_államig'!D24+'30._TIK_államig'!D24+'31._Humán_államig'!D24+'32._Óvoda_államig'!D24+'33._TMKK_államig'!D24+'34._Rendelő_államig'!D24</f>
        <v>0</v>
      </c>
      <c r="E24" s="88">
        <f>'29._Hivatal_államig'!E24+'30._TIK_államig'!E24+'31._Humán_államig'!E24+'32._Óvoda_államig'!E24+'33._TMKK_államig'!E24+'34._Rendelő_államig'!E24</f>
        <v>0</v>
      </c>
      <c r="F24" s="88">
        <f>'29._Hivatal_államig'!F24+'30._TIK_államig'!F24+'31._Humán_államig'!F24+'32._Óvoda_államig'!F24+'33._TMKK_államig'!F24+'34._Rendelő_államig'!F24</f>
        <v>0</v>
      </c>
      <c r="G24" s="88">
        <f>'29._Hivatal_államig'!G24+'30._TIK_államig'!G24+'31._Humán_államig'!G24+'32._Óvoda_államig'!G24+'33._TMKK_államig'!G24+'34._Rendelő_államig'!G24</f>
        <v>0</v>
      </c>
      <c r="H24" s="541">
        <f t="shared" si="1"/>
        <v>0</v>
      </c>
      <c r="I24" s="1308">
        <f>'29._Hivatal_államig'!I24+'30._TIK_államig'!I24+'31._Humán_államig'!I24+'32._Óvoda_államig'!I24+'33._TMKK_államig'!I24+'34._Rendelő_államig'!I24</f>
        <v>0</v>
      </c>
      <c r="J24" s="278">
        <f>'29._Hivatal_államig'!J24+'30._TIK_államig'!J24+'31._Humán_államig'!J24+'32._Óvoda_államig'!J24+'33._TMKK_államig'!J24+'34._Rendelő_államig'!J24</f>
        <v>0</v>
      </c>
      <c r="K24" s="278">
        <f>'29._Hivatal_államig'!K24+'30._TIK_államig'!K24+'31._Humán_államig'!K24+'32._Óvoda_államig'!K24+'33._TMKK_államig'!K24+'34._Rendelő_államig'!K24</f>
        <v>0</v>
      </c>
      <c r="L24" s="278" t="e">
        <f>'29._Hivatal_államig'!L24+'30._TIK_államig'!L24+'31._Humán_államig'!L24+'32._Óvoda_államig'!L24+'33._TMKK_államig'!L24+'34._Rendelő_államig'!L24</f>
        <v>#VALUE!</v>
      </c>
    </row>
    <row r="25" spans="1:12" s="54" customFormat="1" ht="12.2" customHeight="1" x14ac:dyDescent="0.2">
      <c r="A25" s="1037" t="s">
        <v>96</v>
      </c>
      <c r="B25" s="330" t="s">
        <v>161</v>
      </c>
      <c r="C25" s="331">
        <f>C26</f>
        <v>0</v>
      </c>
      <c r="D25" s="340">
        <f t="shared" ref="D25:K25" si="3">D26</f>
        <v>0</v>
      </c>
      <c r="E25" s="88">
        <f>'29._Hivatal_államig'!E25+'30._TIK_államig'!E25+'31._Humán_államig'!E25+'32._Óvoda_államig'!E25+'33._TMKK_államig'!E25+'34._Rendelő_államig'!E25</f>
        <v>331428</v>
      </c>
      <c r="F25" s="88">
        <f t="shared" si="3"/>
        <v>0</v>
      </c>
      <c r="G25" s="88">
        <f t="shared" si="3"/>
        <v>0</v>
      </c>
      <c r="H25" s="541">
        <f t="shared" si="1"/>
        <v>331428</v>
      </c>
      <c r="I25" s="1308">
        <f t="shared" si="3"/>
        <v>0</v>
      </c>
      <c r="J25" s="278">
        <f t="shared" si="3"/>
        <v>0</v>
      </c>
      <c r="K25" s="278">
        <f t="shared" si="3"/>
        <v>0</v>
      </c>
      <c r="L25" s="278">
        <f>'29._Hivatal_államig'!L25+'30._TIK_államig'!L25+'31._Humán_államig'!L25+'32._Óvoda_államig'!L25+'33._TMKK_államig'!L25+'34._Rendelő_államig'!L25</f>
        <v>100</v>
      </c>
    </row>
    <row r="26" spans="1:12" s="54" customFormat="1" ht="12.2" customHeight="1" thickBot="1" x14ac:dyDescent="0.25">
      <c r="A26" s="1037" t="s">
        <v>317</v>
      </c>
      <c r="B26" s="335" t="s">
        <v>233</v>
      </c>
      <c r="C26" s="331">
        <f>'29._Hivatal_államig'!C26+'30._TIK_államig'!C26+'31._Humán_államig'!C26+'32._Óvoda_államig'!C26+'33._TMKK_államig'!C26+'34._Rendelő_államig'!C26</f>
        <v>0</v>
      </c>
      <c r="D26" s="340">
        <f>'29._Hivatal_államig'!D26+'30._TIK_államig'!D26+'31._Humán_államig'!D26+'32._Óvoda_államig'!D26+'33._TMKK_államig'!D26+'34._Rendelő_államig'!D26</f>
        <v>0</v>
      </c>
      <c r="E26" s="88">
        <f>'29._Hivatal_államig'!E26+'30._TIK_államig'!E26+'31._Humán_államig'!E26+'32._Óvoda_államig'!E26+'33._TMKK_államig'!E26+'34._Rendelő_államig'!E26</f>
        <v>0</v>
      </c>
      <c r="F26" s="88">
        <f>'29._Hivatal_államig'!F26+'30._TIK_államig'!F26+'31._Humán_államig'!F26+'32._Óvoda_államig'!F26+'33._TMKK_államig'!F26+'34._Rendelő_államig'!F26</f>
        <v>0</v>
      </c>
      <c r="G26" s="88">
        <f>'29._Hivatal_államig'!G26+'30._TIK_államig'!G26+'31._Humán_államig'!G26+'32._Óvoda_államig'!G26+'33._TMKK_államig'!G26+'34._Rendelő_államig'!G26</f>
        <v>0</v>
      </c>
      <c r="H26" s="545">
        <f t="shared" si="1"/>
        <v>0</v>
      </c>
      <c r="I26" s="1313">
        <f>'29._Hivatal_államig'!I26+'30._TIK_államig'!I26+'31._Humán_államig'!I26+'32._Óvoda_államig'!I26+'33._TMKK_államig'!I26+'34._Rendelő_államig'!I26</f>
        <v>0</v>
      </c>
      <c r="J26" s="283">
        <f>'29._Hivatal_államig'!J26+'30._TIK_államig'!J26+'31._Humán_államig'!J26+'32._Óvoda_államig'!J26+'33._TMKK_államig'!J26+'34._Rendelő_államig'!J26</f>
        <v>0</v>
      </c>
      <c r="K26" s="283">
        <f>'29._Hivatal_államig'!K26+'30._TIK_államig'!K26+'31._Humán_államig'!K26+'32._Óvoda_államig'!K26+'33._TMKK_államig'!K26+'34._Rendelő_államig'!K26</f>
        <v>0</v>
      </c>
      <c r="L26" s="283" t="e">
        <f>'29._Hivatal_államig'!L26+'30._TIK_államig'!L26+'31._Humán_államig'!L26+'32._Óvoda_államig'!L26+'33._TMKK_államig'!L26+'34._Rendelő_államig'!L26</f>
        <v>#VALUE!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30">
        <f>'29._Hivatal_államig'!C27+'30._TIK_államig'!C27+'31._Humán_államig'!C27+'32._Óvoda_államig'!C27+'33._TMKK_államig'!C27+'34._Rendelő_államig'!C27</f>
        <v>0</v>
      </c>
      <c r="D27" s="129">
        <f>'29._Hivatal_államig'!D27+'30._TIK_államig'!D27+'31._Humán_államig'!D27+'32._Óvoda_államig'!D27+'33._TMKK_államig'!D27+'34._Rendelő_államig'!D27</f>
        <v>0</v>
      </c>
      <c r="E27" s="585">
        <f>'29._Hivatal_államig'!E27+'30._TIK_államig'!E27+'31._Humán_államig'!E27+'32._Óvoda_államig'!E27+'33._TMKK_államig'!E27+'34._Rendelő_államig'!E27</f>
        <v>0</v>
      </c>
      <c r="F27" s="585">
        <f>'29._Hivatal_államig'!F27+'30._TIK_államig'!F27+'31._Humán_államig'!F27+'32._Óvoda_államig'!F27+'33._TMKK_államig'!F27+'34._Rendelő_államig'!F27</f>
        <v>0</v>
      </c>
      <c r="G27" s="585">
        <f>'29._Hivatal_államig'!G27+'30._TIK_államig'!G27+'31._Humán_államig'!G27+'32._Óvoda_államig'!G27+'33._TMKK_államig'!G27+'34._Rendelő_államig'!G27</f>
        <v>0</v>
      </c>
      <c r="H27" s="74">
        <f t="shared" si="1"/>
        <v>0</v>
      </c>
      <c r="I27" s="290">
        <f>'29._Hivatal_államig'!I27+'30._TIK_államig'!I27+'31._Humán_államig'!I27+'32._Óvoda_államig'!I27+'33._TMKK_államig'!I27+'34._Rendelő_államig'!I27</f>
        <v>0</v>
      </c>
      <c r="J27" s="284">
        <f>'29._Hivatal_államig'!J27+'30._TIK_államig'!J27+'31._Humán_államig'!J27+'32._Óvoda_államig'!J27+'33._TMKK_államig'!J27+'34._Rendelő_államig'!J27</f>
        <v>0</v>
      </c>
      <c r="K27" s="284">
        <f>'29._Hivatal_államig'!K27+'30._TIK_államig'!K27+'31._Humán_államig'!K27+'32._Óvoda_államig'!K27+'33._TMKK_államig'!K27+'34._Rendelő_államig'!K27</f>
        <v>0</v>
      </c>
      <c r="L27" s="284">
        <f>'29._Hivatal_államig'!L27+'30._TIK_államig'!L27+'31._Humán_államig'!L27+'32._Óvoda_államig'!L27+'33._TMKK_államig'!L27+'34._Rendelő_államig'!L27</f>
        <v>0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+C29+C30</f>
        <v>0</v>
      </c>
      <c r="D28" s="127">
        <f t="shared" ref="D28:K28" si="4">+D29+D30</f>
        <v>0</v>
      </c>
      <c r="E28" s="582">
        <f t="shared" si="4"/>
        <v>0</v>
      </c>
      <c r="F28" s="582">
        <f t="shared" si="4"/>
        <v>0</v>
      </c>
      <c r="G28" s="582">
        <f t="shared" si="4"/>
        <v>0</v>
      </c>
      <c r="H28" s="74">
        <f t="shared" si="1"/>
        <v>0</v>
      </c>
      <c r="I28" s="290">
        <f t="shared" si="4"/>
        <v>0</v>
      </c>
      <c r="J28" s="284">
        <f t="shared" si="4"/>
        <v>0</v>
      </c>
      <c r="K28" s="284">
        <f t="shared" si="4"/>
        <v>0</v>
      </c>
      <c r="L28" s="284" t="e">
        <f>'29._Hivatal_államig'!L28+'30._TIK_államig'!L28+'31._Humán_államig'!L28+'32._Óvoda_államig'!L28+'33._TMKK_államig'!L28+'34._Rendelő_államig'!L28</f>
        <v>#VALUE!</v>
      </c>
    </row>
    <row r="29" spans="1:12" s="54" customFormat="1" ht="12.2" customHeight="1" x14ac:dyDescent="0.2">
      <c r="A29" s="58" t="s">
        <v>100</v>
      </c>
      <c r="B29" s="59" t="s">
        <v>160</v>
      </c>
      <c r="C29" s="122">
        <f>'29._Hivatal_államig'!C29+'30._TIK_államig'!C29+'31._Humán_államig'!C29+'32._Óvoda_államig'!C29+'33._TMKK_államig'!C29+'34._Rendelő_államig'!C29</f>
        <v>0</v>
      </c>
      <c r="D29" s="189">
        <f>'29._Hivatal_államig'!D29+'30._TIK_államig'!D29+'31._Humán_államig'!D29+'32._Óvoda_államig'!D29+'33._TMKK_államig'!D29+'34._Rendelő_államig'!D29</f>
        <v>0</v>
      </c>
      <c r="E29" s="586">
        <f>'29._Hivatal_államig'!E29+'30._TIK_államig'!E29+'31._Humán_államig'!E29+'32._Óvoda_államig'!E29+'33._TMKK_államig'!E29+'34._Rendelő_államig'!E29</f>
        <v>0</v>
      </c>
      <c r="F29" s="586">
        <f>'29._Hivatal_államig'!F29+'30._TIK_államig'!F29+'31._Humán_államig'!F29+'32._Óvoda_államig'!F29+'33._TMKK_államig'!F29+'34._Rendelő_államig'!F29</f>
        <v>0</v>
      </c>
      <c r="G29" s="586">
        <f>'29._Hivatal_államig'!G29+'30._TIK_államig'!G29+'31._Humán_államig'!G29+'32._Óvoda_államig'!G29+'33._TMKK_államig'!G29+'34._Rendelő_államig'!G29</f>
        <v>0</v>
      </c>
      <c r="H29" s="546">
        <f t="shared" si="1"/>
        <v>0</v>
      </c>
      <c r="I29" s="1314">
        <f>'29._Hivatal_államig'!I29+'30._TIK_államig'!I29+'31._Humán_államig'!I29+'32._Óvoda_államig'!I29+'33._TMKK_államig'!I29+'34._Rendelő_államig'!I29</f>
        <v>0</v>
      </c>
      <c r="J29" s="285">
        <f>'29._Hivatal_államig'!J29+'30._TIK_államig'!J29+'31._Humán_államig'!J29+'32._Óvoda_államig'!J29+'33._TMKK_államig'!J29+'34._Rendelő_államig'!J29</f>
        <v>0</v>
      </c>
      <c r="K29" s="285">
        <f>'29._Hivatal_államig'!K29+'30._TIK_államig'!K29+'31._Humán_államig'!K29+'32._Óvoda_államig'!K29+'33._TMKK_államig'!K29+'34._Rendelő_államig'!K29</f>
        <v>0</v>
      </c>
      <c r="L29" s="285" t="e">
        <f>'29._Hivatal_államig'!L29+'30._TIK_államig'!L29+'31._Humán_államig'!L29+'32._Óvoda_államig'!L29+'33._TMKK_államig'!L29+'34._Rendelő_államig'!L29</f>
        <v>#VALUE!</v>
      </c>
    </row>
    <row r="30" spans="1:12" s="54" customFormat="1" ht="12.2" customHeight="1" x14ac:dyDescent="0.2">
      <c r="A30" s="58" t="s">
        <v>101</v>
      </c>
      <c r="B30" s="336" t="s">
        <v>163</v>
      </c>
      <c r="C30" s="120">
        <f>C31</f>
        <v>0</v>
      </c>
      <c r="D30" s="193">
        <f t="shared" ref="D30:K30" si="5">D31</f>
        <v>0</v>
      </c>
      <c r="E30" s="107">
        <f t="shared" si="5"/>
        <v>0</v>
      </c>
      <c r="F30" s="107">
        <f t="shared" si="5"/>
        <v>0</v>
      </c>
      <c r="G30" s="339">
        <f t="shared" si="5"/>
        <v>0</v>
      </c>
      <c r="H30" s="534">
        <f t="shared" si="1"/>
        <v>0</v>
      </c>
      <c r="I30" s="1315">
        <f t="shared" si="5"/>
        <v>0</v>
      </c>
      <c r="J30" s="286">
        <f t="shared" si="5"/>
        <v>0</v>
      </c>
      <c r="K30" s="286">
        <f t="shared" si="5"/>
        <v>0</v>
      </c>
      <c r="L30" s="286" t="e">
        <f>'29._Hivatal_államig'!L30+'30._TIK_államig'!L30+'31._Humán_államig'!L30+'32._Óvoda_államig'!L30+'33._TMKK_államig'!L30+'34._Rendelő_államig'!L30</f>
        <v>#VALUE!</v>
      </c>
    </row>
    <row r="31" spans="1:12" s="54" customFormat="1" ht="12.2" customHeight="1" thickBot="1" x14ac:dyDescent="0.25">
      <c r="A31" s="1037" t="s">
        <v>281</v>
      </c>
      <c r="B31" s="102" t="s">
        <v>165</v>
      </c>
      <c r="C31" s="92">
        <f>'29._Hivatal_államig'!C31+'30._TIK_államig'!C31+'31._Humán_államig'!C31+'32._Óvoda_államig'!C31+'33._TMKK_államig'!C31+'34._Rendelő_államig'!C31</f>
        <v>0</v>
      </c>
      <c r="D31" s="190">
        <f>'29._Hivatal_államig'!D31+'30._TIK_államig'!D31+'31._Humán_államig'!D31+'32._Óvoda_államig'!D31+'33._TMKK_államig'!D31+'34._Rendelő_államig'!D31</f>
        <v>0</v>
      </c>
      <c r="E31" s="587">
        <f>'29._Hivatal_államig'!E31+'30._TIK_államig'!E31+'31._Humán_államig'!E31+'32._Óvoda_államig'!E31+'33._TMKK_államig'!E31+'34._Rendelő_államig'!E31</f>
        <v>0</v>
      </c>
      <c r="F31" s="587">
        <f>'29._Hivatal_államig'!F31+'30._TIK_államig'!F31+'31._Humán_államig'!F31+'32._Óvoda_államig'!F31+'33._TMKK_államig'!F31+'34._Rendelő_államig'!F31</f>
        <v>0</v>
      </c>
      <c r="G31" s="587">
        <f>'29._Hivatal_államig'!G31+'30._TIK_államig'!G31+'31._Humán_államig'!G31+'32._Óvoda_államig'!G31+'33._TMKK_államig'!G31+'34._Rendelő_államig'!G31</f>
        <v>0</v>
      </c>
      <c r="H31" s="547">
        <f t="shared" si="1"/>
        <v>0</v>
      </c>
      <c r="I31" s="1316">
        <f>'29._Hivatal_államig'!I31+'30._TIK_államig'!I31+'31._Humán_államig'!I31+'32._Óvoda_államig'!I31+'33._TMKK_államig'!I31+'34._Rendelő_államig'!I31</f>
        <v>0</v>
      </c>
      <c r="J31" s="287">
        <f>'29._Hivatal_államig'!J31+'30._TIK_államig'!J31+'31._Humán_államig'!J31+'32._Óvoda_államig'!J31+'33._TMKK_államig'!J31+'34._Rendelő_államig'!J31</f>
        <v>0</v>
      </c>
      <c r="K31" s="287">
        <f>'29._Hivatal_államig'!K31+'30._TIK_államig'!K31+'31._Humán_államig'!K31+'32._Óvoda_államig'!K31+'33._TMKK_államig'!K31+'34._Rendelő_államig'!K31</f>
        <v>0</v>
      </c>
      <c r="L31" s="287" t="e">
        <f>'29._Hivatal_államig'!L31+'30._TIK_államig'!L31+'31._Humán_államig'!L31+'32._Óvoda_államig'!L31+'33._TMKK_államig'!L31+'34._Rendelő_államig'!L31</f>
        <v>#VALUE!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+C33+C34+C35</f>
        <v>0</v>
      </c>
      <c r="D32" s="127">
        <f t="shared" ref="D32:K32" si="6">+D33+D34+D35</f>
        <v>0</v>
      </c>
      <c r="E32" s="582">
        <f t="shared" si="6"/>
        <v>0</v>
      </c>
      <c r="F32" s="582">
        <f t="shared" si="6"/>
        <v>0</v>
      </c>
      <c r="G32" s="582">
        <f t="shared" si="6"/>
        <v>0</v>
      </c>
      <c r="H32" s="74">
        <f t="shared" si="1"/>
        <v>0</v>
      </c>
      <c r="I32" s="290">
        <f t="shared" si="6"/>
        <v>0</v>
      </c>
      <c r="J32" s="284">
        <f t="shared" si="6"/>
        <v>74000</v>
      </c>
      <c r="K32" s="284">
        <f t="shared" si="6"/>
        <v>0</v>
      </c>
      <c r="L32" s="284" t="e">
        <f>'29._Hivatal_államig'!L32+'30._TIK_államig'!L32+'31._Humán_államig'!L32+'32._Óvoda_államig'!L32+'33._TMKK_államig'!L32+'34._Rendelő_államig'!L32</f>
        <v>#VALUE!</v>
      </c>
    </row>
    <row r="33" spans="1:12" s="54" customFormat="1" ht="12.2" customHeight="1" x14ac:dyDescent="0.2">
      <c r="A33" s="58" t="s">
        <v>89</v>
      </c>
      <c r="B33" s="59" t="s">
        <v>167</v>
      </c>
      <c r="C33" s="122">
        <f>'29._Hivatal_államig'!C33+'30._TIK_államig'!C33+'31._Humán_államig'!C33+'32._Óvoda_államig'!C33+'33._TMKK_államig'!C33+'34._Rendelő_államig'!C33</f>
        <v>0</v>
      </c>
      <c r="D33" s="189">
        <f>'29._Hivatal_államig'!D33+'30._TIK_államig'!D33+'31._Humán_államig'!D33+'32._Óvoda_államig'!D33+'33._TMKK_államig'!D33+'34._Rendelő_államig'!D33</f>
        <v>0</v>
      </c>
      <c r="E33" s="586">
        <f>'29._Hivatal_államig'!E33+'30._TIK_államig'!E33+'31._Humán_államig'!E33+'32._Óvoda_államig'!E33+'33._TMKK_államig'!E33+'34._Rendelő_államig'!E33</f>
        <v>0</v>
      </c>
      <c r="F33" s="586">
        <f>'29._Hivatal_államig'!F33+'30._TIK_államig'!F33+'31._Humán_államig'!F33+'32._Óvoda_államig'!F33+'33._TMKK_államig'!F33+'34._Rendelő_államig'!F33</f>
        <v>0</v>
      </c>
      <c r="G33" s="586">
        <f>'29._Hivatal_államig'!G33+'30._TIK_államig'!G33+'31._Humán_államig'!G33+'32._Óvoda_államig'!G33+'33._TMKK_államig'!G33+'34._Rendelő_államig'!G33</f>
        <v>0</v>
      </c>
      <c r="H33" s="546">
        <f t="shared" si="1"/>
        <v>0</v>
      </c>
      <c r="I33" s="1314">
        <f>'29._Hivatal_államig'!I33+'30._TIK_államig'!I33+'31._Humán_államig'!I33+'32._Óvoda_államig'!I33+'33._TMKK_államig'!I33+'34._Rendelő_államig'!I33</f>
        <v>0</v>
      </c>
      <c r="J33" s="285">
        <f>'29._Hivatal_államig'!J33+'30._TIK_államig'!J33+'31._Humán_államig'!J33+'32._Óvoda_államig'!J33+'33._TMKK_államig'!J33+'34._Rendelő_államig'!J33</f>
        <v>0</v>
      </c>
      <c r="K33" s="285">
        <f>'29._Hivatal_államig'!K33+'30._TIK_államig'!K33+'31._Humán_államig'!K33+'32._Óvoda_államig'!K33+'33._TMKK_államig'!K33+'34._Rendelő_államig'!K33</f>
        <v>0</v>
      </c>
      <c r="L33" s="285" t="e">
        <f>'29._Hivatal_államig'!L33+'30._TIK_államig'!L33+'31._Humán_államig'!L33+'32._Óvoda_államig'!L33+'33._TMKK_államig'!L33+'34._Rendelő_államig'!L33</f>
        <v>#VALUE!</v>
      </c>
    </row>
    <row r="34" spans="1:12" s="54" customFormat="1" ht="12.2" customHeight="1" x14ac:dyDescent="0.2">
      <c r="A34" s="58" t="s">
        <v>102</v>
      </c>
      <c r="B34" s="336" t="s">
        <v>168</v>
      </c>
      <c r="C34" s="120">
        <f>'29._Hivatal_államig'!C34+'30._TIK_államig'!C34+'31._Humán_államig'!C34+'32._Óvoda_államig'!C34+'33._TMKK_államig'!C34+'34._Rendelő_államig'!C34</f>
        <v>0</v>
      </c>
      <c r="D34" s="193">
        <f>'29._Hivatal_államig'!D34+'30._TIK_államig'!D34+'31._Humán_államig'!D34+'32._Óvoda_államig'!D34+'33._TMKK_államig'!D34+'34._Rendelő_államig'!D34</f>
        <v>0</v>
      </c>
      <c r="E34" s="107">
        <f>'29._Hivatal_államig'!E34+'30._TIK_államig'!E34+'31._Humán_államig'!E34+'32._Óvoda_államig'!E34+'33._TMKK_államig'!E34+'34._Rendelő_államig'!E34</f>
        <v>0</v>
      </c>
      <c r="F34" s="107">
        <f>'29._Hivatal_államig'!F34+'30._TIK_államig'!F34+'31._Humán_államig'!F34+'32._Óvoda_államig'!F34+'33._TMKK_államig'!F34+'34._Rendelő_államig'!F34</f>
        <v>0</v>
      </c>
      <c r="G34" s="339">
        <f>'29._Hivatal_államig'!G34+'30._TIK_államig'!G34+'31._Humán_államig'!G34+'32._Óvoda_államig'!G34+'33._TMKK_államig'!G34+'34._Rendelő_államig'!G34</f>
        <v>0</v>
      </c>
      <c r="H34" s="534">
        <f t="shared" si="1"/>
        <v>0</v>
      </c>
      <c r="I34" s="1315">
        <f>'29._Hivatal_államig'!I34+'30._TIK_államig'!I34+'31._Humán_államig'!I34+'32._Óvoda_államig'!I34+'33._TMKK_államig'!I34+'34._Rendelő_államig'!I34</f>
        <v>0</v>
      </c>
      <c r="J34" s="286">
        <f>'29._Hivatal_államig'!J34+'30._TIK_államig'!J34+'31._Humán_államig'!J34+'32._Óvoda_államig'!J34+'33._TMKK_államig'!J34+'34._Rendelő_államig'!J34</f>
        <v>0</v>
      </c>
      <c r="K34" s="286">
        <f>'29._Hivatal_államig'!K34+'30._TIK_államig'!K34+'31._Humán_államig'!K34+'32._Óvoda_államig'!K34+'33._TMKK_államig'!K34+'34._Rendelő_államig'!K34</f>
        <v>0</v>
      </c>
      <c r="L34" s="286" t="e">
        <f>'29._Hivatal_államig'!L34+'30._TIK_államig'!L34+'31._Humán_államig'!L34+'32._Óvoda_államig'!L34+'33._TMKK_államig'!L34+'34._Rendelő_államig'!L34</f>
        <v>#VALUE!</v>
      </c>
    </row>
    <row r="35" spans="1:12" s="54" customFormat="1" ht="12.2" customHeight="1" thickBot="1" x14ac:dyDescent="0.25">
      <c r="A35" s="1037" t="s">
        <v>103</v>
      </c>
      <c r="B35" s="62" t="s">
        <v>169</v>
      </c>
      <c r="C35" s="92">
        <f>'29._Hivatal_államig'!C35+'30._TIK_államig'!C35+'31._Humán_államig'!C35+'32._Óvoda_államig'!C35+'33._TMKK_államig'!C35+'34._Rendelő_államig'!C35</f>
        <v>0</v>
      </c>
      <c r="D35" s="190">
        <f>'29._Hivatal_államig'!D35+'30._TIK_államig'!D35+'31._Humán_államig'!D35+'32._Óvoda_államig'!D35+'33._TMKK_államig'!D35+'34._Rendelő_államig'!D35</f>
        <v>0</v>
      </c>
      <c r="E35" s="587">
        <f>'29._Hivatal_államig'!E35+'30._TIK_államig'!E35+'31._Humán_államig'!E35+'32._Óvoda_államig'!E35+'33._TMKK_államig'!E35+'34._Rendelő_államig'!E35</f>
        <v>0</v>
      </c>
      <c r="F35" s="587">
        <f>'29._Hivatal_államig'!F35+'30._TIK_államig'!F35+'31._Humán_államig'!F35+'32._Óvoda_államig'!F35+'33._TMKK_államig'!F35+'34._Rendelő_államig'!F35</f>
        <v>0</v>
      </c>
      <c r="G35" s="587">
        <f>'29._Hivatal_államig'!G35+'30._TIK_államig'!G35+'31._Humán_államig'!G35+'32._Óvoda_államig'!G35+'33._TMKK_államig'!G35+'34._Rendelő_államig'!G35</f>
        <v>0</v>
      </c>
      <c r="H35" s="548">
        <f t="shared" si="1"/>
        <v>0</v>
      </c>
      <c r="I35" s="1317">
        <f>'29._Hivatal_államig'!I35+'30._TIK_államig'!I35+'31._Humán_államig'!I35+'32._Óvoda_államig'!I35+'33._TMKK_államig'!I35+'34._Rendelő_államig'!I35</f>
        <v>0</v>
      </c>
      <c r="J35" s="288">
        <f>'29._Hivatal_államig'!J35+'30._TIK_államig'!J35+'31._Humán_államig'!J35+'32._Óvoda_államig'!J35+'33._TMKK_államig'!J35+'34._Rendelő_államig'!J35</f>
        <v>74000</v>
      </c>
      <c r="K35" s="288">
        <f>'29._Hivatal_államig'!K35+'30._TIK_államig'!K35+'31._Humán_államig'!K35+'32._Óvoda_államig'!K35+'33._TMKK_államig'!K35+'34._Rendelő_államig'!K35</f>
        <v>0</v>
      </c>
      <c r="L35" s="288" t="e">
        <f>'29._Hivatal_államig'!L35+'30._TIK_államig'!L35+'31._Humán_államig'!L35+'32._Óvoda_államig'!L35+'33._TMKK_államig'!L35+'34._Rendelő_államig'!L35</f>
        <v>#VALUE!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30">
        <f>'29._Hivatal_államig'!C36+'30._TIK_államig'!C36+'31._Humán_államig'!C36+'32._Óvoda_államig'!C36+'33._TMKK_államig'!C36+'34._Rendelő_államig'!C36</f>
        <v>0</v>
      </c>
      <c r="D36" s="129">
        <f>'29._Hivatal_államig'!D36+'30._TIK_államig'!D36+'31._Humán_államig'!D36+'32._Óvoda_államig'!D36+'33._TMKK_államig'!D36+'34._Rendelő_államig'!D36</f>
        <v>0</v>
      </c>
      <c r="E36" s="585">
        <f>'29._Hivatal_államig'!E36+'30._TIK_államig'!E36+'31._Humán_államig'!E36+'32._Óvoda_államig'!E36+'33._TMKK_államig'!E36+'34._Rendelő_államig'!E36</f>
        <v>0</v>
      </c>
      <c r="F36" s="585">
        <f>'29._Hivatal_államig'!F36+'30._TIK_államig'!F36+'31._Humán_államig'!F36+'32._Óvoda_államig'!F36+'33._TMKK_államig'!F36+'34._Rendelő_államig'!F36</f>
        <v>0</v>
      </c>
      <c r="G36" s="585">
        <f>'29._Hivatal_államig'!G36+'30._TIK_államig'!G36+'31._Humán_államig'!G36+'32._Óvoda_államig'!G36+'33._TMKK_államig'!G36+'34._Rendelő_államig'!G36</f>
        <v>0</v>
      </c>
      <c r="H36" s="74">
        <f t="shared" si="1"/>
        <v>0</v>
      </c>
      <c r="I36" s="290">
        <f>'29._Hivatal_államig'!I36+'30._TIK_államig'!I36+'31._Humán_államig'!I36+'32._Óvoda_államig'!I36+'33._TMKK_államig'!I36+'34._Rendelő_államig'!I36</f>
        <v>0</v>
      </c>
      <c r="J36" s="284">
        <f>'29._Hivatal_államig'!J36+'30._TIK_államig'!J36+'31._Humán_államig'!J36+'32._Óvoda_államig'!J36+'33._TMKK_államig'!J36+'34._Rendelő_államig'!J36</f>
        <v>0</v>
      </c>
      <c r="K36" s="284">
        <f>'29._Hivatal_államig'!K36+'30._TIK_államig'!K36+'31._Humán_államig'!K36+'32._Óvoda_államig'!K36+'33._TMKK_államig'!K36+'34._Rendelő_államig'!K36</f>
        <v>0</v>
      </c>
      <c r="L36" s="284" t="e">
        <f>'29._Hivatal_államig'!L36+'30._TIK_államig'!L36+'31._Humán_államig'!L36+'32._Óvoda_államig'!L36+'33._TMKK_államig'!L36+'34._Rendelő_államig'!L36</f>
        <v>#VALUE!</v>
      </c>
    </row>
    <row r="37" spans="1:12" s="26" customFormat="1" ht="12.2" customHeight="1" thickBot="1" x14ac:dyDescent="0.25">
      <c r="A37" s="1038" t="s">
        <v>104</v>
      </c>
      <c r="B37" s="337" t="s">
        <v>165</v>
      </c>
      <c r="C37" s="130">
        <f>'29._Hivatal_államig'!C37+'30._TIK_államig'!C37+'31._Humán_államig'!C37+'32._Óvoda_államig'!C37+'33._TMKK_államig'!C37+'34._Rendelő_államig'!C37</f>
        <v>0</v>
      </c>
      <c r="D37" s="129">
        <f>'29._Hivatal_államig'!D37+'30._TIK_államig'!D37+'31._Humán_államig'!D37+'32._Óvoda_államig'!D37+'33._TMKK_államig'!D37+'34._Rendelő_államig'!D37</f>
        <v>0</v>
      </c>
      <c r="E37" s="588">
        <f>'29._Hivatal_államig'!E37+'30._TIK_államig'!E37+'31._Humán_államig'!E37+'32._Óvoda_államig'!E37+'33._TMKK_államig'!E37+'34._Rendelő_államig'!E37</f>
        <v>0</v>
      </c>
      <c r="F37" s="588">
        <f>'29._Hivatal_államig'!F37+'30._TIK_államig'!F37+'31._Humán_államig'!F37+'32._Óvoda_államig'!F37+'33._TMKK_államig'!F37+'34._Rendelő_államig'!F37</f>
        <v>0</v>
      </c>
      <c r="G37" s="588">
        <f>'29._Hivatal_államig'!G37+'30._TIK_államig'!G37+'31._Humán_államig'!G37+'32._Óvoda_államig'!G37+'33._TMKK_államig'!G37+'34._Rendelő_államig'!G37</f>
        <v>0</v>
      </c>
      <c r="H37" s="549">
        <f t="shared" si="1"/>
        <v>0</v>
      </c>
      <c r="I37" s="289">
        <f>'29._Hivatal_államig'!I37+'30._TIK_államig'!I37+'31._Humán_államig'!I37+'32._Óvoda_államig'!I37+'33._TMKK_államig'!I37+'34._Rendelő_államig'!I37</f>
        <v>0</v>
      </c>
      <c r="J37" s="289">
        <f>'29._Hivatal_államig'!J37+'30._TIK_államig'!J37+'31._Humán_államig'!J37+'32._Óvoda_államig'!J37+'33._TMKK_államig'!J37+'34._Rendelő_államig'!J37</f>
        <v>0</v>
      </c>
      <c r="K37" s="289">
        <f>'29._Hivatal_államig'!K37+'30._TIK_államig'!K37+'31._Humán_államig'!K37+'32._Óvoda_államig'!K37+'33._TMKK_államig'!K37+'34._Rendelő_államig'!K37</f>
        <v>0</v>
      </c>
      <c r="L37" s="289" t="e">
        <f>'29._Hivatal_államig'!L37+'30._TIK_államig'!L37+'31._Humán_államig'!L37+'32._Óvoda_államig'!L37+'33._TMKK_államig'!L37+'34._Rendelő_államig'!L37</f>
        <v>#VALUE!</v>
      </c>
    </row>
    <row r="38" spans="1:12" s="26" customFormat="1" ht="12.2" customHeight="1" thickBot="1" x14ac:dyDescent="0.25">
      <c r="A38" s="55" t="s">
        <v>18</v>
      </c>
      <c r="B38" s="56" t="s">
        <v>555</v>
      </c>
      <c r="C38" s="130">
        <f>+C39+C40</f>
        <v>0</v>
      </c>
      <c r="D38" s="129">
        <f t="shared" ref="D38:K38" si="7">+D39+D40</f>
        <v>0</v>
      </c>
      <c r="E38" s="585">
        <f t="shared" si="7"/>
        <v>0</v>
      </c>
      <c r="F38" s="585">
        <f t="shared" si="7"/>
        <v>0</v>
      </c>
      <c r="G38" s="585">
        <f t="shared" si="7"/>
        <v>0</v>
      </c>
      <c r="H38" s="74">
        <f t="shared" si="1"/>
        <v>0</v>
      </c>
      <c r="I38" s="290">
        <f t="shared" si="7"/>
        <v>0</v>
      </c>
      <c r="J38" s="290">
        <f t="shared" si="7"/>
        <v>0</v>
      </c>
      <c r="K38" s="290">
        <f t="shared" si="7"/>
        <v>0</v>
      </c>
      <c r="L38" s="290">
        <f>'29._Hivatal_államig'!L38+'30._TIK_államig'!L38+'31._Humán_államig'!L38+'32._Óvoda_államig'!L38+'33._TMKK_államig'!L38+'34._Rendelő_államig'!L38</f>
        <v>0</v>
      </c>
    </row>
    <row r="39" spans="1:12" s="26" customFormat="1" ht="12.2" customHeight="1" x14ac:dyDescent="0.2">
      <c r="A39" s="12" t="s">
        <v>107</v>
      </c>
      <c r="B39" s="95" t="s">
        <v>212</v>
      </c>
      <c r="C39" s="131">
        <f>'29._Hivatal_államig'!C39+'30._TIK_államig'!C39+'31._Humán_államig'!C39+'32._Óvoda_államig'!C39+'33._TMKK_államig'!C39+'34._Rendelő_államig'!C39</f>
        <v>0</v>
      </c>
      <c r="D39" s="194">
        <f>'29._Hivatal_államig'!D39+'30._TIK_államig'!D39+'31._Humán_államig'!D39+'32._Óvoda_államig'!D39+'33._TMKK_államig'!D39+'34._Rendelő_államig'!D39</f>
        <v>0</v>
      </c>
      <c r="E39" s="589">
        <f>'29._Hivatal_államig'!E39+'30._TIK_államig'!E39+'31._Humán_államig'!E39+'32._Óvoda_államig'!E39+'33._TMKK_államig'!E39+'34._Rendelő_államig'!E39</f>
        <v>0</v>
      </c>
      <c r="F39" s="589">
        <f>'29._Hivatal_államig'!F39+'30._TIK_államig'!F39+'31._Humán_államig'!F39+'32._Óvoda_államig'!F39+'33._TMKK_államig'!F39+'34._Rendelő_államig'!F39</f>
        <v>0</v>
      </c>
      <c r="G39" s="589">
        <f>'29._Hivatal_államig'!G39+'30._TIK_államig'!G39+'31._Humán_államig'!G39+'32._Óvoda_államig'!G39+'33._TMKK_államig'!G39+'34._Rendelő_államig'!G39</f>
        <v>0</v>
      </c>
      <c r="H39" s="550">
        <f t="shared" si="1"/>
        <v>0</v>
      </c>
      <c r="I39" s="1318">
        <f>'29._Hivatal_államig'!I39+'30._TIK_államig'!I39+'31._Humán_államig'!I39+'32._Óvoda_államig'!I39+'33._TMKK_államig'!I39+'34._Rendelő_államig'!I39</f>
        <v>0</v>
      </c>
      <c r="J39" s="291">
        <f>'29._Hivatal_államig'!J39+'30._TIK_államig'!J39+'31._Humán_államig'!J39+'32._Óvoda_államig'!J39+'33._TMKK_államig'!J39+'34._Rendelő_államig'!J39</f>
        <v>0</v>
      </c>
      <c r="K39" s="291">
        <f>'29._Hivatal_államig'!K39+'30._TIK_államig'!K39+'31._Humán_államig'!K39+'32._Óvoda_államig'!K39+'33._TMKK_államig'!K39+'34._Rendelő_államig'!K39</f>
        <v>0</v>
      </c>
      <c r="L39" s="291" t="e">
        <f>'29._Hivatal_államig'!L39+'30._TIK_államig'!L39+'31._Humán_államig'!L39+'32._Óvoda_államig'!L39+'33._TMKK_államig'!L39+'34._Rendelő_államig'!L39</f>
        <v>#VALUE!</v>
      </c>
    </row>
    <row r="40" spans="1:12" s="26" customFormat="1" ht="12.2" customHeight="1" x14ac:dyDescent="0.2">
      <c r="A40" s="1003" t="s">
        <v>108</v>
      </c>
      <c r="B40" s="346" t="s">
        <v>213</v>
      </c>
      <c r="C40" s="338">
        <f>C41</f>
        <v>0</v>
      </c>
      <c r="D40" s="342">
        <f t="shared" ref="D40:K40" si="8">D41</f>
        <v>0</v>
      </c>
      <c r="E40" s="605">
        <f t="shared" si="8"/>
        <v>0</v>
      </c>
      <c r="F40" s="590">
        <f t="shared" si="8"/>
        <v>0</v>
      </c>
      <c r="G40" s="590">
        <f t="shared" si="8"/>
        <v>0</v>
      </c>
      <c r="H40" s="551">
        <f t="shared" si="1"/>
        <v>0</v>
      </c>
      <c r="I40" s="1319">
        <f t="shared" si="8"/>
        <v>0</v>
      </c>
      <c r="J40" s="292">
        <f t="shared" si="8"/>
        <v>0</v>
      </c>
      <c r="K40" s="292">
        <f t="shared" si="8"/>
        <v>0</v>
      </c>
      <c r="L40" s="292" t="e">
        <f>'29._Hivatal_államig'!L40+'30._TIK_államig'!L40+'31._Humán_államig'!L40+'32._Óvoda_államig'!L40+'33._TMKK_államig'!L40+'34._Rendelő_államig'!L40</f>
        <v>#VALUE!</v>
      </c>
    </row>
    <row r="41" spans="1:12" s="26" customFormat="1" ht="12.2" customHeight="1" thickBot="1" x14ac:dyDescent="0.25">
      <c r="A41" s="1003" t="s">
        <v>323</v>
      </c>
      <c r="B41" s="103" t="s">
        <v>165</v>
      </c>
      <c r="C41" s="133">
        <f>'29._Hivatal_államig'!C41+'30._TIK_államig'!C41+'31._Humán_államig'!C41+'32._Óvoda_államig'!C41+'33._TMKK_államig'!C41+'34._Rendelő_államig'!C41</f>
        <v>0</v>
      </c>
      <c r="D41" s="132">
        <f>'29._Hivatal_államig'!D41+'30._TIK_államig'!D41+'31._Humán_államig'!D41+'32._Óvoda_államig'!D41+'33._TMKK_államig'!D41+'34._Rendelő_államig'!D41</f>
        <v>0</v>
      </c>
      <c r="E41" s="591">
        <f>'29._Hivatal_államig'!E41+'30._TIK_államig'!E41+'31._Humán_államig'!E41+'32._Óvoda_államig'!E41+'33._TMKK_államig'!E41+'34._Rendelő_államig'!E41</f>
        <v>0</v>
      </c>
      <c r="F41" s="591">
        <f>'29._Hivatal_államig'!F41+'30._TIK_államig'!F41+'31._Humán_államig'!F41+'32._Óvoda_államig'!F41+'33._TMKK_államig'!F41+'34._Rendelő_államig'!F41</f>
        <v>0</v>
      </c>
      <c r="G41" s="591">
        <f>'29._Hivatal_államig'!G41+'30._TIK_államig'!G41+'31._Humán_államig'!G41+'32._Óvoda_államig'!G41+'33._TMKK_államig'!G41+'34._Rendelő_államig'!G41</f>
        <v>0</v>
      </c>
      <c r="H41" s="552">
        <f t="shared" si="1"/>
        <v>0</v>
      </c>
      <c r="I41" s="293">
        <f>'29._Hivatal_államig'!I41+'30._TIK_államig'!I41+'31._Humán_államig'!I41+'32._Óvoda_államig'!I41+'33._TMKK_államig'!I41+'34._Rendelő_államig'!I41</f>
        <v>0</v>
      </c>
      <c r="J41" s="293">
        <f>'29._Hivatal_államig'!J41+'30._TIK_államig'!J41+'31._Humán_államig'!J41+'32._Óvoda_államig'!J41+'33._TMKK_államig'!J41+'34._Rendelő_államig'!J41</f>
        <v>0</v>
      </c>
      <c r="K41" s="293">
        <f>'29._Hivatal_államig'!K41+'30._TIK_államig'!K41+'31._Humán_államig'!K41+'32._Óvoda_államig'!K41+'33._TMKK_államig'!K41+'34._Rendelő_államig'!K41</f>
        <v>0</v>
      </c>
      <c r="L41" s="293" t="e">
        <f>'29._Hivatal_államig'!L41+'30._TIK_államig'!L41+'31._Humán_államig'!L41+'32._Óvoda_államig'!L41+'33._TMKK_államig'!L41+'34._Rendelő_államig'!L41</f>
        <v>#VALUE!</v>
      </c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2780200</v>
      </c>
      <c r="D42" s="127">
        <f t="shared" ref="D42:K42" si="9">+D10+D22+D27+D28+D32+D36+D38</f>
        <v>2780200</v>
      </c>
      <c r="E42" s="582">
        <f t="shared" si="9"/>
        <v>5576628</v>
      </c>
      <c r="F42" s="582">
        <f t="shared" si="9"/>
        <v>5245200</v>
      </c>
      <c r="G42" s="582">
        <f t="shared" si="9"/>
        <v>0</v>
      </c>
      <c r="H42" s="74">
        <f t="shared" si="1"/>
        <v>2796428</v>
      </c>
      <c r="I42" s="290">
        <f t="shared" si="9"/>
        <v>0</v>
      </c>
      <c r="J42" s="290">
        <f t="shared" si="9"/>
        <v>6664066</v>
      </c>
      <c r="K42" s="290">
        <f t="shared" si="9"/>
        <v>0</v>
      </c>
      <c r="L42" s="290" t="e">
        <f>'29._Hivatal_államig'!L42+'30._TIK_államig'!L42+'31._Humán_államig'!L42+'32._Óvoda_államig'!L42+'33._TMKK_államig'!L42+'34._Rendelő_államig'!L42</f>
        <v>#VALUE!</v>
      </c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+C44+C45+C46+C47</f>
        <v>605121117</v>
      </c>
      <c r="D43" s="127">
        <f t="shared" ref="D43:K43" si="10">+D44+D45+D46+D47</f>
        <v>620989483</v>
      </c>
      <c r="E43" s="582">
        <f t="shared" si="10"/>
        <v>695056983</v>
      </c>
      <c r="F43" s="582">
        <f t="shared" si="10"/>
        <v>695056983</v>
      </c>
      <c r="G43" s="582">
        <f t="shared" si="10"/>
        <v>2285982</v>
      </c>
      <c r="H43" s="74">
        <f t="shared" si="1"/>
        <v>74067500</v>
      </c>
      <c r="I43" s="290">
        <f t="shared" si="10"/>
        <v>2285984</v>
      </c>
      <c r="J43" s="290">
        <f t="shared" si="10"/>
        <v>475600768</v>
      </c>
      <c r="K43" s="290">
        <f t="shared" si="10"/>
        <v>0</v>
      </c>
      <c r="L43" s="290">
        <f>'29._Hivatal_államig'!L43+'30._TIK_államig'!L43+'31._Humán_államig'!L43+'32._Óvoda_államig'!L43+'33._TMKK_államig'!L43+'34._Rendelő_államig'!L43</f>
        <v>220.37188727982607</v>
      </c>
    </row>
    <row r="44" spans="1:12" s="26" customFormat="1" ht="12.2" customHeight="1" x14ac:dyDescent="0.2">
      <c r="A44" s="58" t="s">
        <v>171</v>
      </c>
      <c r="B44" s="59" t="s">
        <v>131</v>
      </c>
      <c r="C44" s="122">
        <f>'29._Hivatal_államig'!C44+'30._TIK_államig'!C44+'31._Humán_államig'!C44+'32._Óvoda_államig'!C44+'33._TMKK_államig'!C44+'34._Rendelő_államig'!C44</f>
        <v>2285980</v>
      </c>
      <c r="D44" s="189">
        <f>'29._Hivatal_államig'!D44+'30._TIK_államig'!D44+'31._Humán_államig'!D44+'32._Óvoda_államig'!D44+'33._TMKK_államig'!D44+'34._Rendelő_államig'!D44</f>
        <v>4539346</v>
      </c>
      <c r="E44" s="586">
        <f>'29._Hivatal_államig'!E44+'30._TIK_államig'!E44+'31._Humán_államig'!E44+'32._Óvoda_államig'!E44+'33._TMKK_államig'!E44+'34._Rendelő_államig'!E44</f>
        <v>4539346</v>
      </c>
      <c r="F44" s="586">
        <f>'29._Hivatal_államig'!F44+'30._TIK_államig'!F44+'31._Humán_államig'!F44+'32._Óvoda_államig'!F44+'33._TMKK_államig'!F44+'34._Rendelő_államig'!F44</f>
        <v>4539346</v>
      </c>
      <c r="G44" s="586">
        <f>'29._Hivatal_államig'!G44+'30._TIK_államig'!G44+'31._Humán_államig'!G44+'32._Óvoda_államig'!G44+'33._TMKK_államig'!G44+'34._Rendelő_államig'!G44</f>
        <v>0</v>
      </c>
      <c r="H44" s="546">
        <f t="shared" si="1"/>
        <v>0</v>
      </c>
      <c r="I44" s="1314">
        <f>'29._Hivatal_államig'!I44+'30._TIK_államig'!I44+'31._Humán_államig'!I44+'32._Óvoda_államig'!I44+'33._TMKK_államig'!I44+'34._Rendelő_államig'!I44</f>
        <v>0</v>
      </c>
      <c r="J44" s="285">
        <f>'29._Hivatal_államig'!J44+'30._TIK_államig'!J44+'31._Humán_államig'!J44+'32._Óvoda_államig'!J44+'33._TMKK_államig'!J44+'34._Rendelő_államig'!J44</f>
        <v>4539346</v>
      </c>
      <c r="K44" s="285">
        <f>'29._Hivatal_államig'!K44+'30._TIK_államig'!K44+'31._Humán_államig'!K44+'32._Óvoda_államig'!K44+'33._TMKK_államig'!K44+'34._Rendelő_államig'!K44</f>
        <v>0</v>
      </c>
      <c r="L44" s="285">
        <f>'29._Hivatal_államig'!L44+'30._TIK_államig'!L44+'31._Humán_államig'!L44+'32._Óvoda_államig'!L44+'33._TMKK_államig'!L44+'34._Rendelő_államig'!L44</f>
        <v>100</v>
      </c>
    </row>
    <row r="45" spans="1:12" s="26" customFormat="1" ht="12.2" customHeight="1" x14ac:dyDescent="0.2">
      <c r="A45" s="71" t="s">
        <v>172</v>
      </c>
      <c r="B45" s="59" t="s">
        <v>186</v>
      </c>
      <c r="C45" s="120">
        <f>'29._Hivatal_államig'!C45+'30._TIK_államig'!C45+'31._Humán_államig'!C45+'32._Óvoda_államig'!C45+'33._TMKK_államig'!C45+'34._Rendelő_államig'!C45</f>
        <v>0</v>
      </c>
      <c r="D45" s="193">
        <f>'29._Hivatal_államig'!D45+'30._TIK_államig'!D45+'31._Humán_államig'!D45+'32._Óvoda_államig'!D45+'33._TMKK_államig'!D45+'34._Rendelő_államig'!D45</f>
        <v>0</v>
      </c>
      <c r="E45" s="91">
        <f>'29._Hivatal_államig'!E45+'30._TIK_államig'!E45+'31._Humán_államig'!E45+'32._Óvoda_államig'!E45+'33._TMKK_államig'!E45+'34._Rendelő_államig'!E45</f>
        <v>0</v>
      </c>
      <c r="F45" s="91">
        <f>'29._Hivatal_államig'!F45+'30._TIK_államig'!F45+'31._Humán_államig'!F45+'32._Óvoda_államig'!F45+'33._TMKK_államig'!F45+'34._Rendelő_államig'!F45</f>
        <v>0</v>
      </c>
      <c r="G45" s="91">
        <f>'29._Hivatal_államig'!G45+'30._TIK_államig'!G45+'31._Humán_államig'!G45+'32._Óvoda_államig'!G45+'33._TMKK_államig'!G45+'34._Rendelő_államig'!G45</f>
        <v>0</v>
      </c>
      <c r="H45" s="553">
        <f t="shared" si="1"/>
        <v>0</v>
      </c>
      <c r="I45" s="1320">
        <f>'29._Hivatal_államig'!I45+'30._TIK_államig'!I45+'31._Humán_államig'!I45+'32._Óvoda_államig'!I45+'33._TMKK_államig'!I45+'34._Rendelő_államig'!I45</f>
        <v>0</v>
      </c>
      <c r="J45" s="294">
        <f>'29._Hivatal_államig'!J45+'30._TIK_államig'!J45+'31._Humán_államig'!J45+'32._Óvoda_államig'!J45+'33._TMKK_államig'!J45+'34._Rendelő_államig'!J45</f>
        <v>0</v>
      </c>
      <c r="K45" s="294">
        <f>'29._Hivatal_államig'!K45+'30._TIK_államig'!K45+'31._Humán_államig'!K45+'32._Óvoda_államig'!K45+'33._TMKK_államig'!K45+'34._Rendelő_államig'!K45</f>
        <v>0</v>
      </c>
      <c r="L45" s="294" t="e">
        <f>'29._Hivatal_államig'!L45+'30._TIK_államig'!L45+'31._Humán_államig'!L45+'32._Óvoda_államig'!L45+'33._TMKK_államig'!L45+'34._Rendelő_államig'!L45</f>
        <v>#VALUE!</v>
      </c>
    </row>
    <row r="46" spans="1:12" s="26" customFormat="1" ht="12.2" customHeight="1" x14ac:dyDescent="0.2">
      <c r="A46" s="1037" t="s">
        <v>173</v>
      </c>
      <c r="B46" s="336" t="s">
        <v>177</v>
      </c>
      <c r="C46" s="339">
        <f>'29._Hivatal_államig'!C46+'30._TIK_államig'!C46+'31._Humán_államig'!C46+'32._Óvoda_államig'!C46+'33._TMKK_államig'!C46+'34._Rendelő_államig'!C46</f>
        <v>596783973</v>
      </c>
      <c r="D46" s="323">
        <f>'29._Hivatal_államig'!D46+'30._TIK_államig'!D46+'31._Humán_államig'!D46+'32._Óvoda_államig'!D46+'33._TMKK_államig'!D46+'34._Rendelő_államig'!D46</f>
        <v>607398973</v>
      </c>
      <c r="E46" s="107">
        <f>'29._Hivatal_államig'!E46+'30._TIK_államig'!E46+'31._Humán_államig'!E46+'32._Óvoda_államig'!E46+'33._TMKK_államig'!E46+'34._Rendelő_államig'!E46</f>
        <v>681466473</v>
      </c>
      <c r="F46" s="107">
        <f>'29._Hivatal_államig'!F46+'30._TIK_államig'!F46+'31._Humán_államig'!F46+'32._Óvoda_államig'!F46+'33._TMKK_államig'!F46+'34._Rendelő_államig'!F46</f>
        <v>681466473</v>
      </c>
      <c r="G46" s="107">
        <f>'29._Hivatal_államig'!G46+'30._TIK_államig'!G46+'31._Humán_államig'!G46+'32._Óvoda_államig'!G46+'33._TMKK_államig'!G46+'34._Rendelő_államig'!G46</f>
        <v>2285982</v>
      </c>
      <c r="H46" s="534">
        <f t="shared" si="1"/>
        <v>74067500</v>
      </c>
      <c r="I46" s="1315">
        <f>'29._Hivatal_államig'!I46+'30._TIK_államig'!I46+'31._Humán_államig'!I46+'32._Óvoda_államig'!I46+'33._TMKK_államig'!I46+'34._Rendelő_államig'!I46</f>
        <v>2285984</v>
      </c>
      <c r="J46" s="286">
        <f>'29._Hivatal_államig'!J46+'30._TIK_államig'!J46+'31._Humán_államig'!J46+'32._Óvoda_államig'!J46+'33._TMKK_államig'!J46+'34._Rendelő_államig'!J46</f>
        <v>466360515</v>
      </c>
      <c r="K46" s="286">
        <f>'29._Hivatal_államig'!K46+'30._TIK_államig'!K46+'31._Humán_államig'!K46+'32._Óvoda_államig'!K46+'33._TMKK_államig'!K46+'34._Rendelő_államig'!K46</f>
        <v>0</v>
      </c>
      <c r="L46" s="286">
        <f>'29._Hivatal_államig'!L46+'30._TIK_államig'!L46+'31._Humán_államig'!L46+'32._Óvoda_államig'!L46+'33._TMKK_államig'!L46+'34._Rendelő_államig'!L46</f>
        <v>68.4348436023499</v>
      </c>
    </row>
    <row r="47" spans="1:12" s="54" customFormat="1" ht="12.2" customHeight="1" thickBot="1" x14ac:dyDescent="0.25">
      <c r="A47" s="58" t="s">
        <v>178</v>
      </c>
      <c r="B47" s="62" t="s">
        <v>179</v>
      </c>
      <c r="C47" s="1034">
        <f>'29._Hivatal_államig'!C47+'30._TIK_államig'!C47+'31._Humán_államig'!C47+'32._Óvoda_államig'!C47+'33._TMKK_államig'!C47+'34._Rendelő_államig'!C47</f>
        <v>6051164</v>
      </c>
      <c r="D47" s="195">
        <f>'29._Hivatal_államig'!D47+'30._TIK_államig'!D47+'31._Humán_államig'!D47+'32._Óvoda_államig'!D47+'33._TMKK_államig'!D47+'34._Rendelő_államig'!D47</f>
        <v>9051164</v>
      </c>
      <c r="E47" s="587">
        <f>'29._Hivatal_államig'!E47+'30._TIK_államig'!E47+'31._Humán_államig'!E47+'32._Óvoda_államig'!E47+'33._TMKK_államig'!E47+'34._Rendelő_államig'!E47</f>
        <v>9051164</v>
      </c>
      <c r="F47" s="587">
        <f>'29._Hivatal_államig'!F47+'30._TIK_államig'!F47+'31._Humán_államig'!F47+'32._Óvoda_államig'!F47+'33._TMKK_államig'!F47+'34._Rendelő_államig'!F47</f>
        <v>9051164</v>
      </c>
      <c r="G47" s="587">
        <f>'29._Hivatal_államig'!G47+'30._TIK_államig'!G47+'31._Humán_államig'!G47+'32._Óvoda_államig'!G47+'33._TMKK_államig'!G47+'34._Rendelő_államig'!G47</f>
        <v>0</v>
      </c>
      <c r="H47" s="548">
        <f t="shared" si="1"/>
        <v>0</v>
      </c>
      <c r="I47" s="1317">
        <f>'29._Hivatal_államig'!I47+'30._TIK_államig'!I47+'31._Humán_államig'!I47+'32._Óvoda_államig'!I47+'33._TMKK_államig'!I47+'34._Rendelő_államig'!I47</f>
        <v>0</v>
      </c>
      <c r="J47" s="288">
        <f>'29._Hivatal_államig'!J47+'30._TIK_államig'!J47+'31._Humán_államig'!J47+'32._Óvoda_államig'!J47+'33._TMKK_államig'!J47+'34._Rendelő_államig'!J47</f>
        <v>4700907</v>
      </c>
      <c r="K47" s="288">
        <f>'29._Hivatal_államig'!K47+'30._TIK_államig'!K47+'31._Humán_államig'!K47+'32._Óvoda_államig'!K47+'33._TMKK_államig'!K47+'34._Rendelő_államig'!K47</f>
        <v>0</v>
      </c>
      <c r="L47" s="288">
        <f>'29._Hivatal_államig'!L47+'30._TIK_államig'!L47+'31._Humán_államig'!L47+'32._Óvoda_államig'!L47+'33._TMKK_államig'!L47+'34._Rendelő_államig'!L47</f>
        <v>51.937043677476183</v>
      </c>
    </row>
    <row r="48" spans="1:12" s="559" customFormat="1" ht="15" customHeight="1" thickBot="1" x14ac:dyDescent="0.2">
      <c r="A48" s="63" t="s">
        <v>21</v>
      </c>
      <c r="B48" s="556" t="s">
        <v>174</v>
      </c>
      <c r="C48" s="135">
        <f>+C42+C43</f>
        <v>607901317</v>
      </c>
      <c r="D48" s="134">
        <f t="shared" ref="D48:K48" si="11">+D42+D43</f>
        <v>623769683</v>
      </c>
      <c r="E48" s="592">
        <f t="shared" si="11"/>
        <v>700633611</v>
      </c>
      <c r="F48" s="592">
        <f t="shared" si="11"/>
        <v>700302183</v>
      </c>
      <c r="G48" s="592">
        <f t="shared" si="11"/>
        <v>2285982</v>
      </c>
      <c r="H48" s="557">
        <f>+E48-D48</f>
        <v>76863928</v>
      </c>
      <c r="I48" s="558">
        <f t="shared" si="11"/>
        <v>2285984</v>
      </c>
      <c r="J48" s="558">
        <f t="shared" si="11"/>
        <v>482264834</v>
      </c>
      <c r="K48" s="558">
        <f t="shared" si="11"/>
        <v>0</v>
      </c>
      <c r="L48" s="558" t="e">
        <f>'29._Hivatal_államig'!L48+'30._TIK_államig'!L48+'31._Humán_államig'!L48+'32._Óvoda_államig'!L48+'33._TMKK_államig'!L48+'34._Rendelő_államig'!L48</f>
        <v>#VALUE!</v>
      </c>
    </row>
    <row r="49" spans="1:12" s="54" customFormat="1" ht="15" customHeight="1" x14ac:dyDescent="0.2">
      <c r="A49" s="64"/>
      <c r="B49" s="65"/>
      <c r="C49" s="66"/>
      <c r="D49" s="66"/>
      <c r="E49" s="66"/>
      <c r="F49" s="66"/>
      <c r="G49" s="66"/>
      <c r="H49" s="66"/>
    </row>
    <row r="50" spans="1:12" ht="13.5" thickBot="1" x14ac:dyDescent="0.25">
      <c r="A50" s="1912" t="s">
        <v>362</v>
      </c>
      <c r="B50" s="1912"/>
      <c r="C50" s="1912"/>
      <c r="D50" s="1912"/>
      <c r="E50" s="1912"/>
      <c r="F50" s="1912"/>
      <c r="G50" s="1912"/>
      <c r="H50" s="1912"/>
    </row>
    <row r="51" spans="1:12" s="554" customFormat="1" ht="54" customHeight="1" thickBot="1" x14ac:dyDescent="0.25">
      <c r="A51" s="641"/>
      <c r="B51" s="642" t="s">
        <v>38</v>
      </c>
      <c r="C51" s="21" t="str">
        <f>C7</f>
        <v>2023. évi eredeti előirányzat
2/2023. (II.14.)</v>
      </c>
      <c r="D51" s="166" t="str">
        <f t="shared" ref="D51:L51" si="12">D7</f>
        <v>Módosított előirányzat a 14/2023.  (VI.29.)  rendelet szerint</v>
      </c>
      <c r="E51" s="21" t="str">
        <f t="shared" si="12"/>
        <v>Módosított előirányzat a 18/2023. (IX.26.)  rendelet szerint</v>
      </c>
      <c r="F51" s="21" t="str">
        <f t="shared" si="12"/>
        <v>Módosított előirányzat 2023.09.30-án</v>
      </c>
      <c r="G51" s="21" t="str">
        <f t="shared" si="12"/>
        <v>Módosított előirányzat a …../2023. (II…..)  rendelet szerint</v>
      </c>
      <c r="H51" s="32" t="str">
        <f t="shared" si="12"/>
        <v>Változás a 14/2023. (VI.29.) rendelethez képest</v>
      </c>
      <c r="I51" s="166" t="str">
        <f t="shared" si="12"/>
        <v>2023. évi teljesítés              2023.06.30-ig</v>
      </c>
      <c r="J51" s="21" t="str">
        <f t="shared" si="12"/>
        <v>2023. évi teljesítés              2023.09.30-ig</v>
      </c>
      <c r="K51" s="21" t="str">
        <f t="shared" si="12"/>
        <v>2023. évi teljesítés              2023.12.31-ig</v>
      </c>
      <c r="L51" s="21" t="str">
        <f t="shared" si="12"/>
        <v>Teljesítés %-a</v>
      </c>
    </row>
    <row r="52" spans="1:12" s="31" customFormat="1" ht="12.2" customHeight="1" thickBot="1" x14ac:dyDescent="0.25">
      <c r="A52" s="55" t="s">
        <v>12</v>
      </c>
      <c r="B52" s="56" t="s">
        <v>547</v>
      </c>
      <c r="C52" s="89">
        <f>+C53+C55+C56+C57+C58</f>
        <v>601850153</v>
      </c>
      <c r="D52" s="127">
        <f t="shared" ref="D52:K52" si="13">+D53+D55+D56+D57+D58</f>
        <v>614718519</v>
      </c>
      <c r="E52" s="582">
        <f t="shared" si="13"/>
        <v>691582447</v>
      </c>
      <c r="F52" s="582">
        <f t="shared" si="13"/>
        <v>691582447</v>
      </c>
      <c r="G52" s="582">
        <f t="shared" si="13"/>
        <v>2285982</v>
      </c>
      <c r="H52" s="48">
        <f t="shared" ref="H52:H69" si="14">+E52-D52</f>
        <v>76863928</v>
      </c>
      <c r="I52" s="175" t="e">
        <f>+I53+I55+I56+I57+I58</f>
        <v>#REF!</v>
      </c>
      <c r="J52" s="48">
        <f t="shared" si="13"/>
        <v>474431240</v>
      </c>
      <c r="K52" s="48" t="e">
        <f t="shared" si="13"/>
        <v>#REF!</v>
      </c>
      <c r="L52" s="48">
        <f>'29._Hivatal_államig'!L53+'30._TIK_államig'!L53+'31._Humán_államig'!L53+'32._Óvoda_államig'!L53+'33._TMKK_államig'!L53+'34._Rendelő_államig'!L53</f>
        <v>302.13507878933029</v>
      </c>
    </row>
    <row r="53" spans="1:12" ht="12.2" customHeight="1" x14ac:dyDescent="0.2">
      <c r="A53" s="1037" t="s">
        <v>91</v>
      </c>
      <c r="B53" s="17" t="s">
        <v>68</v>
      </c>
      <c r="C53" s="122">
        <f>'29._Hivatal_államig'!C54+'30._TIK_államig'!C54+'31._Humán_államig'!C54+'32._Óvoda_államig'!C54+'33._TMKK_államig'!C54+'34._Rendelő_államig'!C54</f>
        <v>391438179</v>
      </c>
      <c r="D53" s="189">
        <f>'29._Hivatal_államig'!D54+'30._TIK_államig'!D54+'31._Humán_államig'!D54+'32._Óvoda_államig'!D54+'33._TMKK_államig'!D54+'34._Rendelő_államig'!D54</f>
        <v>395165979</v>
      </c>
      <c r="E53" s="586">
        <f>'29._Hivatal_államig'!E54+'30._TIK_államig'!E54+'31._Humán_államig'!E54+'32._Óvoda_államig'!E54+'33._TMKK_államig'!E54+'34._Rendelő_államig'!E54</f>
        <v>460247407</v>
      </c>
      <c r="F53" s="586">
        <f>'29._Hivatal_államig'!F54+'30._TIK_államig'!F54+'31._Humán_államig'!F54+'32._Óvoda_államig'!F54+'33._TMKK_államig'!F54+'34._Rendelő_államig'!F54</f>
        <v>460247407</v>
      </c>
      <c r="G53" s="586">
        <f>'29._Hivatal_államig'!G54+'30._TIK_államig'!G54+'31._Humán_államig'!G54+'32._Óvoda_államig'!G54+'33._TMKK_államig'!G54+'34._Rendelő_államig'!G54</f>
        <v>0</v>
      </c>
      <c r="H53" s="33">
        <f t="shared" si="14"/>
        <v>65081428</v>
      </c>
      <c r="I53" s="177">
        <f>'29._Hivatal_államig'!I54+'30._TIK_államig'!I54+'31._Humán_államig'!I54+'32._Óvoda_államig'!I54+'33._TMKK_államig'!I54+'34._Rendelő_államig'!I54</f>
        <v>0</v>
      </c>
      <c r="J53" s="33">
        <f>'29._Hivatal_államig'!J54+'30._TIK_államig'!J54+'31._Humán_államig'!J54+'32._Óvoda_államig'!J54+'33._TMKK_államig'!J54+'34._Rendelő_államig'!J54</f>
        <v>324136905</v>
      </c>
      <c r="K53" s="33">
        <f>'29._Hivatal_államig'!K54+'30._TIK_államig'!K54+'31._Humán_államig'!K54+'32._Óvoda_államig'!K54+'33._TMKK_államig'!K54+'34._Rendelő_államig'!K54</f>
        <v>0</v>
      </c>
      <c r="L53" s="33">
        <f>'29._Hivatal_államig'!L54+'30._TIK_államig'!L54+'31._Humán_államig'!L54+'32._Óvoda_államig'!L54+'33._TMKK_államig'!L54+'34._Rendelő_államig'!L54</f>
        <v>70.426666195210089</v>
      </c>
    </row>
    <row r="54" spans="1:12" ht="12.2" customHeight="1" x14ac:dyDescent="0.2">
      <c r="A54" s="1037" t="s">
        <v>305</v>
      </c>
      <c r="B54" s="335" t="s">
        <v>270</v>
      </c>
      <c r="C54" s="122">
        <f>'29._Hivatal_államig'!C55+'30._TIK_államig'!C55+'31._Humán_államig'!C55+'32._Óvoda_államig'!C55+'33._TMKK_államig'!C55+'34._Rendelő_államig'!C55</f>
        <v>3000000</v>
      </c>
      <c r="D54" s="189">
        <f>'29._Hivatal_államig'!D55+'30._TIK_államig'!D55+'31._Humán_államig'!D55+'32._Óvoda_államig'!D55+'33._TMKK_államig'!D55+'34._Rendelő_államig'!D55</f>
        <v>3227800</v>
      </c>
      <c r="E54" s="586">
        <f>'29._Hivatal_államig'!E55+'30._TIK_államig'!E55+'31._Humán_államig'!E55+'32._Óvoda_államig'!E55+'33._TMKK_államig'!E55+'34._Rendelő_államig'!E55</f>
        <v>19977800</v>
      </c>
      <c r="F54" s="586">
        <f>'29._Hivatal_államig'!F55+'30._TIK_államig'!F55+'31._Humán_államig'!F55+'32._Óvoda_államig'!F55+'33._TMKK_államig'!F55+'34._Rendelő_államig'!F55</f>
        <v>19977800</v>
      </c>
      <c r="G54" s="586">
        <f>'29._Hivatal_államig'!G55+'30._TIK_államig'!G55+'31._Humán_államig'!G55+'32._Óvoda_államig'!G55+'33._TMKK_államig'!G55+'34._Rendelő_államig'!G55</f>
        <v>0</v>
      </c>
      <c r="H54" s="33">
        <f t="shared" si="14"/>
        <v>16750000</v>
      </c>
      <c r="I54" s="177">
        <f>'29._Hivatal_államig'!I55+'30._TIK_államig'!I55+'31._Humán_államig'!I55+'32._Óvoda_államig'!I55+'33._TMKK_államig'!I55+'34._Rendelő_államig'!I55</f>
        <v>0</v>
      </c>
      <c r="J54" s="33">
        <f>'29._Hivatal_államig'!J55+'30._TIK_államig'!J55+'31._Humán_államig'!J55+'32._Óvoda_államig'!J55+'33._TMKK_államig'!J55+'34._Rendelő_államig'!J55</f>
        <v>1147800</v>
      </c>
      <c r="K54" s="33">
        <f>'29._Hivatal_államig'!K55+'30._TIK_államig'!K55+'31._Humán_államig'!K55+'32._Óvoda_államig'!K55+'33._TMKK_államig'!K55+'34._Rendelő_államig'!K55</f>
        <v>0</v>
      </c>
      <c r="L54" s="33">
        <f>'29._Hivatal_államig'!L55+'30._TIK_államig'!L55+'31._Humán_államig'!L55+'32._Óvoda_államig'!L55+'33._TMKK_államig'!L55+'34._Rendelő_államig'!L55</f>
        <v>5.7453773688794563</v>
      </c>
    </row>
    <row r="55" spans="1:12" ht="12.2" customHeight="1" x14ac:dyDescent="0.2">
      <c r="A55" s="1037" t="s">
        <v>92</v>
      </c>
      <c r="B55" s="330" t="s">
        <v>87</v>
      </c>
      <c r="C55" s="339">
        <f>'29._Hivatal_államig'!C56+'30._TIK_államig'!C56+'31._Humán_államig'!C56+'32._Óvoda_államig'!C56+'33._TMKK_államig'!C56+'34._Rendelő_államig'!C56</f>
        <v>61678365</v>
      </c>
      <c r="D55" s="323">
        <f>'29._Hivatal_államig'!D56+'30._TIK_államig'!D56+'31._Humán_államig'!D56+'32._Óvoda_államig'!D56+'33._TMKK_államig'!D56+'34._Rendelő_államig'!D56</f>
        <v>62658365</v>
      </c>
      <c r="E55" s="107">
        <f>'29._Hivatal_államig'!E56+'30._TIK_államig'!E56+'31._Humán_államig'!E56+'32._Óvoda_államig'!E56+'33._TMKK_államig'!E56+'34._Rendelő_államig'!E56</f>
        <v>71975865</v>
      </c>
      <c r="F55" s="107">
        <f>'29._Hivatal_államig'!F56+'30._TIK_államig'!F56+'31._Humán_államig'!F56+'32._Óvoda_államig'!F56+'33._TMKK_államig'!F56+'34._Rendelő_államig'!F56</f>
        <v>71975865</v>
      </c>
      <c r="G55" s="107">
        <f>'29._Hivatal_államig'!G56+'30._TIK_államig'!G56+'31._Humán_államig'!G56+'32._Óvoda_államig'!G56+'33._TMKK_államig'!G56+'34._Rendelő_államig'!G56</f>
        <v>0</v>
      </c>
      <c r="H55" s="324">
        <f t="shared" si="14"/>
        <v>9317500</v>
      </c>
      <c r="I55" s="503">
        <f>'29._Hivatal_államig'!I56+'30._TIK_államig'!I56+'31._Humán_államig'!I56+'32._Óvoda_államig'!I56+'33._TMKK_államig'!I56+'34._Rendelő_államig'!I56</f>
        <v>0</v>
      </c>
      <c r="J55" s="34">
        <f>'29._Hivatal_államig'!J56+'30._TIK_államig'!J56+'31._Humán_államig'!J56+'32._Óvoda_államig'!J56+'33._TMKK_államig'!J56+'34._Rendelő_államig'!J56</f>
        <v>49792839</v>
      </c>
      <c r="K55" s="34">
        <f>'29._Hivatal_államig'!K56+'30._TIK_államig'!K56+'31._Humán_államig'!K56+'32._Óvoda_államig'!K56+'33._TMKK_államig'!K56+'34._Rendelő_államig'!K56</f>
        <v>0</v>
      </c>
      <c r="L55" s="34">
        <f>'29._Hivatal_államig'!L56+'30._TIK_államig'!L56+'31._Humán_államig'!L56+'32._Óvoda_államig'!L56+'33._TMKK_államig'!L56+'34._Rendelő_államig'!L56</f>
        <v>69.179910515837491</v>
      </c>
    </row>
    <row r="56" spans="1:12" ht="12.2" customHeight="1" x14ac:dyDescent="0.2">
      <c r="A56" s="1037" t="s">
        <v>93</v>
      </c>
      <c r="B56" s="330" t="s">
        <v>69</v>
      </c>
      <c r="C56" s="339">
        <f>'29._Hivatal_államig'!C57+'30._TIK_államig'!C57+'31._Humán_államig'!C57+'32._Óvoda_államig'!C57+'33._TMKK_államig'!C57+'34._Rendelő_államig'!C57</f>
        <v>146447629</v>
      </c>
      <c r="D56" s="323">
        <f>'29._Hivatal_államig'!D57+'30._TIK_államig'!D57+'31._Humán_államig'!D57+'32._Óvoda_államig'!D57+'33._TMKK_államig'!D57+'34._Rendelő_államig'!D57</f>
        <v>154608195</v>
      </c>
      <c r="E56" s="107">
        <f>'29._Hivatal_államig'!E57+'30._TIK_államig'!E57+'31._Humán_államig'!E57+'32._Óvoda_államig'!E57+'33._TMKK_államig'!E57+'34._Rendelő_államig'!E57</f>
        <v>157073195</v>
      </c>
      <c r="F56" s="107">
        <f>'29._Hivatal_államig'!F57+'30._TIK_államig'!F57+'31._Humán_államig'!F57+'32._Óvoda_államig'!F57+'33._TMKK_államig'!F57+'34._Rendelő_államig'!F57</f>
        <v>157073195</v>
      </c>
      <c r="G56" s="107">
        <f>'29._Hivatal_államig'!G57+'30._TIK_államig'!G57+'31._Humán_államig'!G57+'32._Óvoda_államig'!G57+'33._TMKK_államig'!G57+'34._Rendelő_államig'!G57</f>
        <v>0</v>
      </c>
      <c r="H56" s="324">
        <f t="shared" si="14"/>
        <v>2465000</v>
      </c>
      <c r="I56" s="503">
        <f>'29._Hivatal_államig'!I57+'30._TIK_államig'!I57+'31._Humán_államig'!I57+'32._Óvoda_államig'!I57+'33._TMKK_államig'!I57+'34._Rendelő_államig'!I57</f>
        <v>0</v>
      </c>
      <c r="J56" s="34">
        <f>'29._Hivatal_államig'!J57+'30._TIK_államig'!J57+'31._Humán_államig'!J57+'32._Óvoda_államig'!J57+'33._TMKK_államig'!J57+'34._Rendelő_államig'!J57</f>
        <v>98215516</v>
      </c>
      <c r="K56" s="34">
        <f>'29._Hivatal_államig'!K57+'30._TIK_államig'!K57+'31._Humán_államig'!K57+'32._Óvoda_államig'!K57+'33._TMKK_államig'!K57+'34._Rendelő_államig'!K57</f>
        <v>0</v>
      </c>
      <c r="L56" s="34">
        <f>'29._Hivatal_államig'!L57+'30._TIK_államig'!L57+'31._Humán_államig'!L57+'32._Óvoda_államig'!L57+'33._TMKK_államig'!L57+'34._Rendelő_államig'!L57</f>
        <v>62.528502078282678</v>
      </c>
    </row>
    <row r="57" spans="1:12" ht="12.2" customHeight="1" x14ac:dyDescent="0.2">
      <c r="A57" s="1037" t="s">
        <v>90</v>
      </c>
      <c r="B57" s="330" t="s">
        <v>80</v>
      </c>
      <c r="C57" s="339">
        <f>'29._Hivatal_államig'!C58+'30._TIK_államig'!C58+'31._Humán_államig'!C58+'32._Óvoda_államig'!C58+'33._TMKK_államig'!C58+'34._Rendelő_államig'!C58</f>
        <v>0</v>
      </c>
      <c r="D57" s="323">
        <f>'29._Hivatal_államig'!D58+'30._TIK_államig'!D58+'31._Humán_államig'!D58+'32._Óvoda_államig'!D58+'33._TMKK_államig'!D58+'34._Rendelő_államig'!D58</f>
        <v>0</v>
      </c>
      <c r="E57" s="107">
        <f>'29._Hivatal_államig'!E58+'30._TIK_államig'!E58+'31._Humán_államig'!E58+'32._Óvoda_államig'!E58+'33._TMKK_államig'!E58+'34._Rendelő_államig'!E58</f>
        <v>0</v>
      </c>
      <c r="F57" s="107">
        <f>'29._Hivatal_államig'!F58+'30._TIK_államig'!F58+'31._Humán_államig'!F58+'32._Óvoda_államig'!F58+'33._TMKK_államig'!F58+'34._Rendelő_államig'!F58</f>
        <v>0</v>
      </c>
      <c r="G57" s="107">
        <f>'29._Hivatal_államig'!G58+'30._TIK_államig'!G58+'31._Humán_államig'!G58+'32._Óvoda_államig'!G58+'33._TMKK_államig'!G58+'34._Rendelő_államig'!G58</f>
        <v>0</v>
      </c>
      <c r="H57" s="324">
        <f t="shared" si="14"/>
        <v>0</v>
      </c>
      <c r="I57" s="503">
        <f>'29._Hivatal_államig'!I58+'30._TIK_államig'!I58+'31._Humán_államig'!I58+'32._Óvoda_államig'!I58+'33._TMKK_államig'!I58+'34._Rendelő_államig'!I58</f>
        <v>0</v>
      </c>
      <c r="J57" s="34">
        <f>'29._Hivatal_államig'!J58+'30._TIK_államig'!J58+'31._Humán_államig'!J58+'32._Óvoda_államig'!J58+'33._TMKK_államig'!J58+'34._Rendelő_államig'!J58</f>
        <v>0</v>
      </c>
      <c r="K57" s="34">
        <f>'29._Hivatal_államig'!K58+'30._TIK_államig'!K58+'31._Humán_államig'!K58+'32._Óvoda_államig'!K58+'33._TMKK_államig'!K58+'34._Rendelő_államig'!K58</f>
        <v>0</v>
      </c>
      <c r="L57" s="34" t="e">
        <f>'29._Hivatal_államig'!L58+'30._TIK_államig'!L58+'31._Humán_államig'!L58+'32._Óvoda_államig'!L58+'33._TMKK_államig'!L58+'34._Rendelő_államig'!L58</f>
        <v>#VALUE!</v>
      </c>
    </row>
    <row r="58" spans="1:12" ht="12.2" customHeight="1" x14ac:dyDescent="0.2">
      <c r="A58" s="1037" t="s">
        <v>147</v>
      </c>
      <c r="B58" s="330" t="s">
        <v>88</v>
      </c>
      <c r="C58" s="339">
        <f>+C59+C60</f>
        <v>2285980</v>
      </c>
      <c r="D58" s="323">
        <f t="shared" ref="D58:K58" si="15">+D59+D60</f>
        <v>2285980</v>
      </c>
      <c r="E58" s="107">
        <f t="shared" si="15"/>
        <v>2285980</v>
      </c>
      <c r="F58" s="107">
        <f t="shared" si="15"/>
        <v>2285980</v>
      </c>
      <c r="G58" s="107">
        <f t="shared" si="15"/>
        <v>2285982</v>
      </c>
      <c r="H58" s="324">
        <f t="shared" si="14"/>
        <v>0</v>
      </c>
      <c r="I58" s="503" t="e">
        <f t="shared" si="15"/>
        <v>#REF!</v>
      </c>
      <c r="J58" s="34">
        <f t="shared" si="15"/>
        <v>2285980</v>
      </c>
      <c r="K58" s="34" t="e">
        <f t="shared" si="15"/>
        <v>#REF!</v>
      </c>
      <c r="L58" s="34">
        <f>'29._Hivatal_államig'!L59+'30._TIK_államig'!L59+'31._Humán_államig'!L59+'32._Óvoda_államig'!L59+'33._TMKK_államig'!L59+'34._Rendelő_államig'!L59</f>
        <v>100</v>
      </c>
    </row>
    <row r="59" spans="1:12" ht="12.2" customHeight="1" x14ac:dyDescent="0.2">
      <c r="A59" s="1037" t="s">
        <v>306</v>
      </c>
      <c r="B59" s="521" t="s">
        <v>235</v>
      </c>
      <c r="C59" s="339">
        <f>'29._Hivatal_államig'!C60+'30._TIK_államig'!C60+'31._Humán_államig'!C60+'32._Óvoda_államig'!C60+'33._TMKK_államig'!C60+'34._Rendelő_államig'!C60</f>
        <v>2285980</v>
      </c>
      <c r="D59" s="323">
        <f>'29._Hivatal_államig'!D60+'30._TIK_államig'!D60+'31._Humán_államig'!D60+'32._Óvoda_államig'!D60+'33._TMKK_államig'!D60+'34._Rendelő_államig'!D60</f>
        <v>2285980</v>
      </c>
      <c r="E59" s="107">
        <f>'29._Hivatal_államig'!E60+'30._TIK_államig'!E60+'31._Humán_államig'!E60+'32._Óvoda_államig'!E60+'33._TMKK_államig'!E60+'34._Rendelő_államig'!E60</f>
        <v>2285980</v>
      </c>
      <c r="F59" s="107">
        <f>'29._Hivatal_államig'!F60+'30._TIK_államig'!F60+'31._Humán_államig'!F60+'32._Óvoda_államig'!F60+'33._TMKK_államig'!F60+'34._Rendelő_államig'!F60</f>
        <v>2285980</v>
      </c>
      <c r="G59" s="107">
        <f>'29._Hivatal_államig'!G60+'30._TIK_államig'!G60+'31._Humán_államig'!G60+'32._Óvoda_államig'!G60+'33._TMKK_államig'!G60+'34._Rendelő_államig'!G60</f>
        <v>2285982</v>
      </c>
      <c r="H59" s="324">
        <f t="shared" si="14"/>
        <v>0</v>
      </c>
      <c r="I59" s="503">
        <f>'29._Hivatal_államig'!I60+'30._TIK_államig'!I60+'31._Humán_államig'!I60+'32._Óvoda_államig'!I60+'33._TMKK_államig'!I60+'34._Rendelő_államig'!I60</f>
        <v>2285984</v>
      </c>
      <c r="J59" s="34">
        <f>'29._Hivatal_államig'!J60+'30._TIK_államig'!J60+'31._Humán_államig'!J60+'32._Óvoda_államig'!J60+'33._TMKK_államig'!J60+'34._Rendelő_államig'!J60</f>
        <v>2285980</v>
      </c>
      <c r="K59" s="34">
        <f>'29._Hivatal_államig'!K60+'30._TIK_államig'!K60+'31._Humán_államig'!K60+'32._Óvoda_államig'!K60+'33._TMKK_államig'!K60+'34._Rendelő_államig'!K60</f>
        <v>0</v>
      </c>
      <c r="L59" s="34">
        <f>'29._Hivatal_államig'!L60+'30._TIK_államig'!L60+'31._Humán_államig'!L60+'32._Óvoda_államig'!L60+'33._TMKK_államig'!L60+'34._Rendelő_államig'!L60</f>
        <v>100</v>
      </c>
    </row>
    <row r="60" spans="1:12" ht="12.2" customHeight="1" thickBot="1" x14ac:dyDescent="0.25">
      <c r="A60" s="84" t="s">
        <v>307</v>
      </c>
      <c r="B60" s="85" t="s">
        <v>234</v>
      </c>
      <c r="C60" s="92">
        <f>'29._Hivatal_államig'!C61+'30._TIK_államig'!C61+'31._Humán_államig'!C61+'32._Óvoda_államig'!C61+'33._TMKK_államig'!C61+'34._Rendelő_államig'!C61</f>
        <v>0</v>
      </c>
      <c r="D60" s="190">
        <f>'29._Hivatal_államig'!D61+'30._TIK_államig'!D61+'31._Humán_államig'!D61+'32._Óvoda_államig'!D61+'33._TMKK_államig'!D61+'34._Rendelő_államig'!D61</f>
        <v>0</v>
      </c>
      <c r="E60" s="593">
        <f>'29._Hivatal_államig'!E61+'30._TIK_államig'!E61+'31._Humán_államig'!E61+'32._Óvoda_államig'!E61+'33._TMKK_államig'!E61+'34._Rendelő_államig'!E61</f>
        <v>0</v>
      </c>
      <c r="F60" s="593">
        <f>'29._Hivatal_államig'!F61+'30._TIK_államig'!F61+'31._Humán_államig'!F61+'32._Óvoda_államig'!F61+'33._TMKK_államig'!F61+'34._Rendelő_államig'!F61</f>
        <v>0</v>
      </c>
      <c r="G60" s="593">
        <f>'29._Hivatal_államig'!G61+'30._TIK_államig'!G61+'31._Humán_államig'!G61+'32._Óvoda_államig'!G61+'33._TMKK_államig'!G61+'34._Rendelő_államig'!G61</f>
        <v>0</v>
      </c>
      <c r="H60" s="61">
        <f t="shared" si="14"/>
        <v>0</v>
      </c>
      <c r="I60" s="178" t="e">
        <f>'29._Hivatal_államig'!I61+'30._TIK_államig'!I61+'31._Humán_államig'!I61+'32._Óvoda_államig'!I61+'33._TMKK_államig'!I61+'34._Rendelő_államig'!I61</f>
        <v>#REF!</v>
      </c>
      <c r="J60" s="61">
        <f>'29._Hivatal_államig'!J61+'30._TIK_államig'!J61+'31._Humán_államig'!J61+'32._Óvoda_államig'!J61+'33._TMKK_államig'!J61+'34._Rendelő_államig'!J61</f>
        <v>0</v>
      </c>
      <c r="K60" s="61" t="e">
        <f>'29._Hivatal_államig'!K61+'30._TIK_államig'!K61+'31._Humán_államig'!K61+'32._Óvoda_államig'!K61+'33._TMKK_államig'!K61+'34._Rendelő_államig'!K61</f>
        <v>#REF!</v>
      </c>
      <c r="L60" s="61" t="e">
        <f>'29._Hivatal_államig'!L61+'30._TIK_államig'!L61+'31._Humán_államig'!L61+'32._Óvoda_államig'!L61+'33._TMKK_államig'!L61+'34._Rendelő_államig'!L61</f>
        <v>#VALUE!</v>
      </c>
    </row>
    <row r="61" spans="1:12" ht="12.2" customHeight="1" thickBot="1" x14ac:dyDescent="0.25">
      <c r="A61" s="55" t="s">
        <v>13</v>
      </c>
      <c r="B61" s="56" t="s">
        <v>548</v>
      </c>
      <c r="C61" s="89">
        <f>+C62+C64+C66</f>
        <v>6051164</v>
      </c>
      <c r="D61" s="127">
        <f t="shared" ref="D61:K61" si="16">+D62+D64+D66</f>
        <v>9051164</v>
      </c>
      <c r="E61" s="582">
        <f t="shared" si="16"/>
        <v>9051164</v>
      </c>
      <c r="F61" s="582">
        <f t="shared" si="16"/>
        <v>0</v>
      </c>
      <c r="G61" s="582">
        <f t="shared" si="16"/>
        <v>0</v>
      </c>
      <c r="H61" s="48">
        <f t="shared" si="14"/>
        <v>0</v>
      </c>
      <c r="I61" s="175">
        <f>+I62+I64+I66</f>
        <v>0</v>
      </c>
      <c r="J61" s="48">
        <f t="shared" si="16"/>
        <v>0</v>
      </c>
      <c r="K61" s="48">
        <f t="shared" si="16"/>
        <v>0</v>
      </c>
      <c r="L61" s="48">
        <f>'29._Hivatal_államig'!L62+'30._TIK_államig'!L62+'31._Humán_államig'!L62+'32._Óvoda_államig'!L62+'33._TMKK_államig'!L62+'34._Rendelő_államig'!L62</f>
        <v>52.754618080061299</v>
      </c>
    </row>
    <row r="62" spans="1:12" s="31" customFormat="1" ht="12.2" customHeight="1" x14ac:dyDescent="0.2">
      <c r="A62" s="1037" t="s">
        <v>94</v>
      </c>
      <c r="B62" s="17" t="s">
        <v>119</v>
      </c>
      <c r="C62" s="122">
        <f>'29._Hivatal_államig'!C63+'30._TIK_államig'!C63+'31._Humán_államig'!C63+'32._Óvoda_államig'!C63+'33._TMKK_államig'!C63+'34._Rendelő_államig'!C63</f>
        <v>6051164</v>
      </c>
      <c r="D62" s="189">
        <f>'29._Hivatal_államig'!D63+'30._TIK_államig'!D63+'31._Humán_államig'!D63+'32._Óvoda_államig'!D63+'33._TMKK_államig'!D63+'34._Rendelő_államig'!D63</f>
        <v>9051164</v>
      </c>
      <c r="E62" s="189">
        <f>'29._Hivatal_államig'!E63+'30._TIK_államig'!E63+'31._Humán_államig'!E63+'32._Óvoda_államig'!E63+'33._TMKK_államig'!E63+'34._Rendelő_államig'!E63</f>
        <v>9051164</v>
      </c>
      <c r="F62" s="586">
        <f t="shared" ref="F62:K62" si="17">F63</f>
        <v>0</v>
      </c>
      <c r="G62" s="586">
        <f t="shared" si="17"/>
        <v>0</v>
      </c>
      <c r="H62" s="33">
        <f t="shared" si="14"/>
        <v>0</v>
      </c>
      <c r="I62" s="177">
        <f t="shared" si="17"/>
        <v>0</v>
      </c>
      <c r="J62" s="33">
        <f t="shared" si="17"/>
        <v>0</v>
      </c>
      <c r="K62" s="33">
        <f t="shared" si="17"/>
        <v>0</v>
      </c>
      <c r="L62" s="33">
        <f>'29._Hivatal_államig'!L63+'30._TIK_államig'!L63+'31._Humán_államig'!L63+'32._Óvoda_államig'!L63+'33._TMKK_államig'!L63+'34._Rendelő_államig'!L63</f>
        <v>52.754618080061299</v>
      </c>
    </row>
    <row r="63" spans="1:12" s="31" customFormat="1" ht="12.2" customHeight="1" x14ac:dyDescent="0.2">
      <c r="A63" s="1037" t="s">
        <v>316</v>
      </c>
      <c r="B63" s="522" t="s">
        <v>236</v>
      </c>
      <c r="C63" s="122">
        <f>'29._Hivatal_államig'!C64+'30._TIK_államig'!C64+'31._Humán_államig'!C64+'32._Óvoda_államig'!C64+'33._TMKK_államig'!C64+'34._Rendelő_államig'!C64</f>
        <v>0</v>
      </c>
      <c r="D63" s="189">
        <f>'29._Hivatal_államig'!D64+'30._TIK_államig'!D64+'31._Humán_államig'!D64+'32._Óvoda_államig'!D64+'33._TMKK_államig'!D64+'34._Rendelő_államig'!D64</f>
        <v>0</v>
      </c>
      <c r="E63" s="586">
        <f>'29._Hivatal_államig'!E64+'30._TIK_államig'!E64+'31._Humán_államig'!E64+'32._Óvoda_államig'!E64+'33._TMKK_államig'!E64+'34._Rendelő_államig'!E64</f>
        <v>0</v>
      </c>
      <c r="F63" s="586">
        <f>'29._Hivatal_államig'!F64+'30._TIK_államig'!F64+'31._Humán_államig'!F64+'32._Óvoda_államig'!F64+'33._TMKK_államig'!F64+'34._Rendelő_államig'!F64</f>
        <v>0</v>
      </c>
      <c r="G63" s="586">
        <f>'29._Hivatal_államig'!G64+'30._TIK_államig'!G64+'31._Humán_államig'!G64+'32._Óvoda_államig'!G64+'33._TMKK_államig'!G64+'34._Rendelő_államig'!G64</f>
        <v>0</v>
      </c>
      <c r="H63" s="33">
        <f t="shared" si="14"/>
        <v>0</v>
      </c>
      <c r="I63" s="177">
        <f>'29._Hivatal_államig'!I64+'30._TIK_államig'!I64+'31._Humán_államig'!I64+'32._Óvoda_államig'!I64+'33._TMKK_államig'!I64+'34._Rendelő_államig'!I64</f>
        <v>0</v>
      </c>
      <c r="J63" s="33">
        <f>'29._Hivatal_államig'!J64+'30._TIK_államig'!J64+'31._Humán_államig'!J64+'32._Óvoda_államig'!J64+'33._TMKK_államig'!J64+'34._Rendelő_államig'!J64</f>
        <v>0</v>
      </c>
      <c r="K63" s="33">
        <f>'29._Hivatal_államig'!K64+'30._TIK_államig'!K64+'31._Humán_államig'!K64+'32._Óvoda_államig'!K64+'33._TMKK_államig'!K64+'34._Rendelő_államig'!K64</f>
        <v>0</v>
      </c>
      <c r="L63" s="33" t="e">
        <f>'29._Hivatal_államig'!L64+'30._TIK_államig'!L64+'31._Humán_államig'!L64+'32._Óvoda_államig'!L64+'33._TMKK_államig'!L64+'34._Rendelő_államig'!L64</f>
        <v>#VALUE!</v>
      </c>
    </row>
    <row r="64" spans="1:12" ht="12.2" customHeight="1" x14ac:dyDescent="0.2">
      <c r="A64" s="1037" t="s">
        <v>95</v>
      </c>
      <c r="B64" s="330" t="s">
        <v>2</v>
      </c>
      <c r="C64" s="339">
        <f>C65</f>
        <v>0</v>
      </c>
      <c r="D64" s="323">
        <f t="shared" ref="D64:K64" si="18">D65</f>
        <v>0</v>
      </c>
      <c r="E64" s="107">
        <f t="shared" si="18"/>
        <v>0</v>
      </c>
      <c r="F64" s="107">
        <f t="shared" si="18"/>
        <v>0</v>
      </c>
      <c r="G64" s="107">
        <f t="shared" si="18"/>
        <v>0</v>
      </c>
      <c r="H64" s="324">
        <f t="shared" si="14"/>
        <v>0</v>
      </c>
      <c r="I64" s="503">
        <f t="shared" si="18"/>
        <v>0</v>
      </c>
      <c r="J64" s="34">
        <f t="shared" si="18"/>
        <v>0</v>
      </c>
      <c r="K64" s="34">
        <f t="shared" si="18"/>
        <v>0</v>
      </c>
      <c r="L64" s="34" t="e">
        <f>'29._Hivatal_államig'!L65+'30._TIK_államig'!L65+'31._Humán_államig'!L65+'32._Óvoda_államig'!L65+'33._TMKK_államig'!L65+'34._Rendelő_államig'!L65</f>
        <v>#VALUE!</v>
      </c>
    </row>
    <row r="65" spans="1:12" ht="12.2" customHeight="1" x14ac:dyDescent="0.2">
      <c r="A65" s="1037" t="s">
        <v>342</v>
      </c>
      <c r="B65" s="523" t="s">
        <v>237</v>
      </c>
      <c r="C65" s="339">
        <f>'29._Hivatal_államig'!C66+'30._TIK_államig'!C66+'31._Humán_államig'!C66+'32._Óvoda_államig'!C66+'33._TMKK_államig'!C66+'34._Rendelő_államig'!C66</f>
        <v>0</v>
      </c>
      <c r="D65" s="323">
        <f>'29._Hivatal_államig'!D66+'30._TIK_államig'!D66+'31._Humán_államig'!D66+'32._Óvoda_államig'!D66+'33._TMKK_államig'!D66+'34._Rendelő_államig'!D66</f>
        <v>0</v>
      </c>
      <c r="E65" s="107">
        <f>'29._Hivatal_államig'!E66+'30._TIK_államig'!E66+'31._Humán_államig'!E66+'32._Óvoda_államig'!E66+'33._TMKK_államig'!E66+'34._Rendelő_államig'!E66</f>
        <v>0</v>
      </c>
      <c r="F65" s="107">
        <f>'29._Hivatal_államig'!F66+'30._TIK_államig'!F66+'31._Humán_államig'!F66+'32._Óvoda_államig'!F66+'33._TMKK_államig'!F66+'34._Rendelő_államig'!F66</f>
        <v>0</v>
      </c>
      <c r="G65" s="107">
        <f>'29._Hivatal_államig'!G66+'30._TIK_államig'!G66+'31._Humán_államig'!G66+'32._Óvoda_államig'!G66+'33._TMKK_államig'!G66+'34._Rendelő_államig'!G66</f>
        <v>0</v>
      </c>
      <c r="H65" s="324">
        <f t="shared" si="14"/>
        <v>0</v>
      </c>
      <c r="I65" s="503">
        <f>'29._Hivatal_államig'!I66+'30._TIK_államig'!I66+'31._Humán_államig'!I66+'32._Óvoda_államig'!I66+'33._TMKK_államig'!I66+'34._Rendelő_államig'!I66</f>
        <v>0</v>
      </c>
      <c r="J65" s="34">
        <f>'29._Hivatal_államig'!J66+'30._TIK_államig'!J66+'31._Humán_államig'!J66+'32._Óvoda_államig'!J66+'33._TMKK_államig'!J66+'34._Rendelő_államig'!J66</f>
        <v>0</v>
      </c>
      <c r="K65" s="34">
        <f>'29._Hivatal_államig'!K66+'30._TIK_államig'!K66+'31._Humán_államig'!K66+'32._Óvoda_államig'!K66+'33._TMKK_államig'!K66+'34._Rendelő_államig'!K66</f>
        <v>0</v>
      </c>
      <c r="L65" s="34" t="e">
        <f>'29._Hivatal_államig'!L66+'30._TIK_államig'!L66+'31._Humán_államig'!L66+'32._Óvoda_államig'!L66+'33._TMKK_államig'!L66+'34._Rendelő_államig'!L66</f>
        <v>#VALUE!</v>
      </c>
    </row>
    <row r="66" spans="1:12" ht="12.2" customHeight="1" x14ac:dyDescent="0.2">
      <c r="A66" s="1037" t="s">
        <v>96</v>
      </c>
      <c r="B66" s="17" t="s">
        <v>175</v>
      </c>
      <c r="C66" s="339">
        <f>+C67+C68</f>
        <v>0</v>
      </c>
      <c r="D66" s="323">
        <f t="shared" ref="D66:K66" si="19">+D67+D68</f>
        <v>0</v>
      </c>
      <c r="E66" s="107">
        <f t="shared" si="19"/>
        <v>0</v>
      </c>
      <c r="F66" s="107">
        <f t="shared" si="19"/>
        <v>0</v>
      </c>
      <c r="G66" s="107">
        <f t="shared" si="19"/>
        <v>0</v>
      </c>
      <c r="H66" s="324">
        <f t="shared" si="14"/>
        <v>0</v>
      </c>
      <c r="I66" s="503">
        <f t="shared" si="19"/>
        <v>0</v>
      </c>
      <c r="J66" s="34">
        <f t="shared" si="19"/>
        <v>0</v>
      </c>
      <c r="K66" s="34">
        <f t="shared" si="19"/>
        <v>0</v>
      </c>
      <c r="L66" s="34" t="e">
        <f>'29._Hivatal_államig'!L67+'30._TIK_államig'!L67+'31._Humán_államig'!L67+'32._Óvoda_államig'!L67+'33._TMKK_államig'!L67+'34._Rendelő_államig'!L67</f>
        <v>#VALUE!</v>
      </c>
    </row>
    <row r="67" spans="1:12" ht="12.2" customHeight="1" x14ac:dyDescent="0.2">
      <c r="A67" s="1037" t="s">
        <v>317</v>
      </c>
      <c r="B67" s="521" t="s">
        <v>239</v>
      </c>
      <c r="C67" s="339">
        <f>'29._Hivatal_államig'!C68+'30._TIK_államig'!C68+'31._Humán_államig'!C68+'32._Óvoda_államig'!C68+'33._TMKK_államig'!C68+'34._Rendelő_államig'!C68</f>
        <v>0</v>
      </c>
      <c r="D67" s="323">
        <f>'29._Hivatal_államig'!D68+'30._TIK_államig'!D68+'31._Humán_államig'!D68+'32._Óvoda_államig'!D68+'33._TMKK_államig'!D68+'34._Rendelő_államig'!D68</f>
        <v>0</v>
      </c>
      <c r="E67" s="107">
        <f>'29._Hivatal_államig'!E68+'30._TIK_államig'!E68+'31._Humán_államig'!E68+'32._Óvoda_államig'!E68+'33._TMKK_államig'!E68+'34._Rendelő_államig'!E68</f>
        <v>0</v>
      </c>
      <c r="F67" s="107">
        <f>'29._Hivatal_államig'!F68+'30._TIK_államig'!F68+'31._Humán_államig'!F68+'32._Óvoda_államig'!F68+'33._TMKK_államig'!F68+'34._Rendelő_államig'!F68</f>
        <v>0</v>
      </c>
      <c r="G67" s="107">
        <f>'29._Hivatal_államig'!G68+'30._TIK_államig'!G68+'31._Humán_államig'!G68+'32._Óvoda_államig'!G68+'33._TMKK_államig'!G68+'34._Rendelő_államig'!G68</f>
        <v>0</v>
      </c>
      <c r="H67" s="324">
        <f t="shared" si="14"/>
        <v>0</v>
      </c>
      <c r="I67" s="503">
        <f>'29._Hivatal_államig'!I68+'30._TIK_államig'!I68+'31._Humán_államig'!I68+'32._Óvoda_államig'!I68+'33._TMKK_államig'!I68+'34._Rendelő_államig'!I68</f>
        <v>0</v>
      </c>
      <c r="J67" s="34">
        <f>'29._Hivatal_államig'!J68+'30._TIK_államig'!J68+'31._Humán_államig'!J68+'32._Óvoda_államig'!J68+'33._TMKK_államig'!J68+'34._Rendelő_államig'!J68</f>
        <v>0</v>
      </c>
      <c r="K67" s="34">
        <f>'29._Hivatal_államig'!K68+'30._TIK_államig'!K68+'31._Humán_államig'!K68+'32._Óvoda_államig'!K68+'33._TMKK_államig'!K68+'34._Rendelő_államig'!K68</f>
        <v>0</v>
      </c>
      <c r="L67" s="34" t="e">
        <f>'29._Hivatal_államig'!L68+'30._TIK_államig'!L68+'31._Humán_államig'!L68+'32._Óvoda_államig'!L68+'33._TMKK_államig'!L68+'34._Rendelő_államig'!L68</f>
        <v>#VALUE!</v>
      </c>
    </row>
    <row r="68" spans="1:12" ht="12.2" customHeight="1" thickBot="1" x14ac:dyDescent="0.25">
      <c r="A68" s="1037" t="s">
        <v>318</v>
      </c>
      <c r="B68" s="521" t="s">
        <v>238</v>
      </c>
      <c r="C68" s="339">
        <f>'29._Hivatal_államig'!C69+'30._TIK_államig'!C69+'31._Humán_államig'!C69+'32._Óvoda_államig'!C69+'33._TMKK_államig'!C69+'34._Rendelő_államig'!C69</f>
        <v>0</v>
      </c>
      <c r="D68" s="323">
        <f>'29._Hivatal_államig'!D69+'30._TIK_államig'!D69+'31._Humán_államig'!D69+'32._Óvoda_államig'!D69+'33._TMKK_államig'!D69+'34._Rendelő_államig'!D69</f>
        <v>0</v>
      </c>
      <c r="E68" s="107">
        <f>'29._Hivatal_államig'!E69+'30._TIK_államig'!E69+'31._Humán_államig'!E69+'32._Óvoda_államig'!E69+'33._TMKK_államig'!E69+'34._Rendelő_államig'!E69</f>
        <v>0</v>
      </c>
      <c r="F68" s="107">
        <f>'29._Hivatal_államig'!F69+'30._TIK_államig'!F69+'31._Humán_államig'!F69+'32._Óvoda_államig'!F69+'33._TMKK_államig'!F69+'34._Rendelő_államig'!F69</f>
        <v>0</v>
      </c>
      <c r="G68" s="107">
        <f>'29._Hivatal_államig'!G69+'30._TIK_államig'!G69+'31._Humán_államig'!G69+'32._Óvoda_államig'!G69+'33._TMKK_államig'!G69+'34._Rendelő_államig'!G69</f>
        <v>0</v>
      </c>
      <c r="H68" s="324">
        <f t="shared" si="14"/>
        <v>0</v>
      </c>
      <c r="I68" s="503">
        <f>'29._Hivatal_államig'!I69+'30._TIK_államig'!I69+'31._Humán_államig'!I69+'32._Óvoda_államig'!I69+'33._TMKK_államig'!I69+'34._Rendelő_államig'!I69</f>
        <v>0</v>
      </c>
      <c r="J68" s="34">
        <f>'29._Hivatal_államig'!J69+'30._TIK_államig'!J69+'31._Humán_államig'!J69+'32._Óvoda_államig'!J69+'33._TMKK_államig'!J69+'34._Rendelő_államig'!J69</f>
        <v>0</v>
      </c>
      <c r="K68" s="34">
        <f>'29._Hivatal_államig'!K69+'30._TIK_államig'!K69+'31._Humán_államig'!K69+'32._Óvoda_államig'!K69+'33._TMKK_államig'!K69+'34._Rendelő_államig'!K69</f>
        <v>0</v>
      </c>
      <c r="L68" s="34" t="e">
        <f>'29._Hivatal_államig'!L69+'30._TIK_államig'!L69+'31._Humán_államig'!L69+'32._Óvoda_államig'!L69+'33._TMKK_államig'!L69+'34._Rendelő_államig'!L69</f>
        <v>#VALUE!</v>
      </c>
    </row>
    <row r="69" spans="1:12" ht="15" customHeight="1" thickBot="1" x14ac:dyDescent="0.25">
      <c r="A69" s="55" t="s">
        <v>14</v>
      </c>
      <c r="B69" s="67" t="s">
        <v>176</v>
      </c>
      <c r="C69" s="135">
        <f>+C52+C61</f>
        <v>607901317</v>
      </c>
      <c r="D69" s="134">
        <f t="shared" ref="D69:K69" si="20">+D52+D61</f>
        <v>623769683</v>
      </c>
      <c r="E69" s="592">
        <f t="shared" si="20"/>
        <v>700633611</v>
      </c>
      <c r="F69" s="592">
        <f t="shared" si="20"/>
        <v>691582447</v>
      </c>
      <c r="G69" s="592">
        <f t="shared" si="20"/>
        <v>2285982</v>
      </c>
      <c r="H69" s="68">
        <f t="shared" si="14"/>
        <v>76863928</v>
      </c>
      <c r="I69" s="176" t="e">
        <f t="shared" si="20"/>
        <v>#REF!</v>
      </c>
      <c r="J69" s="68">
        <f t="shared" si="20"/>
        <v>474431240</v>
      </c>
      <c r="K69" s="68" t="e">
        <f t="shared" si="20"/>
        <v>#REF!</v>
      </c>
      <c r="L69" s="68">
        <f>'29._Hivatal_államig'!L70+'30._TIK_államig'!L70+'31._Humán_államig'!L70+'32._Óvoda_államig'!L70+'33._TMKK_államig'!L70+'34._Rendelő_államig'!L70</f>
        <v>354.88969686939157</v>
      </c>
    </row>
    <row r="70" spans="1:12" ht="13.5" thickBot="1" x14ac:dyDescent="0.25">
      <c r="C70" s="27"/>
      <c r="D70" s="27"/>
      <c r="E70" s="27"/>
      <c r="F70" s="27"/>
      <c r="G70" s="27"/>
      <c r="H70" s="27"/>
      <c r="I70" s="27"/>
      <c r="J70" s="27"/>
      <c r="K70" s="27"/>
      <c r="L70" s="27"/>
    </row>
    <row r="71" spans="1:12" ht="15" customHeight="1" thickBot="1" x14ac:dyDescent="0.25">
      <c r="A71" s="69" t="s">
        <v>292</v>
      </c>
      <c r="B71" s="70"/>
      <c r="C71" s="136">
        <f>'29._Hivatal_államig'!C72+'30._TIK_államig'!C72+'31._Humán_államig'!C72+'32._Óvoda_államig'!C72+'33._TMKK_államig'!C72+'34._Rendelő_államig'!C72</f>
        <v>70</v>
      </c>
      <c r="D71" s="635">
        <f>'29._Hivatal_államig'!D72+'30._TIK_államig'!D72+'31._Humán_államig'!D72+'32._Óvoda_államig'!D72+'33._TMKK_államig'!D72+'34._Rendelő_államig'!D72</f>
        <v>70</v>
      </c>
      <c r="E71" s="520">
        <f>'29._Hivatal_államig'!E72+'30._TIK_államig'!E72+'31._Humán_államig'!E72+'32._Óvoda_államig'!E72+'33._TMKK_államig'!E72+'34._Rendelő_államig'!E72</f>
        <v>70</v>
      </c>
      <c r="F71" s="520">
        <f>'29._Hivatal_államig'!F72+'30._TIK_államig'!F72+'31._Humán_államig'!F72+'32._Óvoda_államig'!F72+'33._TMKK_államig'!F72+'34._Rendelő_államig'!F72</f>
        <v>70</v>
      </c>
      <c r="G71" s="520">
        <f>'29._Hivatal_államig'!G72+'30._TIK_államig'!G72+'31._Humán_államig'!G72+'32._Óvoda_államig'!G72+'33._TMKK_államig'!G72+'34._Rendelő_államig'!G72</f>
        <v>0</v>
      </c>
      <c r="H71" s="174">
        <f>+E71-D71</f>
        <v>0</v>
      </c>
      <c r="I71" s="174">
        <f>'29._Hivatal_államig'!I72+'30._TIK_államig'!I72+'31._Humán_államig'!I72+'32._Óvoda_államig'!I72+'33._TMKK_államig'!I72+'34._Rendelő_államig'!I72</f>
        <v>0</v>
      </c>
      <c r="J71" s="174">
        <f>'29._Hivatal_államig'!J72+'30._TIK_államig'!J72+'31._Humán_államig'!J72+'32._Óvoda_államig'!J72+'33._TMKK_államig'!J72+'34._Rendelő_államig'!J72</f>
        <v>64</v>
      </c>
      <c r="K71" s="174">
        <f>'29._Hivatal_államig'!K72+'30._TIK_államig'!K72+'31._Humán_államig'!K72+'32._Óvoda_államig'!K72+'33._TMKK_államig'!K72+'34._Rendelő_államig'!K72</f>
        <v>0</v>
      </c>
      <c r="L71" s="174">
        <f>'29._Hivatal_államig'!L72+'30._TIK_államig'!L72+'31._Humán_államig'!L72+'32._Óvoda_államig'!L72+'33._TMKK_államig'!L72+'34._Rendelő_államig'!L72</f>
        <v>91.428571428571431</v>
      </c>
    </row>
    <row r="72" spans="1:12" ht="14.25" hidden="1" customHeight="1" thickBot="1" x14ac:dyDescent="0.25">
      <c r="A72" s="69" t="s">
        <v>590</v>
      </c>
      <c r="B72" s="70"/>
      <c r="C72" s="609">
        <f>'29._Hivatal_államig'!C73+'30._TIK_államig'!C73+'31._Humán_államig'!C73+'32._Óvoda_államig'!C73+'33._TMKK_államig'!C73+'34._Rendelő_államig'!C73</f>
        <v>0</v>
      </c>
      <c r="D72" s="639">
        <f>'29._Hivatal_államig'!D73+'30._TIK_államig'!D73+'31._Humán_államig'!D73+'32._Óvoda_államig'!D73+'33._TMKK_államig'!D73+'34._Rendelő_államig'!D73</f>
        <v>0</v>
      </c>
      <c r="E72" s="607">
        <f>'29._Hivatal_államig'!E73+'30._TIK_államig'!E73+'31._Humán_államig'!E73+'32._Óvoda_államig'!E73+'33._TMKK_államig'!E73+'34._Rendelő_államig'!E73</f>
        <v>0</v>
      </c>
      <c r="F72" s="607">
        <f>'29._Hivatal_államig'!F73+'30._TIK_államig'!F73+'31._Humán_államig'!F73+'32._Óvoda_államig'!F73+'33._TMKK_államig'!F73+'34._Rendelő_államig'!F73</f>
        <v>0</v>
      </c>
      <c r="G72" s="607">
        <f>'29._Hivatal_államig'!G73+'30._TIK_államig'!G73+'31._Humán_államig'!G73+'32._Óvoda_államig'!G73+'33._TMKK_államig'!G73+'34._Rendelő_államig'!G73</f>
        <v>0</v>
      </c>
      <c r="H72" s="609">
        <f t="shared" ref="H72" si="21">+D72-C72</f>
        <v>0</v>
      </c>
      <c r="I72" s="174">
        <f>'29._Hivatal_államig'!I73+'30._TIK_államig'!I73+'31._Humán_államig'!I73+'32._Óvoda_államig'!I73+'33._TMKK_államig'!I73+'34._Rendelő_államig'!I73</f>
        <v>0</v>
      </c>
      <c r="J72" s="174">
        <f>'29._Hivatal_államig'!J73+'30._TIK_államig'!J73+'31._Humán_államig'!J73+'32._Óvoda_államig'!J73+'33._TMKK_államig'!J73+'34._Rendelő_államig'!J73</f>
        <v>0</v>
      </c>
      <c r="K72" s="174">
        <f>'29._Hivatal_államig'!K73+'30._TIK_államig'!K73+'31._Humán_államig'!K73+'32._Óvoda_államig'!K73+'33._TMKK_államig'!K73+'34._Rendelő_államig'!K73</f>
        <v>0</v>
      </c>
      <c r="L72" s="174">
        <f>'29._Hivatal_államig'!L73+'30._TIK_államig'!L73+'31._Humán_államig'!L73+'32._Óvoda_államig'!L73+'33._TMKK_államig'!L73+'34._Rendelő_államig'!L73</f>
        <v>0</v>
      </c>
    </row>
    <row r="73" spans="1:12" x14ac:dyDescent="0.2">
      <c r="H73" s="163" t="s">
        <v>734</v>
      </c>
    </row>
  </sheetData>
  <mergeCells count="7">
    <mergeCell ref="A9:H9"/>
    <mergeCell ref="A50:H50"/>
    <mergeCell ref="A1:H1"/>
    <mergeCell ref="A2:H2"/>
    <mergeCell ref="C4:H4"/>
    <mergeCell ref="C5:H5"/>
    <mergeCell ref="A6:H6"/>
  </mergeCells>
  <printOptions horizontalCentered="1" verticalCentered="1"/>
  <pageMargins left="0.39370078740157483" right="0.39370078740157483" top="0" bottom="0.35433070866141736" header="0.31496062992125984" footer="0.31496062992125984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4"/>
  <sheetViews>
    <sheetView view="pageBreakPreview" zoomScale="112" zoomScaleNormal="100" zoomScaleSheetLayoutView="112" workbookViewId="0">
      <selection activeCell="A2" sqref="A2:H2"/>
    </sheetView>
  </sheetViews>
  <sheetFormatPr defaultRowHeight="12.75" x14ac:dyDescent="0.2"/>
  <cols>
    <col min="1" max="1" width="12" style="988" customWidth="1"/>
    <col min="2" max="2" width="67" style="25" customWidth="1"/>
    <col min="3" max="3" width="15.5" style="25" customWidth="1"/>
    <col min="4" max="5" width="17" style="25" customWidth="1"/>
    <col min="6" max="7" width="17" style="25" hidden="1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535" customFormat="1" ht="12.75" customHeight="1" x14ac:dyDescent="0.2">
      <c r="A1" s="1774" t="s">
        <v>806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741</v>
      </c>
      <c r="B2" s="1774"/>
      <c r="C2" s="1774"/>
      <c r="D2" s="1774"/>
      <c r="E2" s="1774"/>
      <c r="F2" s="1774"/>
      <c r="G2" s="1774"/>
      <c r="H2" s="1774"/>
    </row>
    <row r="3" spans="1:12" s="24" customFormat="1" ht="21.2" customHeight="1" thickBot="1" x14ac:dyDescent="0.25">
      <c r="A3" s="170"/>
      <c r="C3" s="982"/>
      <c r="D3" s="982"/>
      <c r="E3" s="982"/>
      <c r="F3" s="982"/>
      <c r="G3" s="982"/>
      <c r="H3" s="982"/>
      <c r="I3" s="982"/>
      <c r="J3" s="982"/>
      <c r="K3" s="982"/>
      <c r="L3" s="982"/>
    </row>
    <row r="4" spans="1:12" s="38" customFormat="1" ht="38.25" customHeight="1" x14ac:dyDescent="0.2">
      <c r="A4" s="36" t="s">
        <v>137</v>
      </c>
      <c r="B4" s="37" t="s">
        <v>135</v>
      </c>
      <c r="C4" s="1806" t="s">
        <v>185</v>
      </c>
      <c r="D4" s="1807"/>
      <c r="E4" s="1807"/>
      <c r="F4" s="1807"/>
      <c r="G4" s="1807"/>
      <c r="H4" s="1808"/>
    </row>
    <row r="5" spans="1:12" s="38" customFormat="1" ht="36.75" thickBot="1" x14ac:dyDescent="0.25">
      <c r="A5" s="39" t="s">
        <v>139</v>
      </c>
      <c r="B5" s="40" t="s">
        <v>402</v>
      </c>
      <c r="C5" s="1809" t="s">
        <v>141</v>
      </c>
      <c r="D5" s="1810"/>
      <c r="E5" s="1810"/>
      <c r="F5" s="1810"/>
      <c r="G5" s="1810"/>
      <c r="H5" s="1811"/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2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91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82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/>
      <c r="D10" s="127"/>
      <c r="E10" s="582"/>
      <c r="F10" s="582"/>
      <c r="G10" s="582"/>
      <c r="H10" s="595">
        <f>+E10-D10</f>
        <v>0</v>
      </c>
      <c r="I10" s="1085"/>
      <c r="J10" s="595"/>
      <c r="K10" s="595"/>
      <c r="L10" s="595"/>
    </row>
    <row r="11" spans="1:12" s="26" customFormat="1" ht="12.2" customHeight="1" x14ac:dyDescent="0.2">
      <c r="A11" s="49" t="s">
        <v>91</v>
      </c>
      <c r="B11" s="50" t="s">
        <v>143</v>
      </c>
      <c r="C11" s="128"/>
      <c r="D11" s="192"/>
      <c r="E11" s="583"/>
      <c r="F11" s="583"/>
      <c r="G11" s="583"/>
      <c r="H11" s="540">
        <f t="shared" ref="H11:H48" si="0">+E11-D11</f>
        <v>0</v>
      </c>
      <c r="I11" s="1086"/>
      <c r="J11" s="540"/>
      <c r="K11" s="540"/>
      <c r="L11" s="540"/>
    </row>
    <row r="12" spans="1:12" s="26" customFormat="1" ht="12.2" customHeight="1" x14ac:dyDescent="0.2">
      <c r="A12" s="1037" t="s">
        <v>92</v>
      </c>
      <c r="B12" s="330" t="s">
        <v>144</v>
      </c>
      <c r="C12" s="331"/>
      <c r="D12" s="340"/>
      <c r="E12" s="88"/>
      <c r="F12" s="88"/>
      <c r="G12" s="88"/>
      <c r="H12" s="541">
        <f t="shared" si="0"/>
        <v>0</v>
      </c>
      <c r="I12" s="1087"/>
      <c r="J12" s="541"/>
      <c r="K12" s="541"/>
      <c r="L12" s="541"/>
    </row>
    <row r="13" spans="1:12" s="26" customFormat="1" ht="12.2" customHeight="1" x14ac:dyDescent="0.2">
      <c r="A13" s="1037" t="s">
        <v>93</v>
      </c>
      <c r="B13" s="330" t="s">
        <v>145</v>
      </c>
      <c r="C13" s="331"/>
      <c r="D13" s="340"/>
      <c r="E13" s="88"/>
      <c r="F13" s="88"/>
      <c r="G13" s="88"/>
      <c r="H13" s="541">
        <f t="shared" si="0"/>
        <v>0</v>
      </c>
      <c r="I13" s="1087"/>
      <c r="J13" s="541"/>
      <c r="K13" s="541"/>
      <c r="L13" s="541"/>
    </row>
    <row r="14" spans="1:12" s="26" customFormat="1" ht="12.2" customHeight="1" x14ac:dyDescent="0.2">
      <c r="A14" s="1037" t="s">
        <v>90</v>
      </c>
      <c r="B14" s="330" t="s">
        <v>146</v>
      </c>
      <c r="C14" s="331"/>
      <c r="D14" s="340"/>
      <c r="E14" s="88"/>
      <c r="F14" s="88"/>
      <c r="G14" s="88"/>
      <c r="H14" s="541">
        <f t="shared" si="0"/>
        <v>0</v>
      </c>
      <c r="I14" s="1087"/>
      <c r="J14" s="541"/>
      <c r="K14" s="541"/>
      <c r="L14" s="541"/>
    </row>
    <row r="15" spans="1:12" s="26" customFormat="1" ht="12.2" customHeight="1" x14ac:dyDescent="0.2">
      <c r="A15" s="1037" t="s">
        <v>147</v>
      </c>
      <c r="B15" s="330" t="s">
        <v>148</v>
      </c>
      <c r="C15" s="331"/>
      <c r="D15" s="340"/>
      <c r="E15" s="88"/>
      <c r="F15" s="88"/>
      <c r="G15" s="88"/>
      <c r="H15" s="541">
        <f t="shared" si="0"/>
        <v>0</v>
      </c>
      <c r="I15" s="1087"/>
      <c r="J15" s="541"/>
      <c r="K15" s="541"/>
      <c r="L15" s="541"/>
    </row>
    <row r="16" spans="1:12" s="26" customFormat="1" ht="12.2" customHeight="1" x14ac:dyDescent="0.2">
      <c r="A16" s="1037" t="s">
        <v>149</v>
      </c>
      <c r="B16" s="330" t="s">
        <v>150</v>
      </c>
      <c r="C16" s="331"/>
      <c r="D16" s="340"/>
      <c r="E16" s="88"/>
      <c r="F16" s="88"/>
      <c r="G16" s="88"/>
      <c r="H16" s="541">
        <f t="shared" si="0"/>
        <v>0</v>
      </c>
      <c r="I16" s="1087"/>
      <c r="J16" s="541"/>
      <c r="K16" s="541"/>
      <c r="L16" s="541"/>
    </row>
    <row r="17" spans="1:12" s="26" customFormat="1" ht="12.2" customHeight="1" x14ac:dyDescent="0.2">
      <c r="A17" s="1037" t="s">
        <v>151</v>
      </c>
      <c r="B17" s="52" t="s">
        <v>152</v>
      </c>
      <c r="C17" s="331"/>
      <c r="D17" s="340"/>
      <c r="E17" s="88"/>
      <c r="F17" s="88"/>
      <c r="G17" s="88"/>
      <c r="H17" s="541">
        <f t="shared" si="0"/>
        <v>0</v>
      </c>
      <c r="I17" s="1087"/>
      <c r="J17" s="541"/>
      <c r="K17" s="541"/>
      <c r="L17" s="541"/>
    </row>
    <row r="18" spans="1:12" s="26" customFormat="1" ht="12.2" customHeight="1" x14ac:dyDescent="0.2">
      <c r="A18" s="1037" t="s">
        <v>153</v>
      </c>
      <c r="B18" s="345" t="s">
        <v>302</v>
      </c>
      <c r="C18" s="121"/>
      <c r="D18" s="188"/>
      <c r="E18" s="90"/>
      <c r="F18" s="90"/>
      <c r="G18" s="90"/>
      <c r="H18" s="542">
        <f t="shared" si="0"/>
        <v>0</v>
      </c>
      <c r="I18" s="1088"/>
      <c r="J18" s="542"/>
      <c r="K18" s="542"/>
      <c r="L18" s="542"/>
    </row>
    <row r="19" spans="1:12" s="54" customFormat="1" ht="12.2" customHeight="1" x14ac:dyDescent="0.2">
      <c r="A19" s="1037" t="s">
        <v>154</v>
      </c>
      <c r="B19" s="330" t="s">
        <v>155</v>
      </c>
      <c r="C19" s="331"/>
      <c r="D19" s="340"/>
      <c r="E19" s="88"/>
      <c r="F19" s="88"/>
      <c r="G19" s="88"/>
      <c r="H19" s="541">
        <f t="shared" si="0"/>
        <v>0</v>
      </c>
      <c r="I19" s="1087"/>
      <c r="J19" s="541"/>
      <c r="K19" s="541"/>
      <c r="L19" s="541"/>
    </row>
    <row r="20" spans="1:12" s="54" customFormat="1" ht="12.2" customHeight="1" x14ac:dyDescent="0.2">
      <c r="A20" s="1037" t="s">
        <v>156</v>
      </c>
      <c r="B20" s="345" t="s">
        <v>275</v>
      </c>
      <c r="C20" s="333"/>
      <c r="D20" s="341"/>
      <c r="E20" s="88"/>
      <c r="F20" s="88"/>
      <c r="G20" s="331"/>
      <c r="H20" s="543">
        <f t="shared" si="0"/>
        <v>0</v>
      </c>
      <c r="I20" s="1089"/>
      <c r="J20" s="543"/>
      <c r="K20" s="543"/>
      <c r="L20" s="543"/>
    </row>
    <row r="21" spans="1:12" s="54" customFormat="1" ht="12.2" customHeight="1" thickBot="1" x14ac:dyDescent="0.25">
      <c r="A21" s="1037" t="s">
        <v>276</v>
      </c>
      <c r="B21" s="52" t="s">
        <v>157</v>
      </c>
      <c r="C21" s="333"/>
      <c r="D21" s="341"/>
      <c r="E21" s="90"/>
      <c r="F21" s="90"/>
      <c r="G21" s="90"/>
      <c r="H21" s="544">
        <f t="shared" si="0"/>
        <v>0</v>
      </c>
      <c r="I21" s="1090"/>
      <c r="J21" s="544"/>
      <c r="K21" s="544"/>
      <c r="L21" s="544"/>
    </row>
    <row r="22" spans="1:12" s="26" customFormat="1" ht="12.2" customHeight="1" thickBot="1" x14ac:dyDescent="0.25">
      <c r="A22" s="43" t="s">
        <v>13</v>
      </c>
      <c r="B22" s="47" t="s">
        <v>158</v>
      </c>
      <c r="C22" s="89"/>
      <c r="D22" s="127"/>
      <c r="E22" s="582"/>
      <c r="F22" s="582"/>
      <c r="G22" s="582"/>
      <c r="H22" s="48">
        <f t="shared" si="0"/>
        <v>0</v>
      </c>
      <c r="I22" s="175"/>
      <c r="J22" s="48"/>
      <c r="K22" s="48"/>
      <c r="L22" s="48"/>
    </row>
    <row r="23" spans="1:12" s="54" customFormat="1" ht="12.2" customHeight="1" x14ac:dyDescent="0.2">
      <c r="A23" s="1037" t="s">
        <v>94</v>
      </c>
      <c r="B23" s="17" t="s">
        <v>159</v>
      </c>
      <c r="C23" s="331"/>
      <c r="D23" s="340"/>
      <c r="E23" s="584"/>
      <c r="F23" s="584"/>
      <c r="G23" s="584"/>
      <c r="H23" s="75">
        <f t="shared" si="0"/>
        <v>0</v>
      </c>
      <c r="I23" s="637"/>
      <c r="J23" s="75"/>
      <c r="K23" s="75"/>
      <c r="L23" s="75"/>
    </row>
    <row r="24" spans="1:12" s="54" customFormat="1" ht="12.2" customHeight="1" x14ac:dyDescent="0.2">
      <c r="A24" s="1037" t="s">
        <v>95</v>
      </c>
      <c r="B24" s="330" t="s">
        <v>160</v>
      </c>
      <c r="C24" s="331"/>
      <c r="D24" s="340"/>
      <c r="E24" s="88"/>
      <c r="F24" s="88"/>
      <c r="G24" s="88"/>
      <c r="H24" s="541">
        <f t="shared" si="0"/>
        <v>0</v>
      </c>
      <c r="I24" s="1087"/>
      <c r="J24" s="541"/>
      <c r="K24" s="541"/>
      <c r="L24" s="541"/>
    </row>
    <row r="25" spans="1:12" s="54" customFormat="1" ht="12.2" customHeight="1" x14ac:dyDescent="0.2">
      <c r="A25" s="1037" t="s">
        <v>96</v>
      </c>
      <c r="B25" s="330" t="s">
        <v>161</v>
      </c>
      <c r="C25" s="331"/>
      <c r="D25" s="340"/>
      <c r="E25" s="88"/>
      <c r="F25" s="88"/>
      <c r="G25" s="88"/>
      <c r="H25" s="541">
        <f t="shared" si="0"/>
        <v>0</v>
      </c>
      <c r="I25" s="1087"/>
      <c r="J25" s="541"/>
      <c r="K25" s="541"/>
      <c r="L25" s="541"/>
    </row>
    <row r="26" spans="1:12" s="54" customFormat="1" ht="12.2" customHeight="1" thickBot="1" x14ac:dyDescent="0.25">
      <c r="A26" s="1037" t="s">
        <v>317</v>
      </c>
      <c r="B26" s="335" t="s">
        <v>233</v>
      </c>
      <c r="C26" s="331"/>
      <c r="D26" s="340"/>
      <c r="E26" s="88"/>
      <c r="F26" s="88"/>
      <c r="G26" s="88"/>
      <c r="H26" s="545">
        <f t="shared" si="0"/>
        <v>0</v>
      </c>
      <c r="I26" s="1091"/>
      <c r="J26" s="545"/>
      <c r="K26" s="545"/>
      <c r="L26" s="545"/>
    </row>
    <row r="27" spans="1:12" s="54" customFormat="1" ht="12.2" customHeight="1" thickBot="1" x14ac:dyDescent="0.25">
      <c r="A27" s="55" t="s">
        <v>14</v>
      </c>
      <c r="B27" s="56" t="s">
        <v>83</v>
      </c>
      <c r="C27" s="130"/>
      <c r="D27" s="129"/>
      <c r="E27" s="585"/>
      <c r="F27" s="585"/>
      <c r="G27" s="585"/>
      <c r="H27" s="74">
        <f t="shared" si="0"/>
        <v>0</v>
      </c>
      <c r="I27" s="638"/>
      <c r="J27" s="74"/>
      <c r="K27" s="74"/>
      <c r="L27" s="74"/>
    </row>
    <row r="28" spans="1:12" s="54" customFormat="1" ht="12.2" customHeight="1" thickBot="1" x14ac:dyDescent="0.25">
      <c r="A28" s="55" t="s">
        <v>15</v>
      </c>
      <c r="B28" s="56" t="s">
        <v>162</v>
      </c>
      <c r="C28" s="89"/>
      <c r="D28" s="127"/>
      <c r="E28" s="582"/>
      <c r="F28" s="582"/>
      <c r="G28" s="582"/>
      <c r="H28" s="74">
        <f t="shared" si="0"/>
        <v>0</v>
      </c>
      <c r="I28" s="638"/>
      <c r="J28" s="74"/>
      <c r="K28" s="74"/>
      <c r="L28" s="74"/>
    </row>
    <row r="29" spans="1:12" s="54" customFormat="1" ht="12.2" customHeight="1" x14ac:dyDescent="0.2">
      <c r="A29" s="58" t="s">
        <v>100</v>
      </c>
      <c r="B29" s="59" t="s">
        <v>160</v>
      </c>
      <c r="C29" s="122"/>
      <c r="D29" s="189"/>
      <c r="E29" s="586"/>
      <c r="F29" s="586"/>
      <c r="G29" s="586"/>
      <c r="H29" s="546">
        <f t="shared" si="0"/>
        <v>0</v>
      </c>
      <c r="I29" s="1092"/>
      <c r="J29" s="546"/>
      <c r="K29" s="546"/>
      <c r="L29" s="546"/>
    </row>
    <row r="30" spans="1:12" s="54" customFormat="1" ht="12.2" customHeight="1" x14ac:dyDescent="0.2">
      <c r="A30" s="58" t="s">
        <v>101</v>
      </c>
      <c r="B30" s="336" t="s">
        <v>163</v>
      </c>
      <c r="C30" s="120"/>
      <c r="D30" s="193"/>
      <c r="E30" s="107"/>
      <c r="F30" s="107"/>
      <c r="G30" s="339"/>
      <c r="H30" s="534">
        <f t="shared" si="0"/>
        <v>0</v>
      </c>
      <c r="I30" s="630"/>
      <c r="J30" s="534"/>
      <c r="K30" s="534"/>
      <c r="L30" s="534"/>
    </row>
    <row r="31" spans="1:12" s="54" customFormat="1" ht="12.2" customHeight="1" thickBot="1" x14ac:dyDescent="0.25">
      <c r="A31" s="1037" t="s">
        <v>281</v>
      </c>
      <c r="B31" s="102" t="s">
        <v>165</v>
      </c>
      <c r="C31" s="92"/>
      <c r="D31" s="190"/>
      <c r="E31" s="587"/>
      <c r="F31" s="587"/>
      <c r="G31" s="587"/>
      <c r="H31" s="547">
        <f t="shared" si="0"/>
        <v>0</v>
      </c>
      <c r="I31" s="1093"/>
      <c r="J31" s="547"/>
      <c r="K31" s="547"/>
      <c r="L31" s="547"/>
    </row>
    <row r="32" spans="1:12" s="54" customFormat="1" ht="12.2" customHeight="1" thickBot="1" x14ac:dyDescent="0.25">
      <c r="A32" s="55" t="s">
        <v>16</v>
      </c>
      <c r="B32" s="56" t="s">
        <v>166</v>
      </c>
      <c r="C32" s="89"/>
      <c r="D32" s="127"/>
      <c r="E32" s="582"/>
      <c r="F32" s="582"/>
      <c r="G32" s="582"/>
      <c r="H32" s="74">
        <f t="shared" si="0"/>
        <v>0</v>
      </c>
      <c r="I32" s="638"/>
      <c r="J32" s="74"/>
      <c r="K32" s="74"/>
      <c r="L32" s="74"/>
    </row>
    <row r="33" spans="1:12" s="54" customFormat="1" ht="12.2" customHeight="1" x14ac:dyDescent="0.2">
      <c r="A33" s="58" t="s">
        <v>89</v>
      </c>
      <c r="B33" s="59" t="s">
        <v>167</v>
      </c>
      <c r="C33" s="122"/>
      <c r="D33" s="189"/>
      <c r="E33" s="586"/>
      <c r="F33" s="586"/>
      <c r="G33" s="586"/>
      <c r="H33" s="546">
        <f t="shared" si="0"/>
        <v>0</v>
      </c>
      <c r="I33" s="1092"/>
      <c r="J33" s="546"/>
      <c r="K33" s="546"/>
      <c r="L33" s="546"/>
    </row>
    <row r="34" spans="1:12" s="54" customFormat="1" ht="12.2" customHeight="1" x14ac:dyDescent="0.2">
      <c r="A34" s="58" t="s">
        <v>102</v>
      </c>
      <c r="B34" s="336" t="s">
        <v>168</v>
      </c>
      <c r="C34" s="120"/>
      <c r="D34" s="193"/>
      <c r="E34" s="107"/>
      <c r="F34" s="107"/>
      <c r="G34" s="339"/>
      <c r="H34" s="534">
        <f t="shared" si="0"/>
        <v>0</v>
      </c>
      <c r="I34" s="630"/>
      <c r="J34" s="534"/>
      <c r="K34" s="534"/>
      <c r="L34" s="534"/>
    </row>
    <row r="35" spans="1:12" s="54" customFormat="1" ht="12.2" customHeight="1" thickBot="1" x14ac:dyDescent="0.25">
      <c r="A35" s="1037" t="s">
        <v>103</v>
      </c>
      <c r="B35" s="62" t="s">
        <v>169</v>
      </c>
      <c r="C35" s="92"/>
      <c r="D35" s="190"/>
      <c r="E35" s="587"/>
      <c r="F35" s="587"/>
      <c r="G35" s="587"/>
      <c r="H35" s="548">
        <f t="shared" si="0"/>
        <v>0</v>
      </c>
      <c r="I35" s="1094"/>
      <c r="J35" s="548"/>
      <c r="K35" s="548"/>
      <c r="L35" s="548"/>
    </row>
    <row r="36" spans="1:12" s="26" customFormat="1" ht="12.2" customHeight="1" thickBot="1" x14ac:dyDescent="0.25">
      <c r="A36" s="55" t="s">
        <v>17</v>
      </c>
      <c r="B36" s="56" t="s">
        <v>170</v>
      </c>
      <c r="C36" s="130"/>
      <c r="D36" s="129"/>
      <c r="E36" s="585"/>
      <c r="F36" s="585"/>
      <c r="G36" s="585"/>
      <c r="H36" s="74">
        <f t="shared" si="0"/>
        <v>0</v>
      </c>
      <c r="I36" s="638"/>
      <c r="J36" s="74"/>
      <c r="K36" s="74"/>
      <c r="L36" s="74"/>
    </row>
    <row r="37" spans="1:12" s="26" customFormat="1" ht="12.2" customHeight="1" thickBot="1" x14ac:dyDescent="0.25">
      <c r="A37" s="1038" t="s">
        <v>104</v>
      </c>
      <c r="B37" s="337" t="s">
        <v>165</v>
      </c>
      <c r="C37" s="130"/>
      <c r="D37" s="129"/>
      <c r="E37" s="588"/>
      <c r="F37" s="588"/>
      <c r="G37" s="588"/>
      <c r="H37" s="549">
        <f t="shared" si="0"/>
        <v>0</v>
      </c>
      <c r="I37" s="1095"/>
      <c r="J37" s="549"/>
      <c r="K37" s="549"/>
      <c r="L37" s="549"/>
    </row>
    <row r="38" spans="1:12" s="26" customFormat="1" ht="12.2" customHeight="1" thickBot="1" x14ac:dyDescent="0.25">
      <c r="A38" s="55" t="s">
        <v>18</v>
      </c>
      <c r="B38" s="56" t="s">
        <v>555</v>
      </c>
      <c r="C38" s="130"/>
      <c r="D38" s="129"/>
      <c r="E38" s="585"/>
      <c r="F38" s="585"/>
      <c r="G38" s="585"/>
      <c r="H38" s="74">
        <f t="shared" si="0"/>
        <v>0</v>
      </c>
      <c r="I38" s="638"/>
      <c r="J38" s="74"/>
      <c r="K38" s="74"/>
      <c r="L38" s="74"/>
    </row>
    <row r="39" spans="1:12" s="26" customFormat="1" ht="12.2" customHeight="1" x14ac:dyDescent="0.2">
      <c r="A39" s="12" t="s">
        <v>107</v>
      </c>
      <c r="B39" s="95" t="s">
        <v>212</v>
      </c>
      <c r="C39" s="131"/>
      <c r="D39" s="194"/>
      <c r="E39" s="589"/>
      <c r="F39" s="589"/>
      <c r="G39" s="589"/>
      <c r="H39" s="550">
        <f t="shared" si="0"/>
        <v>0</v>
      </c>
      <c r="I39" s="1096"/>
      <c r="J39" s="550"/>
      <c r="K39" s="550"/>
      <c r="L39" s="550"/>
    </row>
    <row r="40" spans="1:12" s="26" customFormat="1" ht="12.2" customHeight="1" x14ac:dyDescent="0.2">
      <c r="A40" s="1003" t="s">
        <v>108</v>
      </c>
      <c r="B40" s="346" t="s">
        <v>213</v>
      </c>
      <c r="C40" s="338"/>
      <c r="D40" s="342"/>
      <c r="E40" s="590"/>
      <c r="F40" s="590"/>
      <c r="G40" s="590"/>
      <c r="H40" s="551">
        <f t="shared" si="0"/>
        <v>0</v>
      </c>
      <c r="I40" s="1097"/>
      <c r="J40" s="551"/>
      <c r="K40" s="551"/>
      <c r="L40" s="551"/>
    </row>
    <row r="41" spans="1:12" s="26" customFormat="1" ht="12.2" customHeight="1" thickBot="1" x14ac:dyDescent="0.25">
      <c r="A41" s="1003" t="s">
        <v>323</v>
      </c>
      <c r="B41" s="103" t="s">
        <v>165</v>
      </c>
      <c r="C41" s="133"/>
      <c r="D41" s="132"/>
      <c r="E41" s="591"/>
      <c r="F41" s="591"/>
      <c r="G41" s="591"/>
      <c r="H41" s="552">
        <f t="shared" si="0"/>
        <v>0</v>
      </c>
      <c r="I41" s="1098"/>
      <c r="J41" s="552"/>
      <c r="K41" s="552"/>
      <c r="L41" s="552"/>
    </row>
    <row r="42" spans="1:12" s="26" customFormat="1" ht="12.2" customHeight="1" thickBot="1" x14ac:dyDescent="0.25">
      <c r="A42" s="43" t="s">
        <v>19</v>
      </c>
      <c r="B42" s="56" t="s">
        <v>546</v>
      </c>
      <c r="C42" s="89"/>
      <c r="D42" s="127"/>
      <c r="E42" s="582"/>
      <c r="F42" s="582"/>
      <c r="G42" s="582"/>
      <c r="H42" s="74">
        <f t="shared" si="0"/>
        <v>0</v>
      </c>
      <c r="I42" s="638"/>
      <c r="J42" s="74"/>
      <c r="K42" s="74"/>
      <c r="L42" s="74"/>
    </row>
    <row r="43" spans="1:12" s="26" customFormat="1" ht="12.2" customHeight="1" thickBot="1" x14ac:dyDescent="0.25">
      <c r="A43" s="63" t="s">
        <v>20</v>
      </c>
      <c r="B43" s="56" t="s">
        <v>180</v>
      </c>
      <c r="C43" s="89"/>
      <c r="D43" s="127"/>
      <c r="E43" s="582"/>
      <c r="F43" s="582"/>
      <c r="G43" s="582"/>
      <c r="H43" s="74">
        <f t="shared" si="0"/>
        <v>0</v>
      </c>
      <c r="I43" s="638"/>
      <c r="J43" s="74"/>
      <c r="K43" s="74"/>
      <c r="L43" s="74"/>
    </row>
    <row r="44" spans="1:12" s="26" customFormat="1" ht="12.2" customHeight="1" x14ac:dyDescent="0.2">
      <c r="A44" s="58" t="s">
        <v>171</v>
      </c>
      <c r="B44" s="59" t="s">
        <v>131</v>
      </c>
      <c r="C44" s="122"/>
      <c r="D44" s="189"/>
      <c r="E44" s="586"/>
      <c r="F44" s="586"/>
      <c r="G44" s="586"/>
      <c r="H44" s="546">
        <f t="shared" si="0"/>
        <v>0</v>
      </c>
      <c r="I44" s="1092"/>
      <c r="J44" s="546"/>
      <c r="K44" s="546"/>
      <c r="L44" s="546"/>
    </row>
    <row r="45" spans="1:12" s="26" customFormat="1" ht="12.2" customHeight="1" x14ac:dyDescent="0.2">
      <c r="A45" s="71" t="s">
        <v>172</v>
      </c>
      <c r="B45" s="59" t="s">
        <v>186</v>
      </c>
      <c r="C45" s="120"/>
      <c r="D45" s="193"/>
      <c r="E45" s="91"/>
      <c r="F45" s="91"/>
      <c r="G45" s="91"/>
      <c r="H45" s="553">
        <f t="shared" si="0"/>
        <v>0</v>
      </c>
      <c r="I45" s="1099"/>
      <c r="J45" s="553"/>
      <c r="K45" s="553"/>
      <c r="L45" s="553"/>
    </row>
    <row r="46" spans="1:12" s="26" customFormat="1" ht="12.2" customHeight="1" x14ac:dyDescent="0.2">
      <c r="A46" s="1037" t="s">
        <v>173</v>
      </c>
      <c r="B46" s="336" t="s">
        <v>177</v>
      </c>
      <c r="C46" s="339"/>
      <c r="D46" s="323"/>
      <c r="E46" s="107"/>
      <c r="F46" s="107"/>
      <c r="G46" s="107"/>
      <c r="H46" s="534">
        <f t="shared" si="0"/>
        <v>0</v>
      </c>
      <c r="I46" s="630"/>
      <c r="J46" s="534"/>
      <c r="K46" s="534"/>
      <c r="L46" s="534"/>
    </row>
    <row r="47" spans="1:12" s="54" customFormat="1" ht="12.2" customHeight="1" thickBot="1" x14ac:dyDescent="0.25">
      <c r="A47" s="58" t="s">
        <v>178</v>
      </c>
      <c r="B47" s="62" t="s">
        <v>179</v>
      </c>
      <c r="C47" s="1034"/>
      <c r="D47" s="195"/>
      <c r="E47" s="587"/>
      <c r="F47" s="587"/>
      <c r="G47" s="587"/>
      <c r="H47" s="548">
        <f t="shared" si="0"/>
        <v>0</v>
      </c>
      <c r="I47" s="1094"/>
      <c r="J47" s="548"/>
      <c r="K47" s="548"/>
      <c r="L47" s="548"/>
    </row>
    <row r="48" spans="1:12" s="54" customFormat="1" ht="15" customHeight="1" thickBot="1" x14ac:dyDescent="0.25">
      <c r="A48" s="63" t="s">
        <v>21</v>
      </c>
      <c r="B48" s="524" t="s">
        <v>174</v>
      </c>
      <c r="C48" s="135"/>
      <c r="D48" s="134"/>
      <c r="E48" s="592"/>
      <c r="F48" s="592"/>
      <c r="G48" s="592"/>
      <c r="H48" s="557">
        <f t="shared" si="0"/>
        <v>0</v>
      </c>
      <c r="I48" s="1100"/>
      <c r="J48" s="557"/>
      <c r="K48" s="557"/>
      <c r="L48" s="557"/>
    </row>
    <row r="49" spans="1:12" s="54" customFormat="1" ht="15" customHeight="1" x14ac:dyDescent="0.2">
      <c r="A49" s="64"/>
      <c r="B49" s="65"/>
      <c r="C49" s="66"/>
      <c r="D49" s="66"/>
      <c r="E49" s="66">
        <f>'6.Polg_Hivatal'!E49-'29._Hivatal_önként'!E49</f>
        <v>0</v>
      </c>
      <c r="F49" s="66"/>
      <c r="G49" s="66"/>
      <c r="H49" s="66"/>
      <c r="I49" s="66"/>
      <c r="J49" s="66"/>
      <c r="K49" s="66"/>
      <c r="L49" s="66"/>
    </row>
    <row r="50" spans="1:12" s="54" customFormat="1" ht="15" customHeight="1" x14ac:dyDescent="0.2">
      <c r="A50" s="64"/>
      <c r="B50" s="65"/>
      <c r="C50" s="66"/>
      <c r="D50" s="66"/>
      <c r="E50" s="66"/>
      <c r="F50" s="66"/>
      <c r="G50" s="66"/>
      <c r="H50" s="66"/>
      <c r="I50" s="66"/>
      <c r="J50" s="66"/>
      <c r="K50" s="66"/>
      <c r="L50" s="66"/>
    </row>
    <row r="51" spans="1:12" ht="13.5" thickBot="1" x14ac:dyDescent="0.25">
      <c r="A51" s="1912" t="s">
        <v>362</v>
      </c>
      <c r="B51" s="1912"/>
      <c r="C51" s="1912"/>
      <c r="D51" s="1912"/>
      <c r="E51" s="1912"/>
      <c r="F51" s="1912"/>
      <c r="G51" s="1912"/>
      <c r="H51" s="1912"/>
    </row>
    <row r="52" spans="1:12" s="554" customFormat="1" ht="55.5" customHeight="1" thickBot="1" x14ac:dyDescent="0.25">
      <c r="A52" s="641"/>
      <c r="B52" s="642" t="s">
        <v>38</v>
      </c>
      <c r="C52" s="21" t="str">
        <f t="shared" ref="C52:L52" si="1">C7</f>
        <v>2023. évi eredeti előirányzat
2/2023. (II.14.)</v>
      </c>
      <c r="D52" s="166" t="str">
        <f t="shared" si="1"/>
        <v>Módosított előirányzat a 14/2023.  (VI.29.)  rendelet szerint</v>
      </c>
      <c r="E52" s="21" t="str">
        <f t="shared" si="1"/>
        <v>Módosított előirányzat a 18/2023. (IX.26.)  rendelet szerint</v>
      </c>
      <c r="F52" s="21" t="str">
        <f t="shared" si="1"/>
        <v>Módosított előirányzat 2023.09.30-án</v>
      </c>
      <c r="G52" s="21" t="str">
        <f t="shared" si="1"/>
        <v>Módosított előirányzat a …../2023. (II…..)  rendelet szerint</v>
      </c>
      <c r="H52" s="32" t="str">
        <f t="shared" si="1"/>
        <v>Változás a 14/2023. (VI.29.) rendelethez képest</v>
      </c>
      <c r="I52" s="166" t="str">
        <f t="shared" si="1"/>
        <v>2023. évi teljesítés              2023.06.30-ig</v>
      </c>
      <c r="J52" s="21" t="str">
        <f t="shared" si="1"/>
        <v>2023. évi teljesítés              2023.09.30-ig</v>
      </c>
      <c r="K52" s="21" t="str">
        <f t="shared" si="1"/>
        <v>2023. évi teljesítés              2023.12.31-ig</v>
      </c>
      <c r="L52" s="21" t="str">
        <f t="shared" si="1"/>
        <v>Teljesítés %-a</v>
      </c>
    </row>
    <row r="53" spans="1:12" s="31" customFormat="1" ht="12.2" customHeight="1" thickBot="1" x14ac:dyDescent="0.25">
      <c r="A53" s="55" t="s">
        <v>12</v>
      </c>
      <c r="B53" s="56" t="s">
        <v>547</v>
      </c>
      <c r="C53" s="89"/>
      <c r="D53" s="127">
        <f>SUM(D54:D59)-D55</f>
        <v>0</v>
      </c>
      <c r="E53" s="582">
        <f t="shared" ref="E53:L53" si="2">SUM(E54:E59)-E55</f>
        <v>0</v>
      </c>
      <c r="F53" s="582">
        <f t="shared" si="2"/>
        <v>0</v>
      </c>
      <c r="G53" s="582">
        <f t="shared" si="2"/>
        <v>0</v>
      </c>
      <c r="H53" s="48">
        <f t="shared" ref="H53:H72" si="3">+E53-D53</f>
        <v>0</v>
      </c>
      <c r="I53" s="175">
        <f t="shared" si="2"/>
        <v>0</v>
      </c>
      <c r="J53" s="48">
        <f t="shared" si="2"/>
        <v>472145260</v>
      </c>
      <c r="K53" s="48">
        <f t="shared" si="2"/>
        <v>0</v>
      </c>
      <c r="L53" s="48">
        <f t="shared" si="2"/>
        <v>202.13507878933029</v>
      </c>
    </row>
    <row r="54" spans="1:12" ht="12.2" customHeight="1" x14ac:dyDescent="0.2">
      <c r="A54" s="1037" t="s">
        <v>91</v>
      </c>
      <c r="B54" s="17" t="s">
        <v>68</v>
      </c>
      <c r="C54" s="122"/>
      <c r="D54" s="189"/>
      <c r="E54" s="586"/>
      <c r="F54" s="586"/>
      <c r="G54" s="586"/>
      <c r="H54" s="33">
        <f t="shared" si="3"/>
        <v>0</v>
      </c>
      <c r="I54" s="177">
        <f>'6.Polg_Hivatal'!I54-'29._Hivatal_önként'!I54</f>
        <v>0</v>
      </c>
      <c r="J54" s="33">
        <f>'6.Polg_Hivatal'!J54-'29._Hivatal_önként'!J54</f>
        <v>324136905</v>
      </c>
      <c r="K54" s="33">
        <f>'6.Polg_Hivatal'!K54-'29._Hivatal_önként'!K54</f>
        <v>0</v>
      </c>
      <c r="L54" s="33">
        <f>'6.Polg_Hivatal'!L54-'29._Hivatal_önként'!L54</f>
        <v>70.426666195210089</v>
      </c>
    </row>
    <row r="55" spans="1:12" ht="12.2" customHeight="1" x14ac:dyDescent="0.2">
      <c r="A55" s="1037" t="s">
        <v>305</v>
      </c>
      <c r="B55" s="335" t="s">
        <v>270</v>
      </c>
      <c r="C55" s="122"/>
      <c r="D55" s="189"/>
      <c r="E55" s="586"/>
      <c r="F55" s="586"/>
      <c r="G55" s="586"/>
      <c r="H55" s="33">
        <f t="shared" si="3"/>
        <v>0</v>
      </c>
      <c r="I55" s="177">
        <f>'6.Polg_Hivatal'!I55-'29._Hivatal_önként'!I55</f>
        <v>0</v>
      </c>
      <c r="J55" s="33">
        <f>'6.Polg_Hivatal'!J55-'29._Hivatal_önként'!J55</f>
        <v>1147800</v>
      </c>
      <c r="K55" s="33">
        <f>'6.Polg_Hivatal'!K55-'29._Hivatal_önként'!K55</f>
        <v>0</v>
      </c>
      <c r="L55" s="33">
        <f>'6.Polg_Hivatal'!L55-'29._Hivatal_önként'!L55</f>
        <v>5.7453773688794563</v>
      </c>
    </row>
    <row r="56" spans="1:12" ht="12.2" customHeight="1" x14ac:dyDescent="0.2">
      <c r="A56" s="1037" t="s">
        <v>92</v>
      </c>
      <c r="B56" s="330" t="s">
        <v>87</v>
      </c>
      <c r="C56" s="339"/>
      <c r="D56" s="323"/>
      <c r="E56" s="107"/>
      <c r="F56" s="107"/>
      <c r="G56" s="107"/>
      <c r="H56" s="324">
        <f t="shared" si="3"/>
        <v>0</v>
      </c>
      <c r="I56" s="503">
        <f>'6.Polg_Hivatal'!I56-'29._Hivatal_önként'!I56</f>
        <v>0</v>
      </c>
      <c r="J56" s="324">
        <f>'6.Polg_Hivatal'!J56-'29._Hivatal_önként'!J56</f>
        <v>49792839</v>
      </c>
      <c r="K56" s="324">
        <f>'6.Polg_Hivatal'!K56-'29._Hivatal_önként'!K56</f>
        <v>0</v>
      </c>
      <c r="L56" s="324">
        <f>'6.Polg_Hivatal'!L56-'29._Hivatal_önként'!L56</f>
        <v>69.179910515837491</v>
      </c>
    </row>
    <row r="57" spans="1:12" ht="12.2" customHeight="1" x14ac:dyDescent="0.2">
      <c r="A57" s="1037" t="s">
        <v>93</v>
      </c>
      <c r="B57" s="330" t="s">
        <v>69</v>
      </c>
      <c r="C57" s="339"/>
      <c r="D57" s="323"/>
      <c r="E57" s="107"/>
      <c r="F57" s="107"/>
      <c r="G57" s="107"/>
      <c r="H57" s="324">
        <f t="shared" si="3"/>
        <v>0</v>
      </c>
      <c r="I57" s="503">
        <f>'6.Polg_Hivatal'!I57-'29._Hivatal_önként'!I57</f>
        <v>0</v>
      </c>
      <c r="J57" s="324">
        <f>'6.Polg_Hivatal'!J57-'29._Hivatal_önként'!J57</f>
        <v>98215516</v>
      </c>
      <c r="K57" s="324">
        <f>'6.Polg_Hivatal'!K57-'29._Hivatal_önként'!K57</f>
        <v>0</v>
      </c>
      <c r="L57" s="324">
        <f>'6.Polg_Hivatal'!L57-'29._Hivatal_önként'!L57</f>
        <v>62.528502078282678</v>
      </c>
    </row>
    <row r="58" spans="1:12" ht="12.2" customHeight="1" x14ac:dyDescent="0.2">
      <c r="A58" s="1037" t="s">
        <v>90</v>
      </c>
      <c r="B58" s="330" t="s">
        <v>80</v>
      </c>
      <c r="C58" s="339"/>
      <c r="D58" s="323"/>
      <c r="E58" s="107"/>
      <c r="F58" s="107"/>
      <c r="G58" s="107"/>
      <c r="H58" s="324">
        <f t="shared" si="3"/>
        <v>0</v>
      </c>
      <c r="I58" s="503"/>
      <c r="J58" s="324"/>
      <c r="K58" s="324"/>
      <c r="L58" s="324"/>
    </row>
    <row r="59" spans="1:12" ht="12.2" customHeight="1" x14ac:dyDescent="0.2">
      <c r="A59" s="1037" t="s">
        <v>147</v>
      </c>
      <c r="B59" s="330" t="s">
        <v>88</v>
      </c>
      <c r="C59" s="339"/>
      <c r="D59" s="323"/>
      <c r="E59" s="107"/>
      <c r="F59" s="107"/>
      <c r="G59" s="107"/>
      <c r="H59" s="324">
        <f t="shared" si="3"/>
        <v>0</v>
      </c>
      <c r="I59" s="503"/>
      <c r="J59" s="324"/>
      <c r="K59" s="324"/>
      <c r="L59" s="324"/>
    </row>
    <row r="60" spans="1:12" ht="12.2" customHeight="1" x14ac:dyDescent="0.2">
      <c r="A60" s="1037" t="s">
        <v>306</v>
      </c>
      <c r="B60" s="521" t="s">
        <v>235</v>
      </c>
      <c r="C60" s="339"/>
      <c r="D60" s="323"/>
      <c r="E60" s="107"/>
      <c r="F60" s="107"/>
      <c r="G60" s="107"/>
      <c r="H60" s="324">
        <f t="shared" si="3"/>
        <v>0</v>
      </c>
      <c r="I60" s="503"/>
      <c r="J60" s="324"/>
      <c r="K60" s="324"/>
      <c r="L60" s="324"/>
    </row>
    <row r="61" spans="1:12" ht="12.2" customHeight="1" thickBot="1" x14ac:dyDescent="0.25">
      <c r="A61" s="84" t="s">
        <v>307</v>
      </c>
      <c r="B61" s="85" t="s">
        <v>234</v>
      </c>
      <c r="C61" s="92"/>
      <c r="D61" s="190">
        <f>'6.Polg_Hivatal'!D61-'29._Hivatal_önként'!D61</f>
        <v>0</v>
      </c>
      <c r="E61" s="593"/>
      <c r="F61" s="593"/>
      <c r="G61" s="593"/>
      <c r="H61" s="61">
        <f t="shared" si="3"/>
        <v>0</v>
      </c>
      <c r="I61" s="178"/>
      <c r="J61" s="61"/>
      <c r="K61" s="61"/>
      <c r="L61" s="61"/>
    </row>
    <row r="62" spans="1:12" ht="12.2" customHeight="1" thickBot="1" x14ac:dyDescent="0.25">
      <c r="A62" s="55" t="s">
        <v>13</v>
      </c>
      <c r="B62" s="56" t="s">
        <v>548</v>
      </c>
      <c r="C62" s="89"/>
      <c r="D62" s="127">
        <f>SUM(D63:D67)</f>
        <v>0</v>
      </c>
      <c r="E62" s="582">
        <f t="shared" ref="E62:L62" si="4">SUM(E63:E67)</f>
        <v>0</v>
      </c>
      <c r="F62" s="582">
        <f t="shared" si="4"/>
        <v>0</v>
      </c>
      <c r="G62" s="582">
        <f t="shared" si="4"/>
        <v>0</v>
      </c>
      <c r="H62" s="48">
        <f t="shared" si="3"/>
        <v>0</v>
      </c>
      <c r="I62" s="175">
        <f t="shared" si="4"/>
        <v>0</v>
      </c>
      <c r="J62" s="48">
        <f t="shared" si="4"/>
        <v>0</v>
      </c>
      <c r="K62" s="48">
        <f t="shared" si="4"/>
        <v>0</v>
      </c>
      <c r="L62" s="48">
        <f t="shared" si="4"/>
        <v>0</v>
      </c>
    </row>
    <row r="63" spans="1:12" s="31" customFormat="1" ht="12.2" customHeight="1" x14ac:dyDescent="0.2">
      <c r="A63" s="1037" t="s">
        <v>94</v>
      </c>
      <c r="B63" s="17" t="s">
        <v>119</v>
      </c>
      <c r="C63" s="122"/>
      <c r="D63" s="189"/>
      <c r="E63" s="586"/>
      <c r="F63" s="586"/>
      <c r="G63" s="586"/>
      <c r="H63" s="33">
        <f t="shared" si="3"/>
        <v>0</v>
      </c>
      <c r="I63" s="177"/>
      <c r="J63" s="33"/>
      <c r="K63" s="33"/>
      <c r="L63" s="33"/>
    </row>
    <row r="64" spans="1:12" s="31" customFormat="1" ht="12.2" customHeight="1" x14ac:dyDescent="0.2">
      <c r="A64" s="1037" t="s">
        <v>316</v>
      </c>
      <c r="B64" s="522" t="s">
        <v>236</v>
      </c>
      <c r="C64" s="122"/>
      <c r="D64" s="189"/>
      <c r="E64" s="586"/>
      <c r="F64" s="586"/>
      <c r="G64" s="586"/>
      <c r="H64" s="33">
        <f t="shared" si="3"/>
        <v>0</v>
      </c>
      <c r="I64" s="177"/>
      <c r="J64" s="33"/>
      <c r="K64" s="33"/>
      <c r="L64" s="33"/>
    </row>
    <row r="65" spans="1:12" ht="12.2" customHeight="1" x14ac:dyDescent="0.2">
      <c r="A65" s="1037" t="s">
        <v>95</v>
      </c>
      <c r="B65" s="330" t="s">
        <v>2</v>
      </c>
      <c r="C65" s="339"/>
      <c r="D65" s="323"/>
      <c r="E65" s="107"/>
      <c r="F65" s="107"/>
      <c r="G65" s="107"/>
      <c r="H65" s="324">
        <f t="shared" si="3"/>
        <v>0</v>
      </c>
      <c r="I65" s="503"/>
      <c r="J65" s="324"/>
      <c r="K65" s="324"/>
      <c r="L65" s="324"/>
    </row>
    <row r="66" spans="1:12" ht="12.2" customHeight="1" x14ac:dyDescent="0.2">
      <c r="A66" s="1037" t="s">
        <v>342</v>
      </c>
      <c r="B66" s="523" t="s">
        <v>237</v>
      </c>
      <c r="C66" s="339"/>
      <c r="D66" s="323"/>
      <c r="E66" s="107"/>
      <c r="F66" s="107"/>
      <c r="G66" s="107"/>
      <c r="H66" s="324">
        <f t="shared" si="3"/>
        <v>0</v>
      </c>
      <c r="I66" s="503"/>
      <c r="J66" s="324"/>
      <c r="K66" s="324"/>
      <c r="L66" s="324"/>
    </row>
    <row r="67" spans="1:12" ht="12.2" customHeight="1" x14ac:dyDescent="0.2">
      <c r="A67" s="1037" t="s">
        <v>96</v>
      </c>
      <c r="B67" s="17" t="s">
        <v>175</v>
      </c>
      <c r="C67" s="339"/>
      <c r="D67" s="323"/>
      <c r="E67" s="107"/>
      <c r="F67" s="107"/>
      <c r="G67" s="107"/>
      <c r="H67" s="324">
        <f t="shared" si="3"/>
        <v>0</v>
      </c>
      <c r="I67" s="503"/>
      <c r="J67" s="324"/>
      <c r="K67" s="324"/>
      <c r="L67" s="324"/>
    </row>
    <row r="68" spans="1:12" ht="12.2" customHeight="1" x14ac:dyDescent="0.2">
      <c r="A68" s="1037" t="s">
        <v>317</v>
      </c>
      <c r="B68" s="521" t="s">
        <v>239</v>
      </c>
      <c r="C68" s="339"/>
      <c r="D68" s="323"/>
      <c r="E68" s="107"/>
      <c r="F68" s="107"/>
      <c r="G68" s="107"/>
      <c r="H68" s="324">
        <f t="shared" si="3"/>
        <v>0</v>
      </c>
      <c r="I68" s="503"/>
      <c r="J68" s="324"/>
      <c r="K68" s="324"/>
      <c r="L68" s="324"/>
    </row>
    <row r="69" spans="1:12" ht="12.2" customHeight="1" thickBot="1" x14ac:dyDescent="0.25">
      <c r="A69" s="84" t="s">
        <v>318</v>
      </c>
      <c r="B69" s="85" t="s">
        <v>238</v>
      </c>
      <c r="C69" s="92"/>
      <c r="D69" s="323"/>
      <c r="E69" s="107"/>
      <c r="F69" s="107"/>
      <c r="G69" s="107"/>
      <c r="H69" s="324">
        <f t="shared" si="3"/>
        <v>0</v>
      </c>
      <c r="I69" s="503"/>
      <c r="J69" s="324"/>
      <c r="K69" s="324"/>
      <c r="L69" s="324"/>
    </row>
    <row r="70" spans="1:12" ht="15" customHeight="1" thickBot="1" x14ac:dyDescent="0.25">
      <c r="A70" s="55" t="s">
        <v>14</v>
      </c>
      <c r="B70" s="67" t="s">
        <v>176</v>
      </c>
      <c r="C70" s="135"/>
      <c r="D70" s="134">
        <f>+D53+D62</f>
        <v>0</v>
      </c>
      <c r="E70" s="592">
        <f t="shared" ref="E70:L70" si="5">+E53+E62</f>
        <v>0</v>
      </c>
      <c r="F70" s="592">
        <f t="shared" si="5"/>
        <v>0</v>
      </c>
      <c r="G70" s="592">
        <f t="shared" si="5"/>
        <v>0</v>
      </c>
      <c r="H70" s="68">
        <f t="shared" si="3"/>
        <v>0</v>
      </c>
      <c r="I70" s="176">
        <f t="shared" si="5"/>
        <v>0</v>
      </c>
      <c r="J70" s="68">
        <f t="shared" si="5"/>
        <v>472145260</v>
      </c>
      <c r="K70" s="68">
        <f t="shared" si="5"/>
        <v>0</v>
      </c>
      <c r="L70" s="68">
        <f t="shared" si="5"/>
        <v>202.13507878933029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634" t="s">
        <v>292</v>
      </c>
      <c r="B72" s="636"/>
      <c r="C72" s="136"/>
      <c r="D72" s="635"/>
      <c r="E72" s="520"/>
      <c r="F72" s="520"/>
      <c r="G72" s="520"/>
      <c r="H72" s="174">
        <f t="shared" si="3"/>
        <v>0</v>
      </c>
      <c r="I72" s="174">
        <f>'6.Polg_Hivatal'!I72-'29._Hivatal_önként'!I72</f>
        <v>0</v>
      </c>
      <c r="J72" s="174">
        <f>'6.Polg_Hivatal'!J72-'29._Hivatal_önként'!J72</f>
        <v>64</v>
      </c>
      <c r="K72" s="174">
        <f>'6.Polg_Hivatal'!K72-'29._Hivatal_önként'!K72</f>
        <v>0</v>
      </c>
      <c r="L72" s="174">
        <f>'6.Polg_Hivatal'!L72-'29._Hivatal_önként'!L72</f>
        <v>91.428571428571431</v>
      </c>
    </row>
    <row r="73" spans="1:12" ht="14.25" hidden="1" customHeight="1" thickBot="1" x14ac:dyDescent="0.25">
      <c r="A73" s="69" t="s">
        <v>291</v>
      </c>
      <c r="B73" s="70"/>
      <c r="C73" s="609"/>
      <c r="D73" s="639">
        <f>'6.Polg_Hivatal'!D73-'29._Hivatal_önként'!D73</f>
        <v>0</v>
      </c>
      <c r="E73" s="607">
        <f>'6.Polg_Hivatal'!E73-'29._Hivatal_önként'!E73</f>
        <v>0</v>
      </c>
      <c r="F73" s="607">
        <f>'6.Polg_Hivatal'!F73-'29._Hivatal_önként'!F73</f>
        <v>0</v>
      </c>
      <c r="G73" s="607">
        <f>'6.Polg_Hivatal'!G73-'29._Hivatal_önként'!G73</f>
        <v>0</v>
      </c>
      <c r="H73" s="609">
        <f t="shared" ref="H73" si="6">+D73-C73</f>
        <v>0</v>
      </c>
      <c r="I73" s="609">
        <f>'6.Polg_Hivatal'!I73-'29._Hivatal_önként'!I73</f>
        <v>0</v>
      </c>
      <c r="J73" s="609">
        <f>'6.Polg_Hivatal'!J73-'29._Hivatal_önként'!J73</f>
        <v>0</v>
      </c>
      <c r="K73" s="609">
        <f>'6.Polg_Hivatal'!K73-'29._Hivatal_önként'!K73</f>
        <v>0</v>
      </c>
      <c r="L73" s="609">
        <f>'6.Polg_Hivatal'!L73-'29._Hivatal_önként'!L73</f>
        <v>0</v>
      </c>
    </row>
    <row r="74" spans="1:12" x14ac:dyDescent="0.2">
      <c r="D74" s="163"/>
      <c r="E74" s="163"/>
      <c r="F74" s="163"/>
      <c r="G74" s="163"/>
      <c r="H74" s="163"/>
      <c r="I74" s="163"/>
      <c r="J74" s="163"/>
      <c r="K74" s="163"/>
      <c r="L74" s="163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6"/>
  <sheetViews>
    <sheetView view="pageBreakPreview" zoomScale="112" zoomScaleNormal="142" zoomScaleSheetLayoutView="112" workbookViewId="0">
      <selection activeCell="M34" sqref="M34"/>
    </sheetView>
  </sheetViews>
  <sheetFormatPr defaultColWidth="9.33203125" defaultRowHeight="12.75" x14ac:dyDescent="0.2"/>
  <cols>
    <col min="1" max="1" width="6.83203125" style="170" customWidth="1"/>
    <col min="2" max="2" width="51.1640625" style="19" customWidth="1"/>
    <col min="3" max="3" width="13.83203125" style="18" customWidth="1"/>
    <col min="4" max="4" width="15.83203125" style="18" hidden="1" customWidth="1"/>
    <col min="5" max="6" width="14.1640625" style="18" customWidth="1"/>
    <col min="7" max="7" width="16.83203125" style="18" hidden="1" customWidth="1"/>
    <col min="8" max="8" width="15" style="18" hidden="1" customWidth="1"/>
    <col min="9" max="9" width="16.83203125" style="18" hidden="1" customWidth="1"/>
    <col min="10" max="10" width="14" style="18" customWidth="1"/>
    <col min="11" max="11" width="16.83203125" style="18" hidden="1" customWidth="1"/>
    <col min="12" max="12" width="9" style="18" customWidth="1"/>
    <col min="13" max="13" width="47.1640625" style="18" customWidth="1"/>
    <col min="14" max="14" width="14.5" style="18" customWidth="1"/>
    <col min="15" max="15" width="15.83203125" style="18" hidden="1" customWidth="1"/>
    <col min="16" max="16" width="15" style="18" customWidth="1"/>
    <col min="17" max="17" width="14" style="18" customWidth="1"/>
    <col min="18" max="18" width="16.83203125" style="18" hidden="1" customWidth="1"/>
    <col min="19" max="19" width="15.6640625" style="18" hidden="1" customWidth="1"/>
    <col min="20" max="20" width="16.83203125" style="18" hidden="1" customWidth="1"/>
    <col min="21" max="21" width="12.83203125" style="18" customWidth="1"/>
    <col min="22" max="22" width="16.83203125" style="18" hidden="1" customWidth="1"/>
    <col min="23" max="23" width="8.83203125" style="150" customWidth="1"/>
    <col min="24" max="24" width="2.33203125" style="18" customWidth="1"/>
    <col min="25" max="26" width="2.83203125" style="18" customWidth="1"/>
    <col min="27" max="27" width="3.83203125" style="18" customWidth="1"/>
    <col min="28" max="16384" width="9.33203125" style="18"/>
  </cols>
  <sheetData>
    <row r="1" spans="1:25" ht="35.1" customHeight="1" x14ac:dyDescent="0.2">
      <c r="A1" s="1792" t="s">
        <v>247</v>
      </c>
      <c r="B1" s="1792"/>
      <c r="C1" s="1792"/>
      <c r="D1" s="1792"/>
      <c r="E1" s="1792"/>
      <c r="F1" s="1792"/>
      <c r="G1" s="1792"/>
      <c r="H1" s="1792"/>
      <c r="I1" s="1792"/>
      <c r="J1" s="1792"/>
      <c r="K1" s="1792"/>
      <c r="L1" s="1792"/>
      <c r="M1" s="1792"/>
      <c r="N1" s="1792"/>
      <c r="O1" s="1792"/>
      <c r="P1" s="1792"/>
      <c r="Q1" s="1792"/>
      <c r="R1" s="1792"/>
      <c r="S1" s="1792"/>
      <c r="T1" s="1792"/>
      <c r="U1" s="1792"/>
      <c r="V1" s="1792"/>
      <c r="W1" s="1792"/>
      <c r="X1" s="87"/>
      <c r="Y1" s="1789" t="s">
        <v>815</v>
      </c>
    </row>
    <row r="2" spans="1:25" ht="15" customHeight="1" x14ac:dyDescent="0.2">
      <c r="B2" s="18"/>
      <c r="W2" s="18"/>
      <c r="X2" s="87"/>
      <c r="Y2" s="1789"/>
    </row>
    <row r="3" spans="1:25" ht="15" customHeight="1" thickBot="1" x14ac:dyDescent="0.25">
      <c r="A3" s="1780" t="s">
        <v>362</v>
      </c>
      <c r="B3" s="1780"/>
      <c r="C3" s="1780"/>
      <c r="D3" s="1780"/>
      <c r="E3" s="1780"/>
      <c r="F3" s="1780"/>
      <c r="G3" s="1780"/>
      <c r="H3" s="1780"/>
      <c r="I3" s="1780"/>
      <c r="J3" s="1780"/>
      <c r="K3" s="1780"/>
      <c r="L3" s="1780"/>
      <c r="M3" s="1780"/>
      <c r="N3" s="1780"/>
      <c r="O3" s="1780"/>
      <c r="P3" s="1780"/>
      <c r="Q3" s="1780"/>
      <c r="R3" s="1780"/>
      <c r="S3" s="1780"/>
      <c r="T3" s="1780"/>
      <c r="U3" s="1780"/>
      <c r="V3" s="1780"/>
      <c r="W3" s="1780"/>
      <c r="X3" s="87"/>
      <c r="Y3" s="1789"/>
    </row>
    <row r="4" spans="1:25" s="1131" customFormat="1" ht="17.100000000000001" customHeight="1" thickBot="1" x14ac:dyDescent="0.25">
      <c r="A4" s="1790" t="s">
        <v>120</v>
      </c>
      <c r="B4" s="1781" t="s">
        <v>37</v>
      </c>
      <c r="C4" s="1782"/>
      <c r="D4" s="1782"/>
      <c r="E4" s="1782"/>
      <c r="F4" s="1782"/>
      <c r="G4" s="1782"/>
      <c r="H4" s="1782"/>
      <c r="I4" s="1782"/>
      <c r="J4" s="1782"/>
      <c r="K4" s="1782"/>
      <c r="L4" s="1783"/>
      <c r="M4" s="1781" t="s">
        <v>38</v>
      </c>
      <c r="N4" s="1782"/>
      <c r="O4" s="1782"/>
      <c r="P4" s="1782"/>
      <c r="Q4" s="1782"/>
      <c r="R4" s="1782"/>
      <c r="S4" s="1782"/>
      <c r="T4" s="1782"/>
      <c r="U4" s="1782"/>
      <c r="V4" s="1782"/>
      <c r="W4" s="1783"/>
      <c r="X4" s="101"/>
      <c r="Y4" s="1789"/>
    </row>
    <row r="5" spans="1:25" s="93" customFormat="1" ht="60.75" customHeight="1" thickBot="1" x14ac:dyDescent="0.25">
      <c r="A5" s="1791"/>
      <c r="B5" s="20" t="s">
        <v>84</v>
      </c>
      <c r="C5" s="21" t="str">
        <f>'1. mell.bevétel_össz'!C8</f>
        <v>2023. évi eredeti előirányzat
2/2023. (II.14.)</v>
      </c>
      <c r="D5" s="21" t="str">
        <f>'1. mell.bevétel_össz'!D8</f>
        <v>Módosított előirányzat a 14/2023.  (VI.29.)  rendelet szerint</v>
      </c>
      <c r="E5" s="21" t="str">
        <f>'1. mell.bevétel_össz'!E8</f>
        <v>Módosított előirányzat a 18/2023. (IX.26.)  rendelet szerint</v>
      </c>
      <c r="F5" s="21" t="str">
        <f>'1. mell.bevétel_össz'!F8</f>
        <v>Módosított előirányzat 2023.09.30-án</v>
      </c>
      <c r="G5" s="21" t="str">
        <f>'1. mell.bevétel_össz'!G8</f>
        <v>Módosított előirányzat a …../2023. (II…..)  rendelet szerint</v>
      </c>
      <c r="H5" s="21" t="str">
        <f>'1. mell.bevétel_össz'!H8</f>
        <v>Változás a 14/2023. (VI.29.) rendelethez képest</v>
      </c>
      <c r="I5" s="20" t="str">
        <f>'1. mell.bevétel_össz'!I8</f>
        <v>2023. évi teljesítés              2023.06.30-ig</v>
      </c>
      <c r="J5" s="21" t="str">
        <f>'1. mell.bevétel_össz'!J8</f>
        <v>2023. évi teljesítés              2023.09.30-ig</v>
      </c>
      <c r="K5" s="21" t="str">
        <f>'1. mell.bevétel_össz'!K8</f>
        <v>2023. évi teljesítés              2023.12.31-ig</v>
      </c>
      <c r="L5" s="32" t="str">
        <f>'1. mell.bevétel_össz'!L8</f>
        <v>Teljesítés %-a</v>
      </c>
      <c r="M5" s="20" t="s">
        <v>84</v>
      </c>
      <c r="N5" s="21" t="str">
        <f>'1. mell.bevétel_össz'!C8</f>
        <v>2023. évi eredeti előirányzat
2/2023. (II.14.)</v>
      </c>
      <c r="O5" s="166" t="str">
        <f>'1. mell.bevétel_össz'!D8</f>
        <v>Módosított előirányzat a 14/2023.  (VI.29.)  rendelet szerint</v>
      </c>
      <c r="P5" s="21" t="str">
        <f>'1. mell.bevétel_össz'!E8</f>
        <v>Módosított előirányzat a 18/2023. (IX.26.)  rendelet szerint</v>
      </c>
      <c r="Q5" s="21" t="str">
        <f>'1. mell.bevétel_össz'!F8</f>
        <v>Módosított előirányzat 2023.09.30-án</v>
      </c>
      <c r="R5" s="21" t="str">
        <f>'1. mell.bevétel_össz'!G8</f>
        <v>Módosított előirányzat a …../2023. (II…..)  rendelet szerint</v>
      </c>
      <c r="S5" s="32" t="str">
        <f>'1. mell.bevétel_össz'!H8</f>
        <v>Változás a 14/2023. (VI.29.) rendelethez képest</v>
      </c>
      <c r="T5" s="166" t="str">
        <f>'1. mell.bevétel_össz'!I8</f>
        <v>2023. évi teljesítés              2023.06.30-ig</v>
      </c>
      <c r="U5" s="21" t="str">
        <f>'1. mell.bevétel_össz'!J8</f>
        <v>2023. évi teljesítés              2023.09.30-ig</v>
      </c>
      <c r="V5" s="21" t="str">
        <f>'1. mell.bevétel_össz'!K8</f>
        <v>2023. évi teljesítés              2023.12.31-ig</v>
      </c>
      <c r="W5" s="149" t="str">
        <f>'1. mell.bevétel_össz'!L8</f>
        <v>Teljesítés %-a</v>
      </c>
      <c r="Y5" s="1789"/>
    </row>
    <row r="6" spans="1:25" s="93" customFormat="1" ht="17.100000000000001" customHeight="1" thickBot="1" x14ac:dyDescent="0.25">
      <c r="A6" s="1323" t="s">
        <v>297</v>
      </c>
      <c r="B6" s="641" t="s">
        <v>298</v>
      </c>
      <c r="C6" s="642" t="s">
        <v>299</v>
      </c>
      <c r="D6" s="642" t="s">
        <v>300</v>
      </c>
      <c r="E6" s="642" t="s">
        <v>300</v>
      </c>
      <c r="F6" s="642" t="s">
        <v>301</v>
      </c>
      <c r="G6" s="642" t="s">
        <v>301</v>
      </c>
      <c r="H6" s="1189" t="s">
        <v>388</v>
      </c>
      <c r="I6" s="1190" t="s">
        <v>299</v>
      </c>
      <c r="J6" s="1191" t="s">
        <v>388</v>
      </c>
      <c r="K6" s="1191" t="s">
        <v>299</v>
      </c>
      <c r="L6" s="1192" t="s">
        <v>424</v>
      </c>
      <c r="M6" s="1190" t="s">
        <v>735</v>
      </c>
      <c r="N6" s="1193" t="s">
        <v>383</v>
      </c>
      <c r="O6" s="1194" t="s">
        <v>383</v>
      </c>
      <c r="P6" s="1191" t="s">
        <v>389</v>
      </c>
      <c r="Q6" s="1191" t="s">
        <v>775</v>
      </c>
      <c r="R6" s="1191" t="s">
        <v>389</v>
      </c>
      <c r="S6" s="1195" t="s">
        <v>775</v>
      </c>
      <c r="T6" s="1194" t="s">
        <v>301</v>
      </c>
      <c r="U6" s="1191" t="s">
        <v>833</v>
      </c>
      <c r="V6" s="1191" t="s">
        <v>301</v>
      </c>
      <c r="W6" s="1192" t="s">
        <v>834</v>
      </c>
      <c r="X6" s="1133"/>
      <c r="Y6" s="1789"/>
    </row>
    <row r="7" spans="1:25" s="1131" customFormat="1" ht="17.100000000000001" customHeight="1" x14ac:dyDescent="0.2">
      <c r="A7" s="505" t="s">
        <v>12</v>
      </c>
      <c r="B7" s="1202" t="s">
        <v>248</v>
      </c>
      <c r="C7" s="1198">
        <f>'1. mell.bevétel_össz'!C24</f>
        <v>0</v>
      </c>
      <c r="D7" s="1198">
        <f>'1. mell.bevétel_össz'!D24</f>
        <v>229697587</v>
      </c>
      <c r="E7" s="1198">
        <f>'1. mell.bevétel_össz'!E24</f>
        <v>229697587</v>
      </c>
      <c r="F7" s="1198">
        <f>'1. mell.bevétel_össz'!F24</f>
        <v>229697587</v>
      </c>
      <c r="G7" s="1198">
        <f>'1. mell.bevétel_össz'!G24</f>
        <v>0</v>
      </c>
      <c r="H7" s="1200">
        <f>+E7-D7</f>
        <v>0</v>
      </c>
      <c r="I7" s="1249">
        <f>'1. mell.bevétel_össz'!I24</f>
        <v>0</v>
      </c>
      <c r="J7" s="1745">
        <f>'1. mell.bevétel_össz'!J24</f>
        <v>229697587</v>
      </c>
      <c r="K7" s="1198">
        <f>'1. mell.bevétel_össz'!K24</f>
        <v>0</v>
      </c>
      <c r="L7" s="1728">
        <f>IF(F7=0,"",J7/F7*100)</f>
        <v>100</v>
      </c>
      <c r="M7" s="1202" t="s">
        <v>119</v>
      </c>
      <c r="N7" s="1198">
        <f>'1.mell.kiadás_össz'!C29</f>
        <v>311524214</v>
      </c>
      <c r="O7" s="1200">
        <f>'1.mell.kiadás_össz'!D29</f>
        <v>430667878</v>
      </c>
      <c r="P7" s="1198">
        <f>'1.mell.kiadás_össz'!E29</f>
        <v>447908996</v>
      </c>
      <c r="Q7" s="1198">
        <f>'1.mell.kiadás_össz'!F29</f>
        <v>447908996</v>
      </c>
      <c r="R7" s="1198">
        <f>'1.mell.kiadás_össz'!G29</f>
        <v>0</v>
      </c>
      <c r="S7" s="1204">
        <f>+P7-O7</f>
        <v>17241118</v>
      </c>
      <c r="T7" s="1200">
        <f>'1.mell.kiadás_össz'!I29</f>
        <v>180603455</v>
      </c>
      <c r="U7" s="1198">
        <f>'1.mell.kiadás_össz'!J29</f>
        <v>274829598</v>
      </c>
      <c r="V7" s="1198">
        <f>'1.mell.kiadás_össz'!K29</f>
        <v>175.50548216442655</v>
      </c>
      <c r="W7" s="1201">
        <f>IF(Q7=0,"",U7/Q7*100)</f>
        <v>61.358356374695369</v>
      </c>
      <c r="X7" s="1250"/>
      <c r="Y7" s="1789"/>
    </row>
    <row r="8" spans="1:25" s="1131" customFormat="1" ht="17.100000000000001" customHeight="1" x14ac:dyDescent="0.2">
      <c r="A8" s="410" t="s">
        <v>91</v>
      </c>
      <c r="B8" s="1251" t="s">
        <v>338</v>
      </c>
      <c r="C8" s="1207">
        <f>'1. mell.bevétel_össz'!C29</f>
        <v>0</v>
      </c>
      <c r="D8" s="1207">
        <f>'1. mell.bevétel_össz'!D29</f>
        <v>229697587</v>
      </c>
      <c r="E8" s="1207">
        <f>'1. mell.bevétel_össz'!E29</f>
        <v>229697587</v>
      </c>
      <c r="F8" s="1207">
        <f>'1. mell.bevétel_össz'!F29</f>
        <v>229697587</v>
      </c>
      <c r="G8" s="1207">
        <f>'1. mell.bevétel_össz'!G29</f>
        <v>0</v>
      </c>
      <c r="H8" s="1209">
        <f t="shared" ref="H8:H27" si="0">+E8-D8</f>
        <v>0</v>
      </c>
      <c r="I8" s="1252">
        <f>'1. mell.bevétel_össz'!I29</f>
        <v>0</v>
      </c>
      <c r="J8" s="1746">
        <f>'1. mell.bevétel_össz'!J29</f>
        <v>229697587</v>
      </c>
      <c r="K8" s="1207">
        <f>'1. mell.bevétel_össz'!K29</f>
        <v>0</v>
      </c>
      <c r="L8" s="1729">
        <f t="shared" ref="L8:L29" si="1">IF(F8=0,"",J8/F8*100)</f>
        <v>100</v>
      </c>
      <c r="M8" s="1251" t="s">
        <v>341</v>
      </c>
      <c r="N8" s="1207">
        <f>'1.mell.kiadás_össz'!C30</f>
        <v>131957503</v>
      </c>
      <c r="O8" s="1209">
        <f>'1.mell.kiadás_össz'!D30</f>
        <v>188851803</v>
      </c>
      <c r="P8" s="1207">
        <f>'1.mell.kiadás_össz'!E30</f>
        <v>188851803</v>
      </c>
      <c r="Q8" s="1207">
        <f>'1.mell.kiadás_össz'!F30</f>
        <v>188851803</v>
      </c>
      <c r="R8" s="1207">
        <f>'1.mell.kiadás_össz'!G30</f>
        <v>0</v>
      </c>
      <c r="S8" s="1253">
        <f t="shared" ref="S8:S27" si="2">+P8-O8</f>
        <v>0</v>
      </c>
      <c r="T8" s="1209">
        <f>'1.mell.kiadás_össz'!I30</f>
        <v>0</v>
      </c>
      <c r="U8" s="1207">
        <f>'1.mell.kiadás_össz'!J30</f>
        <v>131957503</v>
      </c>
      <c r="V8" s="1207">
        <f>'1.mell.kiadás_össz'!K30</f>
        <v>0</v>
      </c>
      <c r="W8" s="1210">
        <f t="shared" ref="W8:W29" si="3">IF(Q8=0,"",U8/Q8*100)</f>
        <v>69.87357330128323</v>
      </c>
      <c r="X8" s="1250"/>
      <c r="Y8" s="1789"/>
    </row>
    <row r="9" spans="1:25" s="1131" customFormat="1" ht="17.100000000000001" customHeight="1" x14ac:dyDescent="0.2">
      <c r="A9" s="410" t="s">
        <v>13</v>
      </c>
      <c r="B9" s="1197" t="s">
        <v>249</v>
      </c>
      <c r="C9" s="1207">
        <f>'1. mell.bevétel_össz'!C52</f>
        <v>57720000</v>
      </c>
      <c r="D9" s="1207">
        <f>'1. mell.bevétel_össz'!D52</f>
        <v>57720000</v>
      </c>
      <c r="E9" s="1207">
        <f>'1. mell.bevétel_össz'!E52</f>
        <v>57720000</v>
      </c>
      <c r="F9" s="1207">
        <f>'1. mell.bevétel_össz'!F52</f>
        <v>57720000</v>
      </c>
      <c r="G9" s="1207">
        <f>'1. mell.bevétel_össz'!G52</f>
        <v>0</v>
      </c>
      <c r="H9" s="1209">
        <f t="shared" si="0"/>
        <v>0</v>
      </c>
      <c r="I9" s="1252">
        <f>'1. mell.bevétel_össz'!I52</f>
        <v>0</v>
      </c>
      <c r="J9" s="1746">
        <f>'1. mell.bevétel_össz'!J52</f>
        <v>41214583</v>
      </c>
      <c r="K9" s="1207">
        <f>'1. mell.bevétel_össz'!K52</f>
        <v>0</v>
      </c>
      <c r="L9" s="1729">
        <f t="shared" si="1"/>
        <v>71.404336451836443</v>
      </c>
      <c r="M9" s="1197" t="s">
        <v>2</v>
      </c>
      <c r="N9" s="1207">
        <f>'1.mell.kiadás_össz'!C31</f>
        <v>428020591</v>
      </c>
      <c r="O9" s="1209">
        <f>'1.mell.kiadás_össz'!D31</f>
        <v>642682133</v>
      </c>
      <c r="P9" s="1207">
        <f>'1.mell.kiadás_össz'!E31</f>
        <v>653163721</v>
      </c>
      <c r="Q9" s="1207">
        <f>'1.mell.kiadás_össz'!F31</f>
        <v>653163721</v>
      </c>
      <c r="R9" s="1207">
        <f>'1.mell.kiadás_össz'!G31</f>
        <v>0</v>
      </c>
      <c r="S9" s="1253">
        <f t="shared" si="2"/>
        <v>10481588</v>
      </c>
      <c r="T9" s="1209">
        <f>'1.mell.kiadás_össz'!I31</f>
        <v>0</v>
      </c>
      <c r="U9" s="1207">
        <f>'1.mell.kiadás_össz'!J31</f>
        <v>121829731</v>
      </c>
      <c r="V9" s="1207" t="e">
        <f>'1.mell.kiadás_össz'!K31</f>
        <v>#VALUE!</v>
      </c>
      <c r="W9" s="1210">
        <f t="shared" si="3"/>
        <v>18.652250130101759</v>
      </c>
      <c r="X9" s="1250"/>
      <c r="Y9" s="1789"/>
    </row>
    <row r="10" spans="1:25" s="1131" customFormat="1" ht="17.100000000000001" customHeight="1" x14ac:dyDescent="0.2">
      <c r="A10" s="506" t="s">
        <v>14</v>
      </c>
      <c r="B10" s="1197" t="s">
        <v>250</v>
      </c>
      <c r="C10" s="1207">
        <f>'1. mell.bevétel_össz'!C62</f>
        <v>154098503</v>
      </c>
      <c r="D10" s="1207">
        <f>'1. mell.bevétel_össz'!D62</f>
        <v>154098503</v>
      </c>
      <c r="E10" s="1207">
        <f>'1. mell.bevétel_össz'!E62</f>
        <v>158540490</v>
      </c>
      <c r="F10" s="1207">
        <f>'1. mell.bevétel_össz'!F62</f>
        <v>158540490</v>
      </c>
      <c r="G10" s="1207">
        <f>'1. mell.bevétel_össz'!G62</f>
        <v>0</v>
      </c>
      <c r="H10" s="1209">
        <f t="shared" si="0"/>
        <v>4441987</v>
      </c>
      <c r="I10" s="1252">
        <f>'1. mell.bevétel_össz'!I62</f>
        <v>0</v>
      </c>
      <c r="J10" s="1746">
        <f>'1. mell.bevétel_össz'!J62</f>
        <v>158776896</v>
      </c>
      <c r="K10" s="1207">
        <f>'1. mell.bevétel_össz'!K62</f>
        <v>0</v>
      </c>
      <c r="L10" s="1729">
        <f t="shared" si="1"/>
        <v>100.14911395820714</v>
      </c>
      <c r="M10" s="1251" t="s">
        <v>340</v>
      </c>
      <c r="N10" s="1207">
        <f>'1.mell.kiadás_össz'!C32</f>
        <v>0</v>
      </c>
      <c r="O10" s="1209">
        <f>'1.mell.kiadás_össz'!D32</f>
        <v>172803287</v>
      </c>
      <c r="P10" s="1207">
        <f>'1.mell.kiadás_össz'!E32</f>
        <v>172803287</v>
      </c>
      <c r="Q10" s="1207">
        <f>'1.mell.kiadás_össz'!F32</f>
        <v>172803287</v>
      </c>
      <c r="R10" s="1207">
        <f>'1.mell.kiadás_össz'!G32</f>
        <v>0</v>
      </c>
      <c r="S10" s="1253">
        <f t="shared" si="2"/>
        <v>0</v>
      </c>
      <c r="T10" s="1209">
        <f>'1.mell.kiadás_össz'!I32</f>
        <v>0</v>
      </c>
      <c r="U10" s="1207">
        <f>'1.mell.kiadás_össz'!J32</f>
        <v>0</v>
      </c>
      <c r="V10" s="1207">
        <f>'1.mell.kiadás_össz'!K32</f>
        <v>0</v>
      </c>
      <c r="W10" s="1210">
        <f t="shared" si="3"/>
        <v>0</v>
      </c>
      <c r="X10" s="1250"/>
      <c r="Y10" s="1789"/>
    </row>
    <row r="11" spans="1:25" s="1131" customFormat="1" ht="17.100000000000001" customHeight="1" x14ac:dyDescent="0.2">
      <c r="A11" s="410" t="s">
        <v>98</v>
      </c>
      <c r="B11" s="1251" t="s">
        <v>339</v>
      </c>
      <c r="C11" s="1207">
        <f>'1. mell.bevétel_össz'!C65</f>
        <v>131957503</v>
      </c>
      <c r="D11" s="1207">
        <f>'1. mell.bevétel_össz'!D65</f>
        <v>131957503</v>
      </c>
      <c r="E11" s="1207">
        <f>'1. mell.bevétel_össz'!E65</f>
        <v>136399490</v>
      </c>
      <c r="F11" s="1207">
        <f>'1. mell.bevétel_össz'!F65</f>
        <v>136399490</v>
      </c>
      <c r="G11" s="1207">
        <f>'1. mell.bevétel_össz'!G65</f>
        <v>0</v>
      </c>
      <c r="H11" s="1209">
        <f t="shared" si="0"/>
        <v>4441987</v>
      </c>
      <c r="I11" s="1252">
        <f>'1. mell.bevétel_össz'!I65</f>
        <v>0</v>
      </c>
      <c r="J11" s="1746">
        <f>'1. mell.bevétel_össz'!J65</f>
        <v>136399490</v>
      </c>
      <c r="K11" s="1207">
        <f>'1. mell.bevétel_össz'!K65</f>
        <v>0</v>
      </c>
      <c r="L11" s="1729">
        <f t="shared" si="1"/>
        <v>100</v>
      </c>
      <c r="M11" s="1197" t="s">
        <v>268</v>
      </c>
      <c r="N11" s="1207">
        <f>'1.mell.kiadás_össz'!C33</f>
        <v>383500000</v>
      </c>
      <c r="O11" s="1209">
        <f>'1.mell.kiadás_össz'!D33</f>
        <v>614985000</v>
      </c>
      <c r="P11" s="1207">
        <f>'1.mell.kiadás_össz'!E33</f>
        <v>687985000</v>
      </c>
      <c r="Q11" s="1207">
        <f>'1.mell.kiadás_össz'!F33</f>
        <v>687985000</v>
      </c>
      <c r="R11" s="1207">
        <f>'1.mell.kiadás_össz'!G33</f>
        <v>0</v>
      </c>
      <c r="S11" s="1253">
        <f>+P11-O11</f>
        <v>73000000</v>
      </c>
      <c r="T11" s="1209">
        <f>'1.mell.kiadás_össz'!I33</f>
        <v>30000000</v>
      </c>
      <c r="U11" s="1207">
        <f>'1.mell.kiadás_össz'!J33</f>
        <v>505525756</v>
      </c>
      <c r="V11" s="1207">
        <f>'1.mell.kiadás_össz'!K33</f>
        <v>0</v>
      </c>
      <c r="W11" s="1210">
        <f t="shared" si="3"/>
        <v>73.479182831021035</v>
      </c>
      <c r="X11" s="1250"/>
      <c r="Y11" s="1789"/>
    </row>
    <row r="12" spans="1:25" s="1131" customFormat="1" ht="17.100000000000001" customHeight="1" x14ac:dyDescent="0.2">
      <c r="A12" s="410" t="s">
        <v>15</v>
      </c>
      <c r="B12" s="1197" t="s">
        <v>251</v>
      </c>
      <c r="C12" s="1254"/>
      <c r="D12" s="1207"/>
      <c r="E12" s="1207"/>
      <c r="F12" s="1207"/>
      <c r="G12" s="1207"/>
      <c r="H12" s="1209">
        <f t="shared" si="0"/>
        <v>0</v>
      </c>
      <c r="I12" s="1252"/>
      <c r="J12" s="1746"/>
      <c r="K12" s="1207"/>
      <c r="L12" s="1729" t="str">
        <f t="shared" si="1"/>
        <v/>
      </c>
      <c r="M12" s="1219"/>
      <c r="N12" s="1207"/>
      <c r="O12" s="1209"/>
      <c r="P12" s="1207"/>
      <c r="Q12" s="1207"/>
      <c r="R12" s="1207"/>
      <c r="S12" s="1253">
        <f t="shared" si="2"/>
        <v>0</v>
      </c>
      <c r="T12" s="1209"/>
      <c r="U12" s="1207"/>
      <c r="V12" s="1207"/>
      <c r="W12" s="1210" t="str">
        <f t="shared" si="3"/>
        <v/>
      </c>
      <c r="X12" s="1250"/>
      <c r="Y12" s="1789"/>
    </row>
    <row r="13" spans="1:25" s="1131" customFormat="1" ht="17.100000000000001" customHeight="1" x14ac:dyDescent="0.2">
      <c r="A13" s="506" t="s">
        <v>16</v>
      </c>
      <c r="B13" s="1219"/>
      <c r="C13" s="1207"/>
      <c r="D13" s="1207"/>
      <c r="E13" s="1207"/>
      <c r="F13" s="1207"/>
      <c r="G13" s="1207"/>
      <c r="H13" s="1209">
        <f t="shared" si="0"/>
        <v>0</v>
      </c>
      <c r="I13" s="1252"/>
      <c r="J13" s="1746"/>
      <c r="K13" s="1207"/>
      <c r="L13" s="1729" t="str">
        <f t="shared" si="1"/>
        <v/>
      </c>
      <c r="M13" s="1219"/>
      <c r="N13" s="1207"/>
      <c r="O13" s="1209"/>
      <c r="P13" s="1207"/>
      <c r="Q13" s="1207"/>
      <c r="R13" s="1207"/>
      <c r="S13" s="1253">
        <f t="shared" si="2"/>
        <v>0</v>
      </c>
      <c r="T13" s="1209"/>
      <c r="U13" s="1207"/>
      <c r="V13" s="1207"/>
      <c r="W13" s="1210" t="str">
        <f t="shared" si="3"/>
        <v/>
      </c>
      <c r="X13" s="1250"/>
      <c r="Y13" s="1789"/>
    </row>
    <row r="14" spans="1:25" s="1131" customFormat="1" ht="17.100000000000001" customHeight="1" x14ac:dyDescent="0.2">
      <c r="A14" s="506" t="s">
        <v>17</v>
      </c>
      <c r="B14" s="1219"/>
      <c r="C14" s="1207"/>
      <c r="D14" s="1207"/>
      <c r="E14" s="1207"/>
      <c r="F14" s="1207"/>
      <c r="G14" s="1207"/>
      <c r="H14" s="1209">
        <f t="shared" si="0"/>
        <v>0</v>
      </c>
      <c r="I14" s="1252"/>
      <c r="J14" s="1746"/>
      <c r="K14" s="1207"/>
      <c r="L14" s="1729" t="str">
        <f t="shared" si="1"/>
        <v/>
      </c>
      <c r="M14" s="1219"/>
      <c r="N14" s="1207"/>
      <c r="O14" s="1209"/>
      <c r="P14" s="1207"/>
      <c r="Q14" s="1207"/>
      <c r="R14" s="1207"/>
      <c r="S14" s="1253">
        <f t="shared" si="2"/>
        <v>0</v>
      </c>
      <c r="T14" s="1209"/>
      <c r="U14" s="1207"/>
      <c r="V14" s="1207"/>
      <c r="W14" s="1210" t="str">
        <f t="shared" si="3"/>
        <v/>
      </c>
      <c r="X14" s="1250"/>
      <c r="Y14" s="1789"/>
    </row>
    <row r="15" spans="1:25" s="1131" customFormat="1" ht="17.100000000000001" customHeight="1" x14ac:dyDescent="0.2">
      <c r="A15" s="506" t="s">
        <v>18</v>
      </c>
      <c r="B15" s="1219"/>
      <c r="C15" s="1254"/>
      <c r="D15" s="1207"/>
      <c r="E15" s="1207"/>
      <c r="F15" s="1207"/>
      <c r="G15" s="1207"/>
      <c r="H15" s="1209">
        <f t="shared" si="0"/>
        <v>0</v>
      </c>
      <c r="I15" s="1252"/>
      <c r="J15" s="1746"/>
      <c r="K15" s="1207"/>
      <c r="L15" s="1729" t="str">
        <f t="shared" si="1"/>
        <v/>
      </c>
      <c r="M15" s="1219"/>
      <c r="N15" s="1207"/>
      <c r="O15" s="1209"/>
      <c r="P15" s="1207"/>
      <c r="Q15" s="1207"/>
      <c r="R15" s="1207"/>
      <c r="S15" s="1253">
        <f t="shared" si="2"/>
        <v>0</v>
      </c>
      <c r="T15" s="1209"/>
      <c r="U15" s="1207"/>
      <c r="V15" s="1207"/>
      <c r="W15" s="1210" t="str">
        <f t="shared" si="3"/>
        <v/>
      </c>
      <c r="X15" s="1250"/>
      <c r="Y15" s="1789"/>
    </row>
    <row r="16" spans="1:25" s="1131" customFormat="1" ht="17.100000000000001" customHeight="1" x14ac:dyDescent="0.2">
      <c r="A16" s="506" t="s">
        <v>19</v>
      </c>
      <c r="B16" s="1219"/>
      <c r="C16" s="1254"/>
      <c r="D16" s="1207"/>
      <c r="E16" s="1207"/>
      <c r="F16" s="1207"/>
      <c r="G16" s="1207"/>
      <c r="H16" s="1209">
        <f t="shared" si="0"/>
        <v>0</v>
      </c>
      <c r="I16" s="1252"/>
      <c r="J16" s="1746"/>
      <c r="K16" s="1207"/>
      <c r="L16" s="1729" t="str">
        <f t="shared" si="1"/>
        <v/>
      </c>
      <c r="M16" s="1219"/>
      <c r="N16" s="1207"/>
      <c r="O16" s="1209"/>
      <c r="P16" s="1207"/>
      <c r="Q16" s="1207"/>
      <c r="R16" s="1207"/>
      <c r="S16" s="1253">
        <f t="shared" si="2"/>
        <v>0</v>
      </c>
      <c r="T16" s="1209"/>
      <c r="U16" s="1207"/>
      <c r="V16" s="1207"/>
      <c r="W16" s="1210" t="str">
        <f t="shared" si="3"/>
        <v/>
      </c>
      <c r="X16" s="1250"/>
      <c r="Y16" s="1789"/>
    </row>
    <row r="17" spans="1:31" s="1131" customFormat="1" ht="17.100000000000001" customHeight="1" thickBot="1" x14ac:dyDescent="0.25">
      <c r="A17" s="506" t="s">
        <v>20</v>
      </c>
      <c r="B17" s="1255"/>
      <c r="C17" s="1256"/>
      <c r="D17" s="1257"/>
      <c r="E17" s="1257"/>
      <c r="F17" s="1257"/>
      <c r="G17" s="1257"/>
      <c r="H17" s="1258">
        <f t="shared" si="0"/>
        <v>0</v>
      </c>
      <c r="I17" s="1259"/>
      <c r="J17" s="1747"/>
      <c r="K17" s="1257"/>
      <c r="L17" s="1730" t="str">
        <f t="shared" si="1"/>
        <v/>
      </c>
      <c r="M17" s="1260"/>
      <c r="N17" s="1257"/>
      <c r="O17" s="1258"/>
      <c r="P17" s="1257"/>
      <c r="Q17" s="1257"/>
      <c r="R17" s="1257"/>
      <c r="S17" s="1261">
        <f t="shared" si="2"/>
        <v>0</v>
      </c>
      <c r="T17" s="1258"/>
      <c r="U17" s="1257"/>
      <c r="V17" s="1257"/>
      <c r="W17" s="1262" t="str">
        <f t="shared" si="3"/>
        <v/>
      </c>
      <c r="X17" s="1250"/>
      <c r="Y17" s="1789"/>
    </row>
    <row r="18" spans="1:31" s="1131" customFormat="1" ht="17.100000000000001" customHeight="1" thickBot="1" x14ac:dyDescent="0.25">
      <c r="A18" s="507" t="s">
        <v>21</v>
      </c>
      <c r="B18" s="1124" t="s">
        <v>332</v>
      </c>
      <c r="C18" s="1125">
        <f>+C7+C9+C10+C12+C13+C14+C15+C16+C17</f>
        <v>211818503</v>
      </c>
      <c r="D18" s="1125">
        <f t="shared" ref="D18:J18" si="4">+D7+D9+D10+D12+D13+D14+D15+D16+D17</f>
        <v>441516090</v>
      </c>
      <c r="E18" s="1125">
        <f t="shared" si="4"/>
        <v>445958077</v>
      </c>
      <c r="F18" s="1125">
        <f t="shared" si="4"/>
        <v>445958077</v>
      </c>
      <c r="G18" s="1125">
        <f t="shared" si="4"/>
        <v>0</v>
      </c>
      <c r="H18" s="1125">
        <f t="shared" si="4"/>
        <v>4441987</v>
      </c>
      <c r="I18" s="1125">
        <f t="shared" si="4"/>
        <v>0</v>
      </c>
      <c r="J18" s="1748">
        <f t="shared" si="4"/>
        <v>429689066</v>
      </c>
      <c r="K18" s="1125">
        <f>+K7+K9+K10+K12+K13+K14+K15+K16+K17</f>
        <v>0</v>
      </c>
      <c r="L18" s="1731">
        <f t="shared" si="1"/>
        <v>96.351896772574889</v>
      </c>
      <c r="M18" s="1124" t="s">
        <v>333</v>
      </c>
      <c r="N18" s="1125">
        <f>+N7+N9+N11+N12+N13+N14+N15+N16+N17</f>
        <v>1123044805</v>
      </c>
      <c r="O18" s="1125">
        <f t="shared" ref="O18:U18" si="5">+O7+O9+O11+O12+O13+O14+O15+O16+O17</f>
        <v>1688335011</v>
      </c>
      <c r="P18" s="1125">
        <f t="shared" si="5"/>
        <v>1789057717</v>
      </c>
      <c r="Q18" s="1125">
        <f t="shared" si="5"/>
        <v>1789057717</v>
      </c>
      <c r="R18" s="1125">
        <f t="shared" si="5"/>
        <v>0</v>
      </c>
      <c r="S18" s="1125">
        <f t="shared" si="5"/>
        <v>100722706</v>
      </c>
      <c r="T18" s="1125">
        <f t="shared" si="5"/>
        <v>210603455</v>
      </c>
      <c r="U18" s="1125">
        <f t="shared" si="5"/>
        <v>902185085</v>
      </c>
      <c r="V18" s="1125" t="e">
        <f t="shared" ref="V18" si="6">+V7+V9+V11+V12+V13+V14+V15+V16+V17</f>
        <v>#VALUE!</v>
      </c>
      <c r="W18" s="1129">
        <f>IF(Q18=0,"",U18/Q18*100)</f>
        <v>50.4279474288196</v>
      </c>
      <c r="X18" s="1130"/>
      <c r="Y18" s="1789"/>
    </row>
    <row r="19" spans="1:31" s="1131" customFormat="1" ht="17.100000000000001" customHeight="1" x14ac:dyDescent="0.2">
      <c r="A19" s="508" t="s">
        <v>22</v>
      </c>
      <c r="B19" s="1223" t="s">
        <v>334</v>
      </c>
      <c r="C19" s="1263">
        <f>+C20+C21+C22</f>
        <v>0</v>
      </c>
      <c r="D19" s="1263">
        <f>+D20+D21+D22</f>
        <v>510215</v>
      </c>
      <c r="E19" s="1263">
        <f>+E20+E21+E22</f>
        <v>510215</v>
      </c>
      <c r="F19" s="1263">
        <f>+F20+F21+F22</f>
        <v>510215</v>
      </c>
      <c r="G19" s="1263">
        <f>+G20+G21+G22</f>
        <v>0</v>
      </c>
      <c r="H19" s="1264">
        <f t="shared" si="0"/>
        <v>0</v>
      </c>
      <c r="I19" s="1265">
        <f>+I20+I21+I22</f>
        <v>0</v>
      </c>
      <c r="J19" s="1749">
        <f>+J20+J21+J22</f>
        <v>510215</v>
      </c>
      <c r="K19" s="1263">
        <f>+K20+K21+K22</f>
        <v>0</v>
      </c>
      <c r="L19" s="1732">
        <f t="shared" si="1"/>
        <v>100</v>
      </c>
      <c r="M19" s="1243" t="s">
        <v>3</v>
      </c>
      <c r="N19" s="1266"/>
      <c r="O19" s="1267"/>
      <c r="P19" s="1266"/>
      <c r="Q19" s="1266"/>
      <c r="R19" s="1266"/>
      <c r="S19" s="1268">
        <f t="shared" si="2"/>
        <v>0</v>
      </c>
      <c r="T19" s="1269"/>
      <c r="U19" s="1270"/>
      <c r="V19" s="1270"/>
      <c r="W19" s="1271" t="str">
        <f t="shared" si="3"/>
        <v/>
      </c>
      <c r="X19" s="1272"/>
      <c r="Y19" s="1789"/>
    </row>
    <row r="20" spans="1:31" s="1131" customFormat="1" ht="17.100000000000001" customHeight="1" x14ac:dyDescent="0.2">
      <c r="A20" s="509" t="s">
        <v>23</v>
      </c>
      <c r="B20" s="1273" t="s">
        <v>123</v>
      </c>
      <c r="C20" s="1233">
        <f>'1. mell.bevétel_össz'!C77</f>
        <v>0</v>
      </c>
      <c r="D20" s="1233">
        <f>'1. mell.bevétel_össz'!D77</f>
        <v>510215</v>
      </c>
      <c r="E20" s="1233">
        <f>'1. mell.bevétel_össz'!E77</f>
        <v>510215</v>
      </c>
      <c r="F20" s="1233">
        <f>'1. mell.bevétel_össz'!F77</f>
        <v>510215</v>
      </c>
      <c r="G20" s="1233">
        <f>'1. mell.bevétel_össz'!G77</f>
        <v>0</v>
      </c>
      <c r="H20" s="1235">
        <f t="shared" si="0"/>
        <v>0</v>
      </c>
      <c r="I20" s="1274">
        <f>'1. mell.bevétel_össz'!I77</f>
        <v>0</v>
      </c>
      <c r="J20" s="1750">
        <f>'1. mell.bevétel_össz'!J77</f>
        <v>510215</v>
      </c>
      <c r="K20" s="1233">
        <f>'1. mell.bevétel_össz'!K77</f>
        <v>0</v>
      </c>
      <c r="L20" s="1733">
        <f t="shared" si="1"/>
        <v>100</v>
      </c>
      <c r="M20" s="1273" t="s">
        <v>116</v>
      </c>
      <c r="N20" s="1233">
        <f>'1.mell.kiadás_össz'!C42</f>
        <v>0</v>
      </c>
      <c r="O20" s="1235">
        <f>'1.mell.kiadás_össz'!D42</f>
        <v>0</v>
      </c>
      <c r="P20" s="1233">
        <f>'1.mell.kiadás_össz'!E42</f>
        <v>0</v>
      </c>
      <c r="Q20" s="1233">
        <f>'1.mell.kiadás_össz'!F42</f>
        <v>0</v>
      </c>
      <c r="R20" s="1233">
        <f>'1.mell.kiadás_össz'!G42</f>
        <v>0</v>
      </c>
      <c r="S20" s="1237">
        <f t="shared" si="2"/>
        <v>0</v>
      </c>
      <c r="T20" s="1235">
        <f>'1.mell.kiadás_össz'!I42</f>
        <v>0</v>
      </c>
      <c r="U20" s="1233">
        <f>'1.mell.kiadás_össz'!J42</f>
        <v>0</v>
      </c>
      <c r="V20" s="1233">
        <f>'1.mell.kiadás_össz'!K42</f>
        <v>0</v>
      </c>
      <c r="W20" s="1236" t="str">
        <f t="shared" si="3"/>
        <v/>
      </c>
      <c r="X20" s="1272"/>
      <c r="Y20" s="1789"/>
    </row>
    <row r="21" spans="1:31" s="1131" customFormat="1" ht="24" x14ac:dyDescent="0.2">
      <c r="A21" s="508" t="s">
        <v>24</v>
      </c>
      <c r="B21" s="1273" t="s">
        <v>530</v>
      </c>
      <c r="C21" s="1233"/>
      <c r="D21" s="1233"/>
      <c r="E21" s="1233"/>
      <c r="F21" s="1233"/>
      <c r="G21" s="1233"/>
      <c r="H21" s="1235">
        <f t="shared" si="0"/>
        <v>0</v>
      </c>
      <c r="I21" s="1274">
        <f>'1. mell.bevétel_össz'!I74</f>
        <v>0</v>
      </c>
      <c r="J21" s="1750">
        <f>'1. mell.bevétel_össz'!J74</f>
        <v>0</v>
      </c>
      <c r="K21" s="1233">
        <f>'1. mell.bevétel_össz'!K74</f>
        <v>0</v>
      </c>
      <c r="L21" s="1733" t="str">
        <f t="shared" si="1"/>
        <v/>
      </c>
      <c r="M21" s="1273" t="s">
        <v>115</v>
      </c>
      <c r="N21" s="1233">
        <f>'1.mell.kiadás_össz'!C40</f>
        <v>0</v>
      </c>
      <c r="O21" s="1235">
        <f>'1.mell.kiadás_össz'!D40</f>
        <v>0</v>
      </c>
      <c r="P21" s="1233">
        <f>'1.mell.kiadás_össz'!E40</f>
        <v>0</v>
      </c>
      <c r="Q21" s="1233">
        <f>'1.mell.kiadás_össz'!F40</f>
        <v>0</v>
      </c>
      <c r="R21" s="1233">
        <f>'1.mell.kiadás_össz'!G40</f>
        <v>0</v>
      </c>
      <c r="S21" s="1237">
        <f t="shared" si="2"/>
        <v>0</v>
      </c>
      <c r="T21" s="1235">
        <f>'1.mell.kiadás_össz'!I40</f>
        <v>0</v>
      </c>
      <c r="U21" s="1233">
        <f>'1.mell.kiadás_össz'!J40</f>
        <v>0</v>
      </c>
      <c r="V21" s="1233">
        <f>'1.mell.kiadás_össz'!K40</f>
        <v>0</v>
      </c>
      <c r="W21" s="1236" t="str">
        <f t="shared" si="3"/>
        <v/>
      </c>
      <c r="X21" s="1272"/>
      <c r="Y21" s="1789"/>
    </row>
    <row r="22" spans="1:31" s="1131" customFormat="1" ht="17.100000000000001" customHeight="1" x14ac:dyDescent="0.2">
      <c r="A22" s="509" t="s">
        <v>25</v>
      </c>
      <c r="B22" s="1273" t="s">
        <v>124</v>
      </c>
      <c r="C22" s="1233"/>
      <c r="D22" s="1233"/>
      <c r="E22" s="1233"/>
      <c r="F22" s="1233"/>
      <c r="G22" s="1233"/>
      <c r="H22" s="1235">
        <f t="shared" si="0"/>
        <v>0</v>
      </c>
      <c r="I22" s="1274"/>
      <c r="J22" s="1750"/>
      <c r="K22" s="1233"/>
      <c r="L22" s="1733" t="str">
        <f t="shared" si="1"/>
        <v/>
      </c>
      <c r="M22" s="1275" t="s">
        <v>122</v>
      </c>
      <c r="N22" s="1233">
        <f>'1.mell.kiadás_össz'!C40</f>
        <v>0</v>
      </c>
      <c r="O22" s="1235">
        <f>'1.mell.kiadás_össz'!D40</f>
        <v>0</v>
      </c>
      <c r="P22" s="1233">
        <f>'1.mell.kiadás_össz'!E40</f>
        <v>0</v>
      </c>
      <c r="Q22" s="1233">
        <f>'1.mell.kiadás_össz'!F40</f>
        <v>0</v>
      </c>
      <c r="R22" s="1233">
        <f>'1.mell.kiadás_össz'!G40</f>
        <v>0</v>
      </c>
      <c r="S22" s="1237">
        <f t="shared" si="2"/>
        <v>0</v>
      </c>
      <c r="T22" s="1235">
        <f>'1.mell.kiadás_össz'!I40</f>
        <v>0</v>
      </c>
      <c r="U22" s="1233">
        <f>'1.mell.kiadás_össz'!J40</f>
        <v>0</v>
      </c>
      <c r="V22" s="1233">
        <f>'1.mell.kiadás_össz'!K40</f>
        <v>0</v>
      </c>
      <c r="W22" s="1236" t="str">
        <f t="shared" si="3"/>
        <v/>
      </c>
      <c r="X22" s="1272"/>
      <c r="Y22" s="1789"/>
    </row>
    <row r="23" spans="1:31" s="1131" customFormat="1" ht="17.100000000000001" customHeight="1" x14ac:dyDescent="0.2">
      <c r="A23" s="508" t="s">
        <v>26</v>
      </c>
      <c r="B23" s="1243" t="s">
        <v>331</v>
      </c>
      <c r="C23" s="1233">
        <f>SUM(C24:C26)</f>
        <v>0</v>
      </c>
      <c r="D23" s="1233">
        <f>SUM(D24:D26)</f>
        <v>0</v>
      </c>
      <c r="E23" s="1233">
        <f>SUM(E24:E26)</f>
        <v>0</v>
      </c>
      <c r="F23" s="1233">
        <f>SUM(F24:F26)</f>
        <v>0</v>
      </c>
      <c r="G23" s="1233">
        <f>SUM(G24:G26)</f>
        <v>0</v>
      </c>
      <c r="H23" s="1235">
        <f t="shared" si="0"/>
        <v>0</v>
      </c>
      <c r="I23" s="1274">
        <f>SUM(I24:I26)</f>
        <v>0</v>
      </c>
      <c r="J23" s="1750">
        <f>SUM(J24:J26)</f>
        <v>0</v>
      </c>
      <c r="K23" s="1233">
        <f>SUM(K24:K26)</f>
        <v>0</v>
      </c>
      <c r="L23" s="1733" t="str">
        <f t="shared" si="1"/>
        <v/>
      </c>
      <c r="M23" s="1243" t="s">
        <v>125</v>
      </c>
      <c r="N23" s="1233"/>
      <c r="O23" s="1235"/>
      <c r="P23" s="1233"/>
      <c r="Q23" s="1233"/>
      <c r="R23" s="1233"/>
      <c r="S23" s="1237">
        <f t="shared" si="2"/>
        <v>0</v>
      </c>
      <c r="T23" s="1235"/>
      <c r="U23" s="1233"/>
      <c r="V23" s="1233"/>
      <c r="W23" s="1236" t="str">
        <f t="shared" si="3"/>
        <v/>
      </c>
      <c r="X23" s="1272"/>
      <c r="Y23" s="1789"/>
    </row>
    <row r="24" spans="1:31" s="1131" customFormat="1" ht="17.100000000000001" customHeight="1" x14ac:dyDescent="0.2">
      <c r="A24" s="509" t="s">
        <v>27</v>
      </c>
      <c r="B24" s="1273" t="s">
        <v>126</v>
      </c>
      <c r="C24" s="1233">
        <f>'1. mell.bevétel_össz'!C68</f>
        <v>0</v>
      </c>
      <c r="D24" s="1233">
        <f>'1. mell.bevétel_össz'!D68</f>
        <v>0</v>
      </c>
      <c r="E24" s="1233">
        <f>'1. mell.bevétel_össz'!E68</f>
        <v>0</v>
      </c>
      <c r="F24" s="1233">
        <f>'1. mell.bevétel_össz'!F68</f>
        <v>0</v>
      </c>
      <c r="G24" s="1233">
        <f>'1. mell.bevétel_össz'!G68</f>
        <v>0</v>
      </c>
      <c r="H24" s="1235">
        <f t="shared" si="0"/>
        <v>0</v>
      </c>
      <c r="I24" s="1274">
        <f>'1. mell.bevétel_össz'!I68</f>
        <v>0</v>
      </c>
      <c r="J24" s="1750">
        <f>'1. mell.bevétel_össz'!J68</f>
        <v>0</v>
      </c>
      <c r="K24" s="1233">
        <f>'1. mell.bevétel_össz'!K68</f>
        <v>0</v>
      </c>
      <c r="L24" s="1733" t="str">
        <f t="shared" si="1"/>
        <v/>
      </c>
      <c r="M24" s="1276" t="s">
        <v>252</v>
      </c>
      <c r="N24" s="1233">
        <f>'1.mell.kiadás_össz'!C51</f>
        <v>0</v>
      </c>
      <c r="O24" s="1235">
        <f>'1.mell.kiadás_össz'!D51</f>
        <v>0</v>
      </c>
      <c r="P24" s="1233">
        <f>'1.mell.kiadás_össz'!E51</f>
        <v>0</v>
      </c>
      <c r="Q24" s="1233">
        <f>'1.mell.kiadás_össz'!F51</f>
        <v>0</v>
      </c>
      <c r="R24" s="1233">
        <f>'1.mell.kiadás_össz'!G51</f>
        <v>0</v>
      </c>
      <c r="S24" s="1237">
        <f t="shared" si="2"/>
        <v>0</v>
      </c>
      <c r="T24" s="1235">
        <f>'1.mell.kiadás_össz'!I51</f>
        <v>0</v>
      </c>
      <c r="U24" s="1233">
        <f>'1.mell.kiadás_össz'!J51</f>
        <v>0</v>
      </c>
      <c r="V24" s="1233">
        <f>'1.mell.kiadás_össz'!K51</f>
        <v>0</v>
      </c>
      <c r="W24" s="1236" t="str">
        <f t="shared" si="3"/>
        <v/>
      </c>
      <c r="X24" s="1272"/>
      <c r="Y24" s="1789"/>
    </row>
    <row r="25" spans="1:31" s="1131" customFormat="1" ht="17.100000000000001" customHeight="1" x14ac:dyDescent="0.2">
      <c r="A25" s="508" t="s">
        <v>28</v>
      </c>
      <c r="B25" s="1273" t="s">
        <v>127</v>
      </c>
      <c r="C25" s="1277">
        <f>'1. mell.bevétel_össz'!C70</f>
        <v>0</v>
      </c>
      <c r="D25" s="1277">
        <f>'1. mell.bevétel_össz'!D70</f>
        <v>0</v>
      </c>
      <c r="E25" s="1277"/>
      <c r="F25" s="1277"/>
      <c r="G25" s="1277"/>
      <c r="H25" s="1278">
        <f t="shared" si="0"/>
        <v>0</v>
      </c>
      <c r="I25" s="1279"/>
      <c r="J25" s="1751"/>
      <c r="K25" s="1277"/>
      <c r="L25" s="1734" t="str">
        <f t="shared" si="1"/>
        <v/>
      </c>
      <c r="M25" s="1276"/>
      <c r="N25" s="1233"/>
      <c r="O25" s="1235"/>
      <c r="P25" s="1233"/>
      <c r="Q25" s="1233"/>
      <c r="R25" s="1233"/>
      <c r="S25" s="1237">
        <f t="shared" si="2"/>
        <v>0</v>
      </c>
      <c r="T25" s="1235"/>
      <c r="U25" s="1233"/>
      <c r="V25" s="1233"/>
      <c r="W25" s="1236" t="str">
        <f t="shared" si="3"/>
        <v/>
      </c>
      <c r="X25" s="1272"/>
      <c r="Y25" s="1789"/>
      <c r="AE25" s="1131" t="s">
        <v>385</v>
      </c>
    </row>
    <row r="26" spans="1:31" s="1131" customFormat="1" ht="17.100000000000001" customHeight="1" x14ac:dyDescent="0.2">
      <c r="A26" s="508" t="s">
        <v>29</v>
      </c>
      <c r="B26" s="1273" t="s">
        <v>128</v>
      </c>
      <c r="C26" s="1233"/>
      <c r="D26" s="1233"/>
      <c r="E26" s="1233"/>
      <c r="F26" s="1233"/>
      <c r="G26" s="1233"/>
      <c r="H26" s="1235">
        <f t="shared" si="0"/>
        <v>0</v>
      </c>
      <c r="I26" s="1274"/>
      <c r="J26" s="1750"/>
      <c r="K26" s="1233"/>
      <c r="L26" s="1733" t="str">
        <f t="shared" si="1"/>
        <v/>
      </c>
      <c r="M26" s="1280"/>
      <c r="N26" s="1233"/>
      <c r="O26" s="1235"/>
      <c r="P26" s="1233"/>
      <c r="Q26" s="1233"/>
      <c r="R26" s="1233"/>
      <c r="S26" s="1237">
        <f t="shared" si="2"/>
        <v>0</v>
      </c>
      <c r="T26" s="1235"/>
      <c r="U26" s="1233"/>
      <c r="V26" s="1233"/>
      <c r="W26" s="1236" t="str">
        <f t="shared" si="3"/>
        <v/>
      </c>
      <c r="X26" s="1272"/>
      <c r="Y26" s="1789"/>
    </row>
    <row r="27" spans="1:31" s="1131" customFormat="1" ht="17.100000000000001" customHeight="1" thickBot="1" x14ac:dyDescent="0.25">
      <c r="A27" s="509" t="s">
        <v>30</v>
      </c>
      <c r="B27" s="1281"/>
      <c r="C27" s="1282"/>
      <c r="D27" s="1282"/>
      <c r="E27" s="1282"/>
      <c r="F27" s="1282"/>
      <c r="G27" s="1282"/>
      <c r="H27" s="1283">
        <f t="shared" si="0"/>
        <v>0</v>
      </c>
      <c r="I27" s="1284"/>
      <c r="J27" s="1752"/>
      <c r="K27" s="1282"/>
      <c r="L27" s="1735" t="str">
        <f t="shared" si="1"/>
        <v/>
      </c>
      <c r="M27" s="1285"/>
      <c r="N27" s="1282"/>
      <c r="O27" s="1283"/>
      <c r="P27" s="1282"/>
      <c r="Q27" s="1282"/>
      <c r="R27" s="1282"/>
      <c r="S27" s="1286">
        <f t="shared" si="2"/>
        <v>0</v>
      </c>
      <c r="T27" s="1283"/>
      <c r="U27" s="1282"/>
      <c r="V27" s="1282"/>
      <c r="W27" s="1287" t="str">
        <f t="shared" si="3"/>
        <v/>
      </c>
      <c r="X27" s="1272"/>
      <c r="Y27" s="1789"/>
    </row>
    <row r="28" spans="1:31" s="1131" customFormat="1" ht="17.100000000000001" customHeight="1" thickBot="1" x14ac:dyDescent="0.25">
      <c r="A28" s="507" t="s">
        <v>31</v>
      </c>
      <c r="B28" s="1124" t="s">
        <v>335</v>
      </c>
      <c r="C28" s="1125">
        <f>+C19+C23</f>
        <v>0</v>
      </c>
      <c r="D28" s="1125">
        <f t="shared" ref="D28:J28" si="7">+D19+D23</f>
        <v>510215</v>
      </c>
      <c r="E28" s="1125">
        <f t="shared" si="7"/>
        <v>510215</v>
      </c>
      <c r="F28" s="1125">
        <f t="shared" si="7"/>
        <v>510215</v>
      </c>
      <c r="G28" s="1125">
        <f t="shared" si="7"/>
        <v>0</v>
      </c>
      <c r="H28" s="1125">
        <f t="shared" si="7"/>
        <v>0</v>
      </c>
      <c r="I28" s="1125">
        <f t="shared" si="7"/>
        <v>0</v>
      </c>
      <c r="J28" s="1748">
        <f t="shared" si="7"/>
        <v>510215</v>
      </c>
      <c r="K28" s="1125">
        <f t="shared" ref="K28" si="8">+K19+K23</f>
        <v>0</v>
      </c>
      <c r="L28" s="1731">
        <f t="shared" si="1"/>
        <v>100</v>
      </c>
      <c r="M28" s="1124" t="s">
        <v>379</v>
      </c>
      <c r="N28" s="1125">
        <f>+N19+N23+N24</f>
        <v>0</v>
      </c>
      <c r="O28" s="1125">
        <f t="shared" ref="O28:U28" si="9">+O19+O23+O24</f>
        <v>0</v>
      </c>
      <c r="P28" s="1125">
        <f t="shared" si="9"/>
        <v>0</v>
      </c>
      <c r="Q28" s="1125">
        <f t="shared" si="9"/>
        <v>0</v>
      </c>
      <c r="R28" s="1125">
        <f t="shared" si="9"/>
        <v>0</v>
      </c>
      <c r="S28" s="1125">
        <f t="shared" si="9"/>
        <v>0</v>
      </c>
      <c r="T28" s="1125">
        <f t="shared" si="9"/>
        <v>0</v>
      </c>
      <c r="U28" s="1125">
        <f t="shared" si="9"/>
        <v>0</v>
      </c>
      <c r="V28" s="1125">
        <f t="shared" ref="V28" si="10">+V19+V23+V24</f>
        <v>0</v>
      </c>
      <c r="W28" s="1129" t="str">
        <f t="shared" si="3"/>
        <v/>
      </c>
      <c r="X28" s="1130"/>
      <c r="Y28" s="1789"/>
    </row>
    <row r="29" spans="1:31" s="1131" customFormat="1" ht="17.100000000000001" customHeight="1" thickBot="1" x14ac:dyDescent="0.25">
      <c r="A29" s="507" t="s">
        <v>32</v>
      </c>
      <c r="B29" s="1124" t="s">
        <v>336</v>
      </c>
      <c r="C29" s="1125">
        <f>+C18+C28</f>
        <v>211818503</v>
      </c>
      <c r="D29" s="1125">
        <f t="shared" ref="D29:I29" si="11">+D18+D28</f>
        <v>442026305</v>
      </c>
      <c r="E29" s="1125">
        <f t="shared" si="11"/>
        <v>446468292</v>
      </c>
      <c r="F29" s="1125">
        <f t="shared" si="11"/>
        <v>446468292</v>
      </c>
      <c r="G29" s="1125">
        <f t="shared" si="11"/>
        <v>0</v>
      </c>
      <c r="H29" s="1125">
        <f t="shared" si="11"/>
        <v>4441987</v>
      </c>
      <c r="I29" s="1125">
        <f t="shared" si="11"/>
        <v>0</v>
      </c>
      <c r="J29" s="1748">
        <f t="shared" ref="J29" si="12">+J18+J28</f>
        <v>430199281</v>
      </c>
      <c r="K29" s="1125">
        <f t="shared" ref="K29" si="13">+K18+K28</f>
        <v>0</v>
      </c>
      <c r="L29" s="1731">
        <f t="shared" si="1"/>
        <v>96.356065751697329</v>
      </c>
      <c r="M29" s="1124" t="s">
        <v>337</v>
      </c>
      <c r="N29" s="1125">
        <f>+N18+N28</f>
        <v>1123044805</v>
      </c>
      <c r="O29" s="1125">
        <f t="shared" ref="O29:T29" si="14">+O18+O28</f>
        <v>1688335011</v>
      </c>
      <c r="P29" s="1125">
        <f t="shared" si="14"/>
        <v>1789057717</v>
      </c>
      <c r="Q29" s="1125">
        <f t="shared" si="14"/>
        <v>1789057717</v>
      </c>
      <c r="R29" s="1125">
        <f t="shared" si="14"/>
        <v>0</v>
      </c>
      <c r="S29" s="1125">
        <f t="shared" si="14"/>
        <v>100722706</v>
      </c>
      <c r="T29" s="1125">
        <f t="shared" si="14"/>
        <v>210603455</v>
      </c>
      <c r="U29" s="1748">
        <f t="shared" ref="U29" si="15">+U18+U28</f>
        <v>902185085</v>
      </c>
      <c r="V29" s="1125" t="e">
        <f t="shared" ref="V29" si="16">+V18+V28</f>
        <v>#VALUE!</v>
      </c>
      <c r="W29" s="1129">
        <f t="shared" si="3"/>
        <v>50.4279474288196</v>
      </c>
      <c r="X29" s="1130"/>
      <c r="Y29" s="1789"/>
    </row>
    <row r="30" spans="1:31" s="1131" customFormat="1" ht="17.100000000000001" customHeight="1" thickBot="1" x14ac:dyDescent="0.25">
      <c r="A30" s="507" t="s">
        <v>33</v>
      </c>
      <c r="B30" s="1124" t="s">
        <v>76</v>
      </c>
      <c r="C30" s="1125">
        <f>IF(C18-N18&lt;0,N18-C18,"-")</f>
        <v>911226302</v>
      </c>
      <c r="D30" s="1125">
        <f t="shared" ref="D30:J30" si="17">IF(D18-O18&lt;0,O18-D18,"-")</f>
        <v>1246818921</v>
      </c>
      <c r="E30" s="1125">
        <f t="shared" si="17"/>
        <v>1343099640</v>
      </c>
      <c r="F30" s="1125">
        <f t="shared" si="17"/>
        <v>1343099640</v>
      </c>
      <c r="G30" s="1125" t="str">
        <f t="shared" si="17"/>
        <v>-</v>
      </c>
      <c r="H30" s="1125">
        <f t="shared" si="17"/>
        <v>96280719</v>
      </c>
      <c r="I30" s="1125">
        <f t="shared" si="17"/>
        <v>210603455</v>
      </c>
      <c r="J30" s="1748">
        <f t="shared" si="17"/>
        <v>472496019</v>
      </c>
      <c r="K30" s="1125">
        <f>IF(K18-W18&lt;0,W18-K18,"-")</f>
        <v>50.4279474288196</v>
      </c>
      <c r="L30" s="1731">
        <f>IF(F30=0,"",J30/F30*100)</f>
        <v>35.179520932639072</v>
      </c>
      <c r="M30" s="1124" t="s">
        <v>77</v>
      </c>
      <c r="N30" s="1125" t="str">
        <f>IF(C18-N18&gt;0,C18-N18,"-")</f>
        <v>-</v>
      </c>
      <c r="O30" s="1125" t="str">
        <f t="shared" ref="O30:U30" si="18">IF(D18-O18&gt;0,D18-O18,"-")</f>
        <v>-</v>
      </c>
      <c r="P30" s="1125" t="str">
        <f t="shared" si="18"/>
        <v>-</v>
      </c>
      <c r="Q30" s="1125" t="str">
        <f t="shared" si="18"/>
        <v>-</v>
      </c>
      <c r="R30" s="1125" t="str">
        <f t="shared" si="18"/>
        <v>-</v>
      </c>
      <c r="S30" s="1125" t="str">
        <f t="shared" si="18"/>
        <v>-</v>
      </c>
      <c r="T30" s="1125" t="str">
        <f t="shared" si="18"/>
        <v>-</v>
      </c>
      <c r="U30" s="1748" t="str">
        <f t="shared" si="18"/>
        <v>-</v>
      </c>
      <c r="V30" s="1125" t="e">
        <f t="shared" ref="V30" si="19">IF(K18-V18&gt;0,K18-V18,"-")</f>
        <v>#VALUE!</v>
      </c>
      <c r="W30" s="1129"/>
      <c r="X30" s="1130"/>
      <c r="Y30" s="1789"/>
    </row>
    <row r="31" spans="1:31" s="1131" customFormat="1" ht="17.100000000000001" customHeight="1" thickBot="1" x14ac:dyDescent="0.25">
      <c r="A31" s="507" t="s">
        <v>576</v>
      </c>
      <c r="B31" s="1132" t="s">
        <v>507</v>
      </c>
      <c r="C31" s="1125">
        <f>IF(C18+C19+C23-N29&lt;0,N29-(C18+C19+C23),"-")</f>
        <v>911226302</v>
      </c>
      <c r="D31" s="1125">
        <f t="shared" ref="D31:J31" si="20">IF(D18+D19+D23-O29&lt;0,O29-(D18+D19+D23),"-")</f>
        <v>1246308706</v>
      </c>
      <c r="E31" s="1125">
        <f t="shared" si="20"/>
        <v>1342589425</v>
      </c>
      <c r="F31" s="1125">
        <f t="shared" si="20"/>
        <v>1342589425</v>
      </c>
      <c r="G31" s="1125" t="str">
        <f t="shared" si="20"/>
        <v>-</v>
      </c>
      <c r="H31" s="1125">
        <f t="shared" si="20"/>
        <v>96280719</v>
      </c>
      <c r="I31" s="1125">
        <f t="shared" si="20"/>
        <v>210603455</v>
      </c>
      <c r="J31" s="1125">
        <f t="shared" si="20"/>
        <v>471985804</v>
      </c>
      <c r="K31" s="1125">
        <f>IF(K18+K19+K23-W29&lt;0,W29-(K18+K19+K23),"-")</f>
        <v>50.4279474288196</v>
      </c>
      <c r="L31" s="1731">
        <f>IF(F31=0,"",J31/F31*100)</f>
        <v>35.154887653014249</v>
      </c>
      <c r="M31" s="1132" t="s">
        <v>508</v>
      </c>
      <c r="N31" s="1125" t="str">
        <f>IF(C18+C19+C23-N29&gt;0,C18+C19+C23-N29,"-")</f>
        <v>-</v>
      </c>
      <c r="O31" s="1125" t="str">
        <f t="shared" ref="O31:U31" si="21">IF(D18+D19+D23-O29&gt;0,D18+D19+D23-O29,"-")</f>
        <v>-</v>
      </c>
      <c r="P31" s="1125" t="str">
        <f t="shared" si="21"/>
        <v>-</v>
      </c>
      <c r="Q31" s="1125" t="str">
        <f t="shared" si="21"/>
        <v>-</v>
      </c>
      <c r="R31" s="1125" t="str">
        <f t="shared" si="21"/>
        <v>-</v>
      </c>
      <c r="S31" s="1125" t="str">
        <f t="shared" si="21"/>
        <v>-</v>
      </c>
      <c r="T31" s="1125" t="str">
        <f t="shared" si="21"/>
        <v>-</v>
      </c>
      <c r="U31" s="1748" t="str">
        <f t="shared" si="21"/>
        <v>-</v>
      </c>
      <c r="V31" s="1125" t="e">
        <f t="shared" ref="V31" si="22">IF(K18+K19+K23-V29&gt;0,K18+K19+K23-V29,"-")</f>
        <v>#VALUE!</v>
      </c>
      <c r="W31" s="1129"/>
      <c r="X31" s="1130"/>
      <c r="Y31" s="1789"/>
      <c r="AB31" s="1133"/>
    </row>
    <row r="32" spans="1:31" x14ac:dyDescent="0.2">
      <c r="A32" s="1788"/>
      <c r="B32" s="1788"/>
      <c r="C32" s="1788"/>
      <c r="D32" s="1788"/>
      <c r="E32" s="1788"/>
      <c r="F32" s="1788"/>
      <c r="G32" s="1788"/>
      <c r="H32" s="1788"/>
      <c r="I32" s="1788"/>
      <c r="J32" s="1788"/>
      <c r="K32" s="1788"/>
      <c r="L32" s="1788"/>
      <c r="M32" s="1788"/>
      <c r="N32" s="1788"/>
      <c r="O32" s="1788"/>
      <c r="P32" s="1788"/>
      <c r="Q32" s="1788"/>
      <c r="R32" s="1788"/>
      <c r="S32" s="1788"/>
      <c r="Y32" s="162"/>
      <c r="Z32" s="162"/>
    </row>
    <row r="33" spans="13:26" x14ac:dyDescent="0.2">
      <c r="Y33" s="162"/>
      <c r="Z33" s="162"/>
    </row>
    <row r="34" spans="13:26" x14ac:dyDescent="0.2">
      <c r="M34" s="18" t="s">
        <v>385</v>
      </c>
    </row>
    <row r="36" spans="13:26" x14ac:dyDescent="0.2">
      <c r="M36" s="18" t="s">
        <v>385</v>
      </c>
    </row>
  </sheetData>
  <mergeCells count="7">
    <mergeCell ref="A32:S32"/>
    <mergeCell ref="Y1:Y31"/>
    <mergeCell ref="A4:A5"/>
    <mergeCell ref="B4:L4"/>
    <mergeCell ref="A3:W3"/>
    <mergeCell ref="M4:W4"/>
    <mergeCell ref="A1:W1"/>
  </mergeCells>
  <phoneticPr fontId="45" type="noConversion"/>
  <printOptions horizontalCentered="1"/>
  <pageMargins left="0.19685039370078741" right="0.19685039370078741" top="0.59055118110236227" bottom="0.39370078740157483" header="0.47244094488188981" footer="0.78740157480314965"/>
  <pageSetup paperSize="9" scale="65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4"/>
  <sheetViews>
    <sheetView view="pageBreakPreview" zoomScale="120" zoomScaleNormal="100" zoomScaleSheetLayoutView="120" workbookViewId="0">
      <selection activeCell="A2" sqref="A2:H2"/>
    </sheetView>
  </sheetViews>
  <sheetFormatPr defaultRowHeight="12.75" x14ac:dyDescent="0.2"/>
  <cols>
    <col min="1" max="1" width="12" style="988" customWidth="1"/>
    <col min="2" max="2" width="67" style="25" customWidth="1"/>
    <col min="3" max="3" width="17.1640625" style="25" customWidth="1"/>
    <col min="4" max="5" width="17" style="25" customWidth="1"/>
    <col min="6" max="7" width="17" style="25" hidden="1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535" customFormat="1" ht="12.75" customHeight="1" x14ac:dyDescent="0.2">
      <c r="A1" s="1774" t="s">
        <v>806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727</v>
      </c>
      <c r="B2" s="1774"/>
      <c r="C2" s="1774"/>
      <c r="D2" s="1774"/>
      <c r="E2" s="1774"/>
      <c r="F2" s="1774"/>
      <c r="G2" s="1774"/>
      <c r="H2" s="1774"/>
    </row>
    <row r="3" spans="1:12" s="24" customFormat="1" ht="21.2" customHeight="1" thickBot="1" x14ac:dyDescent="0.25">
      <c r="A3" s="170"/>
      <c r="C3" s="982"/>
      <c r="D3" s="982"/>
      <c r="E3" s="982"/>
      <c r="F3" s="982"/>
      <c r="G3" s="982"/>
      <c r="H3" s="982"/>
      <c r="I3" s="982"/>
      <c r="J3" s="982"/>
      <c r="K3" s="982"/>
      <c r="L3" s="982"/>
    </row>
    <row r="4" spans="1:12" s="38" customFormat="1" ht="38.25" customHeight="1" x14ac:dyDescent="0.2">
      <c r="A4" s="36" t="s">
        <v>137</v>
      </c>
      <c r="B4" s="37" t="s">
        <v>135</v>
      </c>
      <c r="C4" s="1806" t="s">
        <v>185</v>
      </c>
      <c r="D4" s="1807"/>
      <c r="E4" s="1807"/>
      <c r="F4" s="1807"/>
      <c r="G4" s="1807"/>
      <c r="H4" s="1808" t="s">
        <v>185</v>
      </c>
    </row>
    <row r="5" spans="1:12" s="38" customFormat="1" ht="36.75" thickBot="1" x14ac:dyDescent="0.25">
      <c r="A5" s="39" t="s">
        <v>139</v>
      </c>
      <c r="B5" s="40" t="s">
        <v>403</v>
      </c>
      <c r="C5" s="1809" t="s">
        <v>141</v>
      </c>
      <c r="D5" s="1810"/>
      <c r="E5" s="1810"/>
      <c r="F5" s="1810"/>
      <c r="G5" s="1810"/>
      <c r="H5" s="1811" t="s">
        <v>141</v>
      </c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2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91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82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0</v>
      </c>
      <c r="D10" s="127"/>
      <c r="E10" s="582"/>
      <c r="F10" s="582"/>
      <c r="G10" s="582"/>
      <c r="H10" s="595">
        <f>E10-D10</f>
        <v>0</v>
      </c>
      <c r="I10" s="1085"/>
      <c r="J10" s="595"/>
      <c r="K10" s="595"/>
      <c r="L10" s="595"/>
    </row>
    <row r="11" spans="1:12" s="26" customFormat="1" ht="12.2" customHeight="1" x14ac:dyDescent="0.2">
      <c r="A11" s="49" t="s">
        <v>91</v>
      </c>
      <c r="B11" s="50" t="s">
        <v>143</v>
      </c>
      <c r="C11" s="128"/>
      <c r="D11" s="192"/>
      <c r="E11" s="583"/>
      <c r="F11" s="583"/>
      <c r="G11" s="583"/>
      <c r="H11" s="540">
        <f t="shared" ref="H11:H48" si="0">E11-D11</f>
        <v>0</v>
      </c>
      <c r="I11" s="1086"/>
      <c r="J11" s="540"/>
      <c r="K11" s="540"/>
      <c r="L11" s="540"/>
    </row>
    <row r="12" spans="1:12" s="26" customFormat="1" ht="12.2" customHeight="1" x14ac:dyDescent="0.2">
      <c r="A12" s="1037" t="s">
        <v>92</v>
      </c>
      <c r="B12" s="330" t="s">
        <v>144</v>
      </c>
      <c r="C12" s="331"/>
      <c r="D12" s="340"/>
      <c r="E12" s="88"/>
      <c r="F12" s="88"/>
      <c r="G12" s="88"/>
      <c r="H12" s="541">
        <f t="shared" si="0"/>
        <v>0</v>
      </c>
      <c r="I12" s="1087"/>
      <c r="J12" s="541"/>
      <c r="K12" s="541"/>
      <c r="L12" s="541"/>
    </row>
    <row r="13" spans="1:12" s="26" customFormat="1" ht="12.2" customHeight="1" x14ac:dyDescent="0.2">
      <c r="A13" s="1037" t="s">
        <v>93</v>
      </c>
      <c r="B13" s="330" t="s">
        <v>145</v>
      </c>
      <c r="C13" s="331"/>
      <c r="D13" s="340"/>
      <c r="E13" s="88"/>
      <c r="F13" s="88"/>
      <c r="G13" s="88"/>
      <c r="H13" s="541">
        <f t="shared" si="0"/>
        <v>0</v>
      </c>
      <c r="I13" s="1087"/>
      <c r="J13" s="541"/>
      <c r="K13" s="541"/>
      <c r="L13" s="541"/>
    </row>
    <row r="14" spans="1:12" s="26" customFormat="1" ht="12.2" customHeight="1" x14ac:dyDescent="0.2">
      <c r="A14" s="1037" t="s">
        <v>90</v>
      </c>
      <c r="B14" s="330" t="s">
        <v>146</v>
      </c>
      <c r="C14" s="331"/>
      <c r="D14" s="340"/>
      <c r="E14" s="88"/>
      <c r="F14" s="88"/>
      <c r="G14" s="88"/>
      <c r="H14" s="541">
        <f t="shared" si="0"/>
        <v>0</v>
      </c>
      <c r="I14" s="1087"/>
      <c r="J14" s="541"/>
      <c r="K14" s="541"/>
      <c r="L14" s="541"/>
    </row>
    <row r="15" spans="1:12" s="26" customFormat="1" ht="12.2" customHeight="1" x14ac:dyDescent="0.2">
      <c r="A15" s="1037" t="s">
        <v>147</v>
      </c>
      <c r="B15" s="330" t="s">
        <v>148</v>
      </c>
      <c r="C15" s="331"/>
      <c r="D15" s="340"/>
      <c r="E15" s="88"/>
      <c r="F15" s="88"/>
      <c r="G15" s="88"/>
      <c r="H15" s="541">
        <f t="shared" si="0"/>
        <v>0</v>
      </c>
      <c r="I15" s="1087"/>
      <c r="J15" s="541"/>
      <c r="K15" s="541"/>
      <c r="L15" s="541"/>
    </row>
    <row r="16" spans="1:12" s="26" customFormat="1" ht="12.2" customHeight="1" x14ac:dyDescent="0.2">
      <c r="A16" s="1037" t="s">
        <v>149</v>
      </c>
      <c r="B16" s="330" t="s">
        <v>150</v>
      </c>
      <c r="C16" s="331"/>
      <c r="D16" s="340"/>
      <c r="E16" s="88"/>
      <c r="F16" s="88"/>
      <c r="G16" s="88"/>
      <c r="H16" s="541">
        <f t="shared" si="0"/>
        <v>0</v>
      </c>
      <c r="I16" s="1087"/>
      <c r="J16" s="541"/>
      <c r="K16" s="541"/>
      <c r="L16" s="541"/>
    </row>
    <row r="17" spans="1:12" s="26" customFormat="1" ht="12.2" customHeight="1" x14ac:dyDescent="0.2">
      <c r="A17" s="1037" t="s">
        <v>151</v>
      </c>
      <c r="B17" s="52" t="s">
        <v>152</v>
      </c>
      <c r="C17" s="331"/>
      <c r="D17" s="340"/>
      <c r="E17" s="88"/>
      <c r="F17" s="88"/>
      <c r="G17" s="88"/>
      <c r="H17" s="541">
        <f t="shared" si="0"/>
        <v>0</v>
      </c>
      <c r="I17" s="1087"/>
      <c r="J17" s="541"/>
      <c r="K17" s="541"/>
      <c r="L17" s="541"/>
    </row>
    <row r="18" spans="1:12" s="26" customFormat="1" ht="12.2" customHeight="1" x14ac:dyDescent="0.2">
      <c r="A18" s="1037" t="s">
        <v>153</v>
      </c>
      <c r="B18" s="345" t="s">
        <v>302</v>
      </c>
      <c r="C18" s="121"/>
      <c r="D18" s="188"/>
      <c r="E18" s="90"/>
      <c r="F18" s="90"/>
      <c r="G18" s="90"/>
      <c r="H18" s="542">
        <f t="shared" si="0"/>
        <v>0</v>
      </c>
      <c r="I18" s="1088"/>
      <c r="J18" s="542"/>
      <c r="K18" s="542"/>
      <c r="L18" s="542"/>
    </row>
    <row r="19" spans="1:12" s="54" customFormat="1" ht="12.2" customHeight="1" x14ac:dyDescent="0.2">
      <c r="A19" s="1037" t="s">
        <v>154</v>
      </c>
      <c r="B19" s="330" t="s">
        <v>155</v>
      </c>
      <c r="C19" s="331"/>
      <c r="D19" s="340"/>
      <c r="E19" s="88"/>
      <c r="F19" s="88"/>
      <c r="G19" s="88"/>
      <c r="H19" s="541">
        <f t="shared" si="0"/>
        <v>0</v>
      </c>
      <c r="I19" s="1087"/>
      <c r="J19" s="541"/>
      <c r="K19" s="541"/>
      <c r="L19" s="541"/>
    </row>
    <row r="20" spans="1:12" s="54" customFormat="1" ht="12.2" customHeight="1" x14ac:dyDescent="0.2">
      <c r="A20" s="1037" t="s">
        <v>156</v>
      </c>
      <c r="B20" s="345" t="s">
        <v>275</v>
      </c>
      <c r="C20" s="333"/>
      <c r="D20" s="341"/>
      <c r="E20" s="88"/>
      <c r="F20" s="88"/>
      <c r="G20" s="331"/>
      <c r="H20" s="543">
        <f t="shared" si="0"/>
        <v>0</v>
      </c>
      <c r="I20" s="1089"/>
      <c r="J20" s="543"/>
      <c r="K20" s="543"/>
      <c r="L20" s="543"/>
    </row>
    <row r="21" spans="1:12" s="54" customFormat="1" ht="12.2" customHeight="1" thickBot="1" x14ac:dyDescent="0.25">
      <c r="A21" s="1037" t="s">
        <v>276</v>
      </c>
      <c r="B21" s="52" t="s">
        <v>157</v>
      </c>
      <c r="C21" s="333"/>
      <c r="D21" s="341"/>
      <c r="E21" s="90"/>
      <c r="F21" s="90"/>
      <c r="G21" s="90"/>
      <c r="H21" s="544">
        <f t="shared" si="0"/>
        <v>0</v>
      </c>
      <c r="I21" s="1090"/>
      <c r="J21" s="544"/>
      <c r="K21" s="544"/>
      <c r="L21" s="544"/>
    </row>
    <row r="22" spans="1:12" s="26" customFormat="1" ht="12.2" customHeight="1" thickBot="1" x14ac:dyDescent="0.25">
      <c r="A22" s="43" t="s">
        <v>13</v>
      </c>
      <c r="B22" s="47" t="s">
        <v>158</v>
      </c>
      <c r="C22" s="89"/>
      <c r="D22" s="127"/>
      <c r="E22" s="582"/>
      <c r="F22" s="582"/>
      <c r="G22" s="582"/>
      <c r="H22" s="48">
        <f t="shared" si="0"/>
        <v>0</v>
      </c>
      <c r="I22" s="175"/>
      <c r="J22" s="48"/>
      <c r="K22" s="48"/>
      <c r="L22" s="48"/>
    </row>
    <row r="23" spans="1:12" s="54" customFormat="1" ht="12.2" customHeight="1" x14ac:dyDescent="0.2">
      <c r="A23" s="1037" t="s">
        <v>94</v>
      </c>
      <c r="B23" s="17" t="s">
        <v>159</v>
      </c>
      <c r="C23" s="331"/>
      <c r="D23" s="340"/>
      <c r="E23" s="584"/>
      <c r="F23" s="584"/>
      <c r="G23" s="584"/>
      <c r="H23" s="75">
        <f t="shared" si="0"/>
        <v>0</v>
      </c>
      <c r="I23" s="637"/>
      <c r="J23" s="75"/>
      <c r="K23" s="75"/>
      <c r="L23" s="75"/>
    </row>
    <row r="24" spans="1:12" s="54" customFormat="1" ht="12.2" customHeight="1" x14ac:dyDescent="0.2">
      <c r="A24" s="1037" t="s">
        <v>95</v>
      </c>
      <c r="B24" s="330" t="s">
        <v>160</v>
      </c>
      <c r="C24" s="331"/>
      <c r="D24" s="340"/>
      <c r="E24" s="88"/>
      <c r="F24" s="88"/>
      <c r="G24" s="88"/>
      <c r="H24" s="541">
        <f t="shared" si="0"/>
        <v>0</v>
      </c>
      <c r="I24" s="1087"/>
      <c r="J24" s="541"/>
      <c r="K24" s="541"/>
      <c r="L24" s="541"/>
    </row>
    <row r="25" spans="1:12" s="54" customFormat="1" ht="12.2" customHeight="1" x14ac:dyDescent="0.2">
      <c r="A25" s="1037" t="s">
        <v>96</v>
      </c>
      <c r="B25" s="330" t="s">
        <v>161</v>
      </c>
      <c r="C25" s="331"/>
      <c r="D25" s="340"/>
      <c r="E25" s="88"/>
      <c r="F25" s="88"/>
      <c r="G25" s="88"/>
      <c r="H25" s="541">
        <f t="shared" si="0"/>
        <v>0</v>
      </c>
      <c r="I25" s="1087"/>
      <c r="J25" s="541"/>
      <c r="K25" s="541"/>
      <c r="L25" s="541"/>
    </row>
    <row r="26" spans="1:12" s="54" customFormat="1" ht="12.2" customHeight="1" thickBot="1" x14ac:dyDescent="0.25">
      <c r="A26" s="1037" t="s">
        <v>317</v>
      </c>
      <c r="B26" s="335" t="s">
        <v>233</v>
      </c>
      <c r="C26" s="331"/>
      <c r="D26" s="340"/>
      <c r="E26" s="88"/>
      <c r="F26" s="88"/>
      <c r="G26" s="88"/>
      <c r="H26" s="545">
        <f t="shared" si="0"/>
        <v>0</v>
      </c>
      <c r="I26" s="1091"/>
      <c r="J26" s="545"/>
      <c r="K26" s="545"/>
      <c r="L26" s="545"/>
    </row>
    <row r="27" spans="1:12" s="54" customFormat="1" ht="12.2" customHeight="1" thickBot="1" x14ac:dyDescent="0.25">
      <c r="A27" s="55" t="s">
        <v>14</v>
      </c>
      <c r="B27" s="56" t="s">
        <v>83</v>
      </c>
      <c r="C27" s="130"/>
      <c r="D27" s="129"/>
      <c r="E27" s="585"/>
      <c r="F27" s="585"/>
      <c r="G27" s="585"/>
      <c r="H27" s="74">
        <f t="shared" si="0"/>
        <v>0</v>
      </c>
      <c r="I27" s="638"/>
      <c r="J27" s="74"/>
      <c r="K27" s="74"/>
      <c r="L27" s="74"/>
    </row>
    <row r="28" spans="1:12" s="54" customFormat="1" ht="12.2" customHeight="1" thickBot="1" x14ac:dyDescent="0.25">
      <c r="A28" s="55" t="s">
        <v>15</v>
      </c>
      <c r="B28" s="56" t="s">
        <v>162</v>
      </c>
      <c r="C28" s="89"/>
      <c r="D28" s="127"/>
      <c r="E28" s="582"/>
      <c r="F28" s="582"/>
      <c r="G28" s="582"/>
      <c r="H28" s="74">
        <f t="shared" si="0"/>
        <v>0</v>
      </c>
      <c r="I28" s="638"/>
      <c r="J28" s="74"/>
      <c r="K28" s="74"/>
      <c r="L28" s="74"/>
    </row>
    <row r="29" spans="1:12" s="54" customFormat="1" ht="12.2" customHeight="1" x14ac:dyDescent="0.2">
      <c r="A29" s="58" t="s">
        <v>100</v>
      </c>
      <c r="B29" s="59" t="s">
        <v>160</v>
      </c>
      <c r="C29" s="122"/>
      <c r="D29" s="189"/>
      <c r="E29" s="586"/>
      <c r="F29" s="586"/>
      <c r="G29" s="586"/>
      <c r="H29" s="546">
        <f t="shared" si="0"/>
        <v>0</v>
      </c>
      <c r="I29" s="1092"/>
      <c r="J29" s="546"/>
      <c r="K29" s="546"/>
      <c r="L29" s="546"/>
    </row>
    <row r="30" spans="1:12" s="54" customFormat="1" ht="12.2" customHeight="1" x14ac:dyDescent="0.2">
      <c r="A30" s="58" t="s">
        <v>101</v>
      </c>
      <c r="B30" s="336" t="s">
        <v>163</v>
      </c>
      <c r="C30" s="120"/>
      <c r="D30" s="193"/>
      <c r="E30" s="107"/>
      <c r="F30" s="107"/>
      <c r="G30" s="339"/>
      <c r="H30" s="534">
        <f t="shared" si="0"/>
        <v>0</v>
      </c>
      <c r="I30" s="630"/>
      <c r="J30" s="534"/>
      <c r="K30" s="534"/>
      <c r="L30" s="534"/>
    </row>
    <row r="31" spans="1:12" s="54" customFormat="1" ht="12.2" customHeight="1" thickBot="1" x14ac:dyDescent="0.25">
      <c r="A31" s="1037" t="s">
        <v>281</v>
      </c>
      <c r="B31" s="102" t="s">
        <v>165</v>
      </c>
      <c r="C31" s="92"/>
      <c r="D31" s="190"/>
      <c r="E31" s="587"/>
      <c r="F31" s="587"/>
      <c r="G31" s="587"/>
      <c r="H31" s="547">
        <f t="shared" si="0"/>
        <v>0</v>
      </c>
      <c r="I31" s="1093"/>
      <c r="J31" s="547"/>
      <c r="K31" s="547"/>
      <c r="L31" s="547"/>
    </row>
    <row r="32" spans="1:12" s="54" customFormat="1" ht="12.2" customHeight="1" thickBot="1" x14ac:dyDescent="0.25">
      <c r="A32" s="55" t="s">
        <v>16</v>
      </c>
      <c r="B32" s="56" t="s">
        <v>166</v>
      </c>
      <c r="C32" s="89"/>
      <c r="D32" s="127"/>
      <c r="E32" s="582"/>
      <c r="F32" s="582"/>
      <c r="G32" s="582"/>
      <c r="H32" s="74">
        <f t="shared" si="0"/>
        <v>0</v>
      </c>
      <c r="I32" s="638"/>
      <c r="J32" s="74"/>
      <c r="K32" s="74"/>
      <c r="L32" s="74"/>
    </row>
    <row r="33" spans="1:12" s="54" customFormat="1" ht="12.2" customHeight="1" x14ac:dyDescent="0.2">
      <c r="A33" s="58" t="s">
        <v>89</v>
      </c>
      <c r="B33" s="59" t="s">
        <v>167</v>
      </c>
      <c r="C33" s="122"/>
      <c r="D33" s="189"/>
      <c r="E33" s="586"/>
      <c r="F33" s="586"/>
      <c r="G33" s="586"/>
      <c r="H33" s="546">
        <f t="shared" si="0"/>
        <v>0</v>
      </c>
      <c r="I33" s="1092"/>
      <c r="J33" s="546"/>
      <c r="K33" s="546"/>
      <c r="L33" s="546"/>
    </row>
    <row r="34" spans="1:12" s="54" customFormat="1" ht="12.2" customHeight="1" x14ac:dyDescent="0.2">
      <c r="A34" s="58" t="s">
        <v>102</v>
      </c>
      <c r="B34" s="336" t="s">
        <v>168</v>
      </c>
      <c r="C34" s="120"/>
      <c r="D34" s="193"/>
      <c r="E34" s="107"/>
      <c r="F34" s="107"/>
      <c r="G34" s="339"/>
      <c r="H34" s="534">
        <f t="shared" si="0"/>
        <v>0</v>
      </c>
      <c r="I34" s="630"/>
      <c r="J34" s="534"/>
      <c r="K34" s="534"/>
      <c r="L34" s="534"/>
    </row>
    <row r="35" spans="1:12" s="54" customFormat="1" ht="12.2" customHeight="1" thickBot="1" x14ac:dyDescent="0.25">
      <c r="A35" s="1037" t="s">
        <v>103</v>
      </c>
      <c r="B35" s="62" t="s">
        <v>169</v>
      </c>
      <c r="C35" s="92"/>
      <c r="D35" s="190"/>
      <c r="E35" s="587"/>
      <c r="F35" s="587"/>
      <c r="G35" s="587"/>
      <c r="H35" s="548">
        <f t="shared" si="0"/>
        <v>0</v>
      </c>
      <c r="I35" s="1094"/>
      <c r="J35" s="548"/>
      <c r="K35" s="548"/>
      <c r="L35" s="548"/>
    </row>
    <row r="36" spans="1:12" s="26" customFormat="1" ht="12.2" customHeight="1" thickBot="1" x14ac:dyDescent="0.25">
      <c r="A36" s="55" t="s">
        <v>17</v>
      </c>
      <c r="B36" s="56" t="s">
        <v>170</v>
      </c>
      <c r="C36" s="130"/>
      <c r="D36" s="129"/>
      <c r="E36" s="585"/>
      <c r="F36" s="585"/>
      <c r="G36" s="585"/>
      <c r="H36" s="74">
        <f t="shared" si="0"/>
        <v>0</v>
      </c>
      <c r="I36" s="638"/>
      <c r="J36" s="74"/>
      <c r="K36" s="74"/>
      <c r="L36" s="74"/>
    </row>
    <row r="37" spans="1:12" s="26" customFormat="1" ht="12.2" customHeight="1" thickBot="1" x14ac:dyDescent="0.25">
      <c r="A37" s="1038" t="s">
        <v>104</v>
      </c>
      <c r="B37" s="337" t="s">
        <v>165</v>
      </c>
      <c r="C37" s="130"/>
      <c r="D37" s="129"/>
      <c r="E37" s="588"/>
      <c r="F37" s="588"/>
      <c r="G37" s="588"/>
      <c r="H37" s="549">
        <f t="shared" si="0"/>
        <v>0</v>
      </c>
      <c r="I37" s="1095"/>
      <c r="J37" s="549"/>
      <c r="K37" s="549"/>
      <c r="L37" s="549"/>
    </row>
    <row r="38" spans="1:12" s="26" customFormat="1" ht="12.2" customHeight="1" thickBot="1" x14ac:dyDescent="0.25">
      <c r="A38" s="55" t="s">
        <v>18</v>
      </c>
      <c r="B38" s="56" t="s">
        <v>555</v>
      </c>
      <c r="C38" s="130"/>
      <c r="D38" s="129"/>
      <c r="E38" s="585"/>
      <c r="F38" s="585"/>
      <c r="G38" s="585"/>
      <c r="H38" s="74">
        <f t="shared" si="0"/>
        <v>0</v>
      </c>
      <c r="I38" s="638"/>
      <c r="J38" s="74"/>
      <c r="K38" s="74"/>
      <c r="L38" s="74"/>
    </row>
    <row r="39" spans="1:12" s="26" customFormat="1" ht="12.2" customHeight="1" x14ac:dyDescent="0.2">
      <c r="A39" s="12" t="s">
        <v>107</v>
      </c>
      <c r="B39" s="95" t="s">
        <v>212</v>
      </c>
      <c r="C39" s="131"/>
      <c r="D39" s="194"/>
      <c r="E39" s="589"/>
      <c r="F39" s="589"/>
      <c r="G39" s="589"/>
      <c r="H39" s="550">
        <f t="shared" si="0"/>
        <v>0</v>
      </c>
      <c r="I39" s="1096"/>
      <c r="J39" s="550"/>
      <c r="K39" s="550"/>
      <c r="L39" s="550"/>
    </row>
    <row r="40" spans="1:12" s="26" customFormat="1" ht="12.2" customHeight="1" x14ac:dyDescent="0.2">
      <c r="A40" s="1003" t="s">
        <v>108</v>
      </c>
      <c r="B40" s="346" t="s">
        <v>213</v>
      </c>
      <c r="C40" s="338"/>
      <c r="D40" s="342"/>
      <c r="E40" s="590"/>
      <c r="F40" s="590"/>
      <c r="G40" s="590"/>
      <c r="H40" s="551">
        <f t="shared" si="0"/>
        <v>0</v>
      </c>
      <c r="I40" s="1097"/>
      <c r="J40" s="551"/>
      <c r="K40" s="551"/>
      <c r="L40" s="551"/>
    </row>
    <row r="41" spans="1:12" s="26" customFormat="1" ht="12.2" customHeight="1" thickBot="1" x14ac:dyDescent="0.25">
      <c r="A41" s="1003" t="s">
        <v>323</v>
      </c>
      <c r="B41" s="103" t="s">
        <v>165</v>
      </c>
      <c r="C41" s="133"/>
      <c r="D41" s="132"/>
      <c r="E41" s="591"/>
      <c r="F41" s="591"/>
      <c r="G41" s="591"/>
      <c r="H41" s="552">
        <f t="shared" si="0"/>
        <v>0</v>
      </c>
      <c r="I41" s="1098"/>
      <c r="J41" s="552"/>
      <c r="K41" s="552"/>
      <c r="L41" s="552"/>
    </row>
    <row r="42" spans="1:12" s="26" customFormat="1" ht="12.2" customHeight="1" thickBot="1" x14ac:dyDescent="0.25">
      <c r="A42" s="43" t="s">
        <v>19</v>
      </c>
      <c r="B42" s="56" t="s">
        <v>546</v>
      </c>
      <c r="C42" s="89"/>
      <c r="D42" s="127"/>
      <c r="E42" s="582"/>
      <c r="F42" s="582"/>
      <c r="G42" s="582"/>
      <c r="H42" s="74">
        <f t="shared" si="0"/>
        <v>0</v>
      </c>
      <c r="I42" s="638"/>
      <c r="J42" s="74"/>
      <c r="K42" s="74"/>
      <c r="L42" s="74"/>
    </row>
    <row r="43" spans="1:12" s="26" customFormat="1" ht="12.2" customHeight="1" thickBot="1" x14ac:dyDescent="0.25">
      <c r="A43" s="63" t="s">
        <v>20</v>
      </c>
      <c r="B43" s="56" t="s">
        <v>180</v>
      </c>
      <c r="C43" s="89"/>
      <c r="D43" s="127"/>
      <c r="E43" s="582"/>
      <c r="F43" s="582"/>
      <c r="G43" s="582"/>
      <c r="H43" s="74">
        <f t="shared" si="0"/>
        <v>0</v>
      </c>
      <c r="I43" s="638"/>
      <c r="J43" s="74"/>
      <c r="K43" s="74"/>
      <c r="L43" s="74"/>
    </row>
    <row r="44" spans="1:12" s="26" customFormat="1" ht="12.2" customHeight="1" x14ac:dyDescent="0.2">
      <c r="A44" s="58" t="s">
        <v>171</v>
      </c>
      <c r="B44" s="59" t="s">
        <v>131</v>
      </c>
      <c r="C44" s="122"/>
      <c r="D44" s="189"/>
      <c r="E44" s="586"/>
      <c r="F44" s="586"/>
      <c r="G44" s="586"/>
      <c r="H44" s="546">
        <f t="shared" si="0"/>
        <v>0</v>
      </c>
      <c r="I44" s="1092"/>
      <c r="J44" s="546"/>
      <c r="K44" s="546"/>
      <c r="L44" s="546"/>
    </row>
    <row r="45" spans="1:12" s="26" customFormat="1" ht="12.2" customHeight="1" x14ac:dyDescent="0.2">
      <c r="A45" s="71" t="s">
        <v>172</v>
      </c>
      <c r="B45" s="59" t="s">
        <v>186</v>
      </c>
      <c r="C45" s="120"/>
      <c r="D45" s="193"/>
      <c r="E45" s="91"/>
      <c r="F45" s="91"/>
      <c r="G45" s="91"/>
      <c r="H45" s="553">
        <f t="shared" si="0"/>
        <v>0</v>
      </c>
      <c r="I45" s="1099"/>
      <c r="J45" s="553"/>
      <c r="K45" s="553"/>
      <c r="L45" s="553"/>
    </row>
    <row r="46" spans="1:12" s="26" customFormat="1" ht="12.2" customHeight="1" x14ac:dyDescent="0.2">
      <c r="A46" s="1037" t="s">
        <v>173</v>
      </c>
      <c r="B46" s="336" t="s">
        <v>177</v>
      </c>
      <c r="C46" s="339"/>
      <c r="D46" s="323"/>
      <c r="E46" s="107"/>
      <c r="F46" s="107"/>
      <c r="G46" s="107"/>
      <c r="H46" s="534">
        <f t="shared" si="0"/>
        <v>0</v>
      </c>
      <c r="I46" s="630"/>
      <c r="J46" s="534"/>
      <c r="K46" s="534"/>
      <c r="L46" s="534"/>
    </row>
    <row r="47" spans="1:12" s="54" customFormat="1" ht="12.2" customHeight="1" thickBot="1" x14ac:dyDescent="0.25">
      <c r="A47" s="58" t="s">
        <v>178</v>
      </c>
      <c r="B47" s="62" t="s">
        <v>179</v>
      </c>
      <c r="C47" s="1034"/>
      <c r="D47" s="195"/>
      <c r="E47" s="587"/>
      <c r="F47" s="587"/>
      <c r="G47" s="587"/>
      <c r="H47" s="548">
        <f t="shared" si="0"/>
        <v>0</v>
      </c>
      <c r="I47" s="1094"/>
      <c r="J47" s="548"/>
      <c r="K47" s="548"/>
      <c r="L47" s="548"/>
    </row>
    <row r="48" spans="1:12" s="54" customFormat="1" ht="15" customHeight="1" thickBot="1" x14ac:dyDescent="0.25">
      <c r="A48" s="63" t="s">
        <v>21</v>
      </c>
      <c r="B48" s="524" t="s">
        <v>174</v>
      </c>
      <c r="C48" s="135"/>
      <c r="D48" s="134"/>
      <c r="E48" s="592"/>
      <c r="F48" s="592"/>
      <c r="G48" s="592"/>
      <c r="H48" s="557">
        <f t="shared" si="0"/>
        <v>0</v>
      </c>
      <c r="I48" s="1100"/>
      <c r="J48" s="557"/>
      <c r="K48" s="557"/>
      <c r="L48" s="557"/>
    </row>
    <row r="49" spans="1:12" s="54" customFormat="1" ht="15" customHeight="1" x14ac:dyDescent="0.2">
      <c r="A49" s="64"/>
      <c r="B49" s="65"/>
      <c r="C49" s="66"/>
      <c r="D49" s="66"/>
      <c r="E49" s="66"/>
      <c r="F49" s="66"/>
      <c r="G49" s="66"/>
      <c r="H49" s="66"/>
      <c r="I49" s="66"/>
      <c r="J49" s="66"/>
      <c r="K49" s="66"/>
      <c r="L49" s="66"/>
    </row>
    <row r="50" spans="1:12" s="54" customFormat="1" ht="15" customHeight="1" x14ac:dyDescent="0.2">
      <c r="A50" s="64"/>
      <c r="B50" s="65"/>
      <c r="C50" s="66"/>
      <c r="D50" s="66"/>
      <c r="E50" s="66"/>
      <c r="F50" s="66"/>
      <c r="G50" s="66"/>
      <c r="H50" s="66"/>
      <c r="I50" s="66"/>
      <c r="J50" s="66"/>
      <c r="K50" s="66"/>
      <c r="L50" s="66"/>
    </row>
    <row r="51" spans="1:12" ht="13.5" thickBot="1" x14ac:dyDescent="0.25">
      <c r="A51" s="1912" t="s">
        <v>362</v>
      </c>
      <c r="B51" s="1912"/>
      <c r="C51" s="1912"/>
      <c r="D51" s="1912"/>
      <c r="E51" s="1912"/>
      <c r="F51" s="1912"/>
      <c r="G51" s="1912"/>
      <c r="H51" s="1912"/>
    </row>
    <row r="52" spans="1:12" s="554" customFormat="1" ht="55.5" customHeight="1" thickBot="1" x14ac:dyDescent="0.25">
      <c r="A52" s="641"/>
      <c r="B52" s="642" t="s">
        <v>38</v>
      </c>
      <c r="C52" s="21" t="str">
        <f>C7</f>
        <v>2023. évi eredeti előirányzat
2/2023. (II.14.)</v>
      </c>
      <c r="D52" s="166" t="str">
        <f t="shared" ref="D52:L52" si="1">D7</f>
        <v>Módosított előirányzat a 14/2023.  (VI.29.)  rendelet szerint</v>
      </c>
      <c r="E52" s="21" t="str">
        <f t="shared" si="1"/>
        <v>Módosított előirányzat a 18/2023. (IX.26.)  rendelet szerint</v>
      </c>
      <c r="F52" s="21" t="str">
        <f t="shared" si="1"/>
        <v>Módosított előirányzat 2023.09.30-án</v>
      </c>
      <c r="G52" s="21" t="str">
        <f t="shared" si="1"/>
        <v>Módosított előirányzat a …../2023. (II…..)  rendelet szerint</v>
      </c>
      <c r="H52" s="32" t="str">
        <f t="shared" si="1"/>
        <v>Változás a 14/2023. (VI.29.) rendelethez képest</v>
      </c>
      <c r="I52" s="166" t="str">
        <f t="shared" si="1"/>
        <v>2023. évi teljesítés              2023.06.30-ig</v>
      </c>
      <c r="J52" s="21" t="str">
        <f t="shared" si="1"/>
        <v>2023. évi teljesítés              2023.09.30-ig</v>
      </c>
      <c r="K52" s="21" t="str">
        <f t="shared" si="1"/>
        <v>2023. évi teljesítés              2023.12.31-ig</v>
      </c>
      <c r="L52" s="21" t="str">
        <f t="shared" si="1"/>
        <v>Teljesítés %-a</v>
      </c>
    </row>
    <row r="53" spans="1:12" s="31" customFormat="1" ht="12.2" customHeight="1" thickBot="1" x14ac:dyDescent="0.25">
      <c r="A53" s="55" t="s">
        <v>12</v>
      </c>
      <c r="B53" s="56" t="s">
        <v>547</v>
      </c>
      <c r="C53" s="89"/>
      <c r="D53" s="127"/>
      <c r="E53" s="582"/>
      <c r="F53" s="582"/>
      <c r="G53" s="582"/>
      <c r="H53" s="48">
        <f t="shared" ref="H53:H72" si="2">E53-D53</f>
        <v>0</v>
      </c>
      <c r="I53" s="175"/>
      <c r="J53" s="48"/>
      <c r="K53" s="48"/>
      <c r="L53" s="48"/>
    </row>
    <row r="54" spans="1:12" ht="12.2" customHeight="1" x14ac:dyDescent="0.2">
      <c r="A54" s="1037" t="s">
        <v>91</v>
      </c>
      <c r="B54" s="17" t="s">
        <v>68</v>
      </c>
      <c r="C54" s="122"/>
      <c r="D54" s="189"/>
      <c r="E54" s="586"/>
      <c r="F54" s="586"/>
      <c r="G54" s="586"/>
      <c r="H54" s="33">
        <f t="shared" si="2"/>
        <v>0</v>
      </c>
      <c r="I54" s="177"/>
      <c r="J54" s="33"/>
      <c r="K54" s="33"/>
      <c r="L54" s="33"/>
    </row>
    <row r="55" spans="1:12" ht="12.2" customHeight="1" x14ac:dyDescent="0.2">
      <c r="A55" s="1037" t="s">
        <v>305</v>
      </c>
      <c r="B55" s="335" t="s">
        <v>270</v>
      </c>
      <c r="C55" s="122"/>
      <c r="D55" s="189"/>
      <c r="E55" s="586"/>
      <c r="F55" s="586"/>
      <c r="G55" s="586"/>
      <c r="H55" s="33">
        <f t="shared" si="2"/>
        <v>0</v>
      </c>
      <c r="I55" s="177"/>
      <c r="J55" s="33"/>
      <c r="K55" s="33"/>
      <c r="L55" s="33"/>
    </row>
    <row r="56" spans="1:12" ht="12.2" customHeight="1" x14ac:dyDescent="0.2">
      <c r="A56" s="1037" t="s">
        <v>92</v>
      </c>
      <c r="B56" s="330" t="s">
        <v>87</v>
      </c>
      <c r="C56" s="339"/>
      <c r="D56" s="323"/>
      <c r="E56" s="107"/>
      <c r="F56" s="107"/>
      <c r="G56" s="107"/>
      <c r="H56" s="324">
        <f t="shared" si="2"/>
        <v>0</v>
      </c>
      <c r="I56" s="503"/>
      <c r="J56" s="324"/>
      <c r="K56" s="324"/>
      <c r="L56" s="324"/>
    </row>
    <row r="57" spans="1:12" ht="12.2" customHeight="1" x14ac:dyDescent="0.2">
      <c r="A57" s="1037" t="s">
        <v>93</v>
      </c>
      <c r="B57" s="330" t="s">
        <v>69</v>
      </c>
      <c r="C57" s="339"/>
      <c r="D57" s="323"/>
      <c r="E57" s="107"/>
      <c r="F57" s="107"/>
      <c r="G57" s="107"/>
      <c r="H57" s="324">
        <f t="shared" si="2"/>
        <v>0</v>
      </c>
      <c r="I57" s="503"/>
      <c r="J57" s="324"/>
      <c r="K57" s="324"/>
      <c r="L57" s="324"/>
    </row>
    <row r="58" spans="1:12" ht="12.2" customHeight="1" x14ac:dyDescent="0.2">
      <c r="A58" s="1037" t="s">
        <v>90</v>
      </c>
      <c r="B58" s="330" t="s">
        <v>80</v>
      </c>
      <c r="C58" s="339"/>
      <c r="D58" s="323"/>
      <c r="E58" s="107"/>
      <c r="F58" s="107"/>
      <c r="G58" s="107"/>
      <c r="H58" s="324">
        <f t="shared" si="2"/>
        <v>0</v>
      </c>
      <c r="I58" s="503"/>
      <c r="J58" s="324"/>
      <c r="K58" s="324"/>
      <c r="L58" s="324"/>
    </row>
    <row r="59" spans="1:12" ht="12.2" customHeight="1" x14ac:dyDescent="0.2">
      <c r="A59" s="1037" t="s">
        <v>147</v>
      </c>
      <c r="B59" s="330" t="s">
        <v>88</v>
      </c>
      <c r="C59" s="339"/>
      <c r="D59" s="323"/>
      <c r="E59" s="107"/>
      <c r="F59" s="107"/>
      <c r="G59" s="107"/>
      <c r="H59" s="324">
        <f t="shared" si="2"/>
        <v>0</v>
      </c>
      <c r="I59" s="503"/>
      <c r="J59" s="324"/>
      <c r="K59" s="324"/>
      <c r="L59" s="324"/>
    </row>
    <row r="60" spans="1:12" ht="12.2" customHeight="1" x14ac:dyDescent="0.2">
      <c r="A60" s="1037" t="s">
        <v>306</v>
      </c>
      <c r="B60" s="521" t="s">
        <v>235</v>
      </c>
      <c r="C60" s="339"/>
      <c r="D60" s="323"/>
      <c r="E60" s="107"/>
      <c r="F60" s="107"/>
      <c r="G60" s="107"/>
      <c r="H60" s="324">
        <f t="shared" si="2"/>
        <v>0</v>
      </c>
      <c r="I60" s="503"/>
      <c r="J60" s="324"/>
      <c r="K60" s="324"/>
      <c r="L60" s="324"/>
    </row>
    <row r="61" spans="1:12" ht="12.2" customHeight="1" thickBot="1" x14ac:dyDescent="0.25">
      <c r="A61" s="84" t="s">
        <v>307</v>
      </c>
      <c r="B61" s="85" t="s">
        <v>234</v>
      </c>
      <c r="C61" s="92"/>
      <c r="D61" s="190"/>
      <c r="E61" s="593"/>
      <c r="F61" s="593"/>
      <c r="G61" s="593"/>
      <c r="H61" s="61">
        <f t="shared" si="2"/>
        <v>0</v>
      </c>
      <c r="I61" s="178"/>
      <c r="J61" s="61"/>
      <c r="K61" s="61"/>
      <c r="L61" s="61"/>
    </row>
    <row r="62" spans="1:12" ht="12.2" customHeight="1" thickBot="1" x14ac:dyDescent="0.25">
      <c r="A62" s="55" t="s">
        <v>13</v>
      </c>
      <c r="B62" s="56" t="s">
        <v>548</v>
      </c>
      <c r="C62" s="89"/>
      <c r="D62" s="127"/>
      <c r="E62" s="582"/>
      <c r="F62" s="582"/>
      <c r="G62" s="582"/>
      <c r="H62" s="48">
        <f t="shared" si="2"/>
        <v>0</v>
      </c>
      <c r="I62" s="175"/>
      <c r="J62" s="48"/>
      <c r="K62" s="48"/>
      <c r="L62" s="48"/>
    </row>
    <row r="63" spans="1:12" s="31" customFormat="1" ht="12.2" customHeight="1" x14ac:dyDescent="0.2">
      <c r="A63" s="1037" t="s">
        <v>94</v>
      </c>
      <c r="B63" s="17" t="s">
        <v>119</v>
      </c>
      <c r="C63" s="122"/>
      <c r="D63" s="189"/>
      <c r="E63" s="586"/>
      <c r="F63" s="586"/>
      <c r="G63" s="586"/>
      <c r="H63" s="33">
        <f t="shared" si="2"/>
        <v>0</v>
      </c>
      <c r="I63" s="177"/>
      <c r="J63" s="33"/>
      <c r="K63" s="33"/>
      <c r="L63" s="33"/>
    </row>
    <row r="64" spans="1:12" s="31" customFormat="1" ht="12.2" customHeight="1" x14ac:dyDescent="0.2">
      <c r="A64" s="1037" t="s">
        <v>316</v>
      </c>
      <c r="B64" s="522" t="s">
        <v>236</v>
      </c>
      <c r="C64" s="122"/>
      <c r="D64" s="189"/>
      <c r="E64" s="586"/>
      <c r="F64" s="586"/>
      <c r="G64" s="586"/>
      <c r="H64" s="33">
        <f t="shared" si="2"/>
        <v>0</v>
      </c>
      <c r="I64" s="177"/>
      <c r="J64" s="33"/>
      <c r="K64" s="33"/>
      <c r="L64" s="33"/>
    </row>
    <row r="65" spans="1:12" ht="12.2" customHeight="1" x14ac:dyDescent="0.2">
      <c r="A65" s="1037" t="s">
        <v>95</v>
      </c>
      <c r="B65" s="330" t="s">
        <v>2</v>
      </c>
      <c r="C65" s="339"/>
      <c r="D65" s="323"/>
      <c r="E65" s="107"/>
      <c r="F65" s="107"/>
      <c r="G65" s="107"/>
      <c r="H65" s="324">
        <f t="shared" si="2"/>
        <v>0</v>
      </c>
      <c r="I65" s="503"/>
      <c r="J65" s="324"/>
      <c r="K65" s="324"/>
      <c r="L65" s="324"/>
    </row>
    <row r="66" spans="1:12" ht="12.2" customHeight="1" x14ac:dyDescent="0.2">
      <c r="A66" s="1037" t="s">
        <v>342</v>
      </c>
      <c r="B66" s="523" t="s">
        <v>237</v>
      </c>
      <c r="C66" s="339"/>
      <c r="D66" s="323"/>
      <c r="E66" s="107"/>
      <c r="F66" s="107"/>
      <c r="G66" s="107"/>
      <c r="H66" s="324">
        <f t="shared" si="2"/>
        <v>0</v>
      </c>
      <c r="I66" s="503"/>
      <c r="J66" s="324"/>
      <c r="K66" s="324"/>
      <c r="L66" s="324"/>
    </row>
    <row r="67" spans="1:12" ht="12.2" customHeight="1" x14ac:dyDescent="0.2">
      <c r="A67" s="1037" t="s">
        <v>96</v>
      </c>
      <c r="B67" s="17" t="s">
        <v>175</v>
      </c>
      <c r="C67" s="339"/>
      <c r="D67" s="323"/>
      <c r="E67" s="107"/>
      <c r="F67" s="107"/>
      <c r="G67" s="107"/>
      <c r="H67" s="324">
        <f t="shared" si="2"/>
        <v>0</v>
      </c>
      <c r="I67" s="503"/>
      <c r="J67" s="324"/>
      <c r="K67" s="324"/>
      <c r="L67" s="324"/>
    </row>
    <row r="68" spans="1:12" ht="12.2" customHeight="1" x14ac:dyDescent="0.2">
      <c r="A68" s="1037" t="s">
        <v>317</v>
      </c>
      <c r="B68" s="521" t="s">
        <v>239</v>
      </c>
      <c r="C68" s="339"/>
      <c r="D68" s="323"/>
      <c r="E68" s="107"/>
      <c r="F68" s="107"/>
      <c r="G68" s="107"/>
      <c r="H68" s="324">
        <f t="shared" si="2"/>
        <v>0</v>
      </c>
      <c r="I68" s="503"/>
      <c r="J68" s="324"/>
      <c r="K68" s="324"/>
      <c r="L68" s="324"/>
    </row>
    <row r="69" spans="1:12" ht="12.2" customHeight="1" thickBot="1" x14ac:dyDescent="0.25">
      <c r="A69" s="84" t="s">
        <v>318</v>
      </c>
      <c r="B69" s="85" t="s">
        <v>238</v>
      </c>
      <c r="C69" s="92"/>
      <c r="D69" s="323"/>
      <c r="E69" s="107"/>
      <c r="F69" s="107"/>
      <c r="G69" s="107"/>
      <c r="H69" s="324">
        <f t="shared" si="2"/>
        <v>0</v>
      </c>
      <c r="I69" s="503"/>
      <c r="J69" s="324"/>
      <c r="K69" s="324"/>
      <c r="L69" s="324"/>
    </row>
    <row r="70" spans="1:12" ht="15" customHeight="1" thickBot="1" x14ac:dyDescent="0.25">
      <c r="A70" s="55" t="s">
        <v>14</v>
      </c>
      <c r="B70" s="67" t="s">
        <v>176</v>
      </c>
      <c r="C70" s="135"/>
      <c r="D70" s="134"/>
      <c r="E70" s="592"/>
      <c r="F70" s="592"/>
      <c r="G70" s="592"/>
      <c r="H70" s="68">
        <f t="shared" si="2"/>
        <v>0</v>
      </c>
      <c r="I70" s="176"/>
      <c r="J70" s="68"/>
      <c r="K70" s="68"/>
      <c r="L70" s="68"/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634" t="s">
        <v>292</v>
      </c>
      <c r="B72" s="636"/>
      <c r="C72" s="136"/>
      <c r="D72" s="635"/>
      <c r="E72" s="520"/>
      <c r="F72" s="520"/>
      <c r="G72" s="520"/>
      <c r="H72" s="174">
        <f t="shared" si="2"/>
        <v>0</v>
      </c>
      <c r="I72" s="174"/>
      <c r="J72" s="174"/>
      <c r="K72" s="174"/>
      <c r="L72" s="174"/>
    </row>
    <row r="73" spans="1:12" ht="14.25" hidden="1" customHeight="1" thickBot="1" x14ac:dyDescent="0.25">
      <c r="A73" s="69" t="s">
        <v>291</v>
      </c>
      <c r="B73" s="70"/>
      <c r="C73" s="609"/>
      <c r="D73" s="639"/>
      <c r="E73" s="607"/>
      <c r="F73" s="607"/>
      <c r="G73" s="607"/>
      <c r="H73" s="609">
        <f t="shared" ref="H73" si="3">D73-C73</f>
        <v>0</v>
      </c>
      <c r="I73" s="609"/>
      <c r="J73" s="609"/>
      <c r="K73" s="609"/>
      <c r="L73" s="609"/>
    </row>
    <row r="74" spans="1:12" x14ac:dyDescent="0.2">
      <c r="D74" s="163"/>
      <c r="E74" s="163"/>
      <c r="F74" s="163"/>
      <c r="G74" s="163"/>
      <c r="H74" s="163" t="s">
        <v>385</v>
      </c>
      <c r="I74" s="163"/>
      <c r="J74" s="163"/>
      <c r="K74" s="163"/>
      <c r="L74" s="163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74"/>
  <sheetViews>
    <sheetView view="pageBreakPreview" zoomScale="130" zoomScaleNormal="100" zoomScaleSheetLayoutView="130" workbookViewId="0">
      <selection activeCell="A2" sqref="A2:H2"/>
    </sheetView>
  </sheetViews>
  <sheetFormatPr defaultRowHeight="12.75" x14ac:dyDescent="0.2"/>
  <cols>
    <col min="1" max="1" width="12" style="988" customWidth="1"/>
    <col min="2" max="2" width="67" style="25" customWidth="1"/>
    <col min="3" max="3" width="15.6640625" style="25" customWidth="1"/>
    <col min="4" max="4" width="17" style="25" customWidth="1"/>
    <col min="5" max="5" width="16.6640625" style="25" customWidth="1"/>
    <col min="6" max="7" width="17" style="25" hidden="1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535" customFormat="1" ht="12.75" customHeight="1" x14ac:dyDescent="0.2">
      <c r="A1" s="1774" t="s">
        <v>806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727</v>
      </c>
      <c r="B2" s="1774"/>
      <c r="C2" s="1774"/>
      <c r="D2" s="1774"/>
      <c r="E2" s="1774"/>
      <c r="F2" s="1774"/>
      <c r="G2" s="1774"/>
      <c r="H2" s="1774"/>
    </row>
    <row r="3" spans="1:12" s="24" customFormat="1" ht="21.2" customHeight="1" thickBot="1" x14ac:dyDescent="0.25">
      <c r="A3" s="170"/>
      <c r="C3" s="982"/>
      <c r="D3" s="982"/>
      <c r="E3" s="982"/>
      <c r="F3" s="982"/>
      <c r="G3" s="982"/>
      <c r="H3" s="982"/>
      <c r="I3" s="982"/>
      <c r="J3" s="982"/>
      <c r="K3" s="982"/>
      <c r="L3" s="982"/>
    </row>
    <row r="4" spans="1:12" s="38" customFormat="1" ht="38.25" customHeight="1" x14ac:dyDescent="0.2">
      <c r="A4" s="36" t="s">
        <v>137</v>
      </c>
      <c r="B4" s="37" t="s">
        <v>135</v>
      </c>
      <c r="C4" s="1806" t="s">
        <v>185</v>
      </c>
      <c r="D4" s="1807"/>
      <c r="E4" s="1807"/>
      <c r="F4" s="1807"/>
      <c r="G4" s="1807"/>
      <c r="H4" s="1808" t="s">
        <v>185</v>
      </c>
    </row>
    <row r="5" spans="1:12" s="38" customFormat="1" ht="36.75" thickBot="1" x14ac:dyDescent="0.25">
      <c r="A5" s="39" t="s">
        <v>139</v>
      </c>
      <c r="B5" s="40" t="s">
        <v>404</v>
      </c>
      <c r="C5" s="1809" t="s">
        <v>141</v>
      </c>
      <c r="D5" s="1810"/>
      <c r="E5" s="1810"/>
      <c r="F5" s="1810"/>
      <c r="G5" s="1810"/>
      <c r="H5" s="1811" t="s">
        <v>141</v>
      </c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2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91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82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2780200</v>
      </c>
      <c r="D10" s="127">
        <f t="shared" ref="D10:L10" si="0">SUM(D11:D21)</f>
        <v>2780200</v>
      </c>
      <c r="E10" s="582">
        <f t="shared" si="0"/>
        <v>5245200</v>
      </c>
      <c r="F10" s="582">
        <f t="shared" si="0"/>
        <v>5245200</v>
      </c>
      <c r="G10" s="582">
        <f t="shared" si="0"/>
        <v>0</v>
      </c>
      <c r="H10" s="1402">
        <f>+E10-D10</f>
        <v>2465000</v>
      </c>
      <c r="I10" s="1085">
        <f t="shared" si="0"/>
        <v>0</v>
      </c>
      <c r="J10" s="595">
        <f t="shared" si="0"/>
        <v>6590066</v>
      </c>
      <c r="K10" s="595">
        <f t="shared" si="0"/>
        <v>0</v>
      </c>
      <c r="L10" s="595">
        <f t="shared" si="0"/>
        <v>546.43458086043972</v>
      </c>
    </row>
    <row r="11" spans="1:12" s="26" customFormat="1" ht="12.2" customHeight="1" x14ac:dyDescent="0.2">
      <c r="A11" s="49" t="s">
        <v>91</v>
      </c>
      <c r="B11" s="50" t="s">
        <v>143</v>
      </c>
      <c r="C11" s="128">
        <f>'6.Polg_Hivatal'!C11</f>
        <v>0</v>
      </c>
      <c r="D11" s="192">
        <f>'6.Polg_Hivatal'!D11</f>
        <v>0</v>
      </c>
      <c r="E11" s="583">
        <f>'6.Polg_Hivatal'!E11</f>
        <v>0</v>
      </c>
      <c r="F11" s="583">
        <f>'6.Polg_Hivatal'!F11</f>
        <v>0</v>
      </c>
      <c r="G11" s="583">
        <f>'6.Polg_Hivatal'!G11</f>
        <v>0</v>
      </c>
      <c r="H11" s="540">
        <f t="shared" ref="H11:H48" si="1">+E11-D11</f>
        <v>0</v>
      </c>
      <c r="I11" s="1086">
        <f>'6.Polg_Hivatal'!I11</f>
        <v>0</v>
      </c>
      <c r="J11" s="540">
        <f>'6.Polg_Hivatal'!J11</f>
        <v>0</v>
      </c>
      <c r="K11" s="540">
        <f>'6.Polg_Hivatal'!K11</f>
        <v>0</v>
      </c>
      <c r="L11" s="540" t="str">
        <f>'6.Polg_Hivatal'!L11</f>
        <v/>
      </c>
    </row>
    <row r="12" spans="1:12" s="26" customFormat="1" ht="12.2" customHeight="1" x14ac:dyDescent="0.2">
      <c r="A12" s="1037" t="s">
        <v>92</v>
      </c>
      <c r="B12" s="330" t="s">
        <v>144</v>
      </c>
      <c r="C12" s="331">
        <f>'6.Polg_Hivatal'!C12</f>
        <v>0</v>
      </c>
      <c r="D12" s="340">
        <f>'6.Polg_Hivatal'!D12</f>
        <v>0</v>
      </c>
      <c r="E12" s="88">
        <f>'6.Polg_Hivatal'!E12</f>
        <v>0</v>
      </c>
      <c r="F12" s="88">
        <f>'6.Polg_Hivatal'!F12</f>
        <v>0</v>
      </c>
      <c r="G12" s="88">
        <f>'6.Polg_Hivatal'!G12</f>
        <v>0</v>
      </c>
      <c r="H12" s="541">
        <f t="shared" si="1"/>
        <v>0</v>
      </c>
      <c r="I12" s="1087">
        <f>'6.Polg_Hivatal'!I12</f>
        <v>0</v>
      </c>
      <c r="J12" s="541">
        <f>'6.Polg_Hivatal'!J12</f>
        <v>8000</v>
      </c>
      <c r="K12" s="541">
        <f>'6.Polg_Hivatal'!K12</f>
        <v>0</v>
      </c>
      <c r="L12" s="541" t="str">
        <f>'6.Polg_Hivatal'!L12</f>
        <v/>
      </c>
    </row>
    <row r="13" spans="1:12" s="26" customFormat="1" ht="12.2" customHeight="1" x14ac:dyDescent="0.2">
      <c r="A13" s="1037" t="s">
        <v>93</v>
      </c>
      <c r="B13" s="330" t="s">
        <v>145</v>
      </c>
      <c r="C13" s="331">
        <f>'6.Polg_Hivatal'!C13</f>
        <v>1792000</v>
      </c>
      <c r="D13" s="340">
        <f>'6.Polg_Hivatal'!D13</f>
        <v>1792000</v>
      </c>
      <c r="E13" s="88">
        <f>'6.Polg_Hivatal'!E13</f>
        <v>4257000</v>
      </c>
      <c r="F13" s="88">
        <f>'6.Polg_Hivatal'!F13</f>
        <v>4257000</v>
      </c>
      <c r="G13" s="88">
        <f>'6.Polg_Hivatal'!G13</f>
        <v>0</v>
      </c>
      <c r="H13" s="541">
        <f t="shared" si="1"/>
        <v>2465000</v>
      </c>
      <c r="I13" s="1087">
        <f>'6.Polg_Hivatal'!I13</f>
        <v>0</v>
      </c>
      <c r="J13" s="541">
        <f>'6.Polg_Hivatal'!J13</f>
        <v>4445294</v>
      </c>
      <c r="K13" s="541">
        <f>'6.Polg_Hivatal'!K13</f>
        <v>0</v>
      </c>
      <c r="L13" s="541">
        <f>'6.Polg_Hivatal'!L13</f>
        <v>104.42316185106884</v>
      </c>
    </row>
    <row r="14" spans="1:12" s="26" customFormat="1" ht="12.2" customHeight="1" x14ac:dyDescent="0.2">
      <c r="A14" s="1037" t="s">
        <v>90</v>
      </c>
      <c r="B14" s="330" t="s">
        <v>146</v>
      </c>
      <c r="C14" s="331">
        <f>'6.Polg_Hivatal'!C14</f>
        <v>0</v>
      </c>
      <c r="D14" s="340">
        <f>'6.Polg_Hivatal'!D14</f>
        <v>0</v>
      </c>
      <c r="E14" s="88">
        <f>'6.Polg_Hivatal'!E14</f>
        <v>0</v>
      </c>
      <c r="F14" s="88">
        <f>'6.Polg_Hivatal'!F14</f>
        <v>0</v>
      </c>
      <c r="G14" s="88">
        <f>'6.Polg_Hivatal'!G14</f>
        <v>0</v>
      </c>
      <c r="H14" s="541">
        <f t="shared" si="1"/>
        <v>0</v>
      </c>
      <c r="I14" s="1087">
        <f>'6.Polg_Hivatal'!I14</f>
        <v>0</v>
      </c>
      <c r="J14" s="541">
        <f>'6.Polg_Hivatal'!J14</f>
        <v>0</v>
      </c>
      <c r="K14" s="541">
        <f>'6.Polg_Hivatal'!K14</f>
        <v>0</v>
      </c>
      <c r="L14" s="541" t="str">
        <f>'6.Polg_Hivatal'!L14</f>
        <v/>
      </c>
    </row>
    <row r="15" spans="1:12" s="26" customFormat="1" ht="12.2" customHeight="1" x14ac:dyDescent="0.2">
      <c r="A15" s="1037" t="s">
        <v>147</v>
      </c>
      <c r="B15" s="330" t="s">
        <v>148</v>
      </c>
      <c r="C15" s="331">
        <f>'6.Polg_Hivatal'!C15</f>
        <v>0</v>
      </c>
      <c r="D15" s="340">
        <f>'6.Polg_Hivatal'!D15</f>
        <v>0</v>
      </c>
      <c r="E15" s="88">
        <f>'6.Polg_Hivatal'!E15</f>
        <v>0</v>
      </c>
      <c r="F15" s="88">
        <f>'6.Polg_Hivatal'!F15</f>
        <v>0</v>
      </c>
      <c r="G15" s="88">
        <f>'6.Polg_Hivatal'!G15</f>
        <v>0</v>
      </c>
      <c r="H15" s="541">
        <f t="shared" si="1"/>
        <v>0</v>
      </c>
      <c r="I15" s="1087">
        <f>'6.Polg_Hivatal'!I15</f>
        <v>0</v>
      </c>
      <c r="J15" s="541">
        <f>'6.Polg_Hivatal'!J15</f>
        <v>0</v>
      </c>
      <c r="K15" s="541">
        <f>'6.Polg_Hivatal'!K15</f>
        <v>0</v>
      </c>
      <c r="L15" s="541" t="str">
        <f>'6.Polg_Hivatal'!L15</f>
        <v/>
      </c>
    </row>
    <row r="16" spans="1:12" s="26" customFormat="1" ht="12.2" customHeight="1" x14ac:dyDescent="0.2">
      <c r="A16" s="1037" t="s">
        <v>149</v>
      </c>
      <c r="B16" s="330" t="s">
        <v>150</v>
      </c>
      <c r="C16" s="331">
        <f>'6.Polg_Hivatal'!C16</f>
        <v>448200</v>
      </c>
      <c r="D16" s="340">
        <f>'6.Polg_Hivatal'!D16</f>
        <v>448200</v>
      </c>
      <c r="E16" s="88">
        <f>'6.Polg_Hivatal'!E16</f>
        <v>448200</v>
      </c>
      <c r="F16" s="88">
        <f>'6.Polg_Hivatal'!F16</f>
        <v>448200</v>
      </c>
      <c r="G16" s="88">
        <f>'6.Polg_Hivatal'!G16</f>
        <v>0</v>
      </c>
      <c r="H16" s="541">
        <f t="shared" si="1"/>
        <v>0</v>
      </c>
      <c r="I16" s="1087">
        <f>'6.Polg_Hivatal'!I16</f>
        <v>0</v>
      </c>
      <c r="J16" s="541">
        <f>'6.Polg_Hivatal'!J16</f>
        <v>1221026</v>
      </c>
      <c r="K16" s="541">
        <f>'6.Polg_Hivatal'!K16</f>
        <v>0</v>
      </c>
      <c r="L16" s="541">
        <f>'6.Polg_Hivatal'!L16</f>
        <v>272.42882641677824</v>
      </c>
    </row>
    <row r="17" spans="1:12" s="26" customFormat="1" ht="12.2" customHeight="1" x14ac:dyDescent="0.2">
      <c r="A17" s="1037" t="s">
        <v>151</v>
      </c>
      <c r="B17" s="52" t="s">
        <v>152</v>
      </c>
      <c r="C17" s="331">
        <f>'6.Polg_Hivatal'!C17</f>
        <v>0</v>
      </c>
      <c r="D17" s="340">
        <f>'6.Polg_Hivatal'!D17</f>
        <v>0</v>
      </c>
      <c r="E17" s="88">
        <f>'6.Polg_Hivatal'!E17</f>
        <v>0</v>
      </c>
      <c r="F17" s="88">
        <f>'6.Polg_Hivatal'!F17</f>
        <v>0</v>
      </c>
      <c r="G17" s="88">
        <f>'6.Polg_Hivatal'!G17</f>
        <v>0</v>
      </c>
      <c r="H17" s="541">
        <f t="shared" si="1"/>
        <v>0</v>
      </c>
      <c r="I17" s="1087">
        <f>'6.Polg_Hivatal'!I17</f>
        <v>0</v>
      </c>
      <c r="J17" s="541">
        <f>'6.Polg_Hivatal'!J17</f>
        <v>0</v>
      </c>
      <c r="K17" s="541">
        <f>'6.Polg_Hivatal'!K17</f>
        <v>0</v>
      </c>
      <c r="L17" s="541" t="str">
        <f>'6.Polg_Hivatal'!L17</f>
        <v/>
      </c>
    </row>
    <row r="18" spans="1:12" s="26" customFormat="1" ht="12.2" customHeight="1" x14ac:dyDescent="0.2">
      <c r="A18" s="1037" t="s">
        <v>153</v>
      </c>
      <c r="B18" s="345" t="s">
        <v>302</v>
      </c>
      <c r="C18" s="121">
        <f>'6.Polg_Hivatal'!C18</f>
        <v>0</v>
      </c>
      <c r="D18" s="188">
        <f>'6.Polg_Hivatal'!D18</f>
        <v>0</v>
      </c>
      <c r="E18" s="90">
        <f>'6.Polg_Hivatal'!E18</f>
        <v>0</v>
      </c>
      <c r="F18" s="90">
        <f>'6.Polg_Hivatal'!F18</f>
        <v>0</v>
      </c>
      <c r="G18" s="90">
        <f>'6.Polg_Hivatal'!G18</f>
        <v>0</v>
      </c>
      <c r="H18" s="542">
        <f t="shared" si="1"/>
        <v>0</v>
      </c>
      <c r="I18" s="1088">
        <f>'6.Polg_Hivatal'!I18</f>
        <v>0</v>
      </c>
      <c r="J18" s="542">
        <f>'6.Polg_Hivatal'!J18</f>
        <v>0</v>
      </c>
      <c r="K18" s="542">
        <f>'6.Polg_Hivatal'!K18</f>
        <v>0</v>
      </c>
      <c r="L18" s="542" t="str">
        <f>'6.Polg_Hivatal'!L18</f>
        <v/>
      </c>
    </row>
    <row r="19" spans="1:12" s="54" customFormat="1" ht="12.2" customHeight="1" x14ac:dyDescent="0.2">
      <c r="A19" s="1037" t="s">
        <v>154</v>
      </c>
      <c r="B19" s="330" t="s">
        <v>155</v>
      </c>
      <c r="C19" s="331">
        <f>'6.Polg_Hivatal'!C19</f>
        <v>0</v>
      </c>
      <c r="D19" s="340">
        <f>'6.Polg_Hivatal'!D19</f>
        <v>0</v>
      </c>
      <c r="E19" s="88">
        <f>'6.Polg_Hivatal'!E19</f>
        <v>0</v>
      </c>
      <c r="F19" s="88">
        <f>'6.Polg_Hivatal'!F19</f>
        <v>0</v>
      </c>
      <c r="G19" s="88">
        <f>'6.Polg_Hivatal'!G19</f>
        <v>0</v>
      </c>
      <c r="H19" s="541">
        <f t="shared" si="1"/>
        <v>0</v>
      </c>
      <c r="I19" s="1087">
        <f>'6.Polg_Hivatal'!I19</f>
        <v>0</v>
      </c>
      <c r="J19" s="541">
        <f>'6.Polg_Hivatal'!J19</f>
        <v>0</v>
      </c>
      <c r="K19" s="541">
        <f>'6.Polg_Hivatal'!K19</f>
        <v>0</v>
      </c>
      <c r="L19" s="541" t="str">
        <f>'6.Polg_Hivatal'!L19</f>
        <v/>
      </c>
    </row>
    <row r="20" spans="1:12" s="54" customFormat="1" ht="12.2" customHeight="1" x14ac:dyDescent="0.2">
      <c r="A20" s="1037" t="s">
        <v>156</v>
      </c>
      <c r="B20" s="345" t="s">
        <v>275</v>
      </c>
      <c r="C20" s="333">
        <f>'6.Polg_Hivatal'!C20</f>
        <v>0</v>
      </c>
      <c r="D20" s="341">
        <f>'6.Polg_Hivatal'!D20</f>
        <v>0</v>
      </c>
      <c r="E20" s="88">
        <f>'6.Polg_Hivatal'!E20</f>
        <v>0</v>
      </c>
      <c r="F20" s="88">
        <f>'6.Polg_Hivatal'!F20</f>
        <v>0</v>
      </c>
      <c r="G20" s="331">
        <f>'6.Polg_Hivatal'!G20</f>
        <v>0</v>
      </c>
      <c r="H20" s="543">
        <f t="shared" si="1"/>
        <v>0</v>
      </c>
      <c r="I20" s="1089">
        <f>'6.Polg_Hivatal'!I20</f>
        <v>0</v>
      </c>
      <c r="J20" s="543">
        <f>'6.Polg_Hivatal'!J20</f>
        <v>0</v>
      </c>
      <c r="K20" s="543">
        <f>'6.Polg_Hivatal'!K20</f>
        <v>0</v>
      </c>
      <c r="L20" s="543" t="str">
        <f>'6.Polg_Hivatal'!L20</f>
        <v/>
      </c>
    </row>
    <row r="21" spans="1:12" s="54" customFormat="1" ht="12.2" customHeight="1" thickBot="1" x14ac:dyDescent="0.25">
      <c r="A21" s="1037" t="s">
        <v>276</v>
      </c>
      <c r="B21" s="52" t="s">
        <v>157</v>
      </c>
      <c r="C21" s="333">
        <f>'6.Polg_Hivatal'!C21</f>
        <v>540000</v>
      </c>
      <c r="D21" s="341">
        <f>'6.Polg_Hivatal'!D21</f>
        <v>540000</v>
      </c>
      <c r="E21" s="90">
        <f>'6.Polg_Hivatal'!E21</f>
        <v>540000</v>
      </c>
      <c r="F21" s="90">
        <f>'6.Polg_Hivatal'!F21</f>
        <v>540000</v>
      </c>
      <c r="G21" s="90">
        <f>'6.Polg_Hivatal'!G21</f>
        <v>0</v>
      </c>
      <c r="H21" s="544">
        <f t="shared" si="1"/>
        <v>0</v>
      </c>
      <c r="I21" s="1090">
        <f>'6.Polg_Hivatal'!I21</f>
        <v>0</v>
      </c>
      <c r="J21" s="544">
        <f>'6.Polg_Hivatal'!J21</f>
        <v>915746</v>
      </c>
      <c r="K21" s="544">
        <f>'6.Polg_Hivatal'!K21</f>
        <v>0</v>
      </c>
      <c r="L21" s="544">
        <f>'6.Polg_Hivatal'!L21</f>
        <v>169.58259259259259</v>
      </c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SUM(C23:C25)</f>
        <v>0</v>
      </c>
      <c r="D22" s="127">
        <f t="shared" ref="D22:L22" si="2">SUM(D23:D25)</f>
        <v>0</v>
      </c>
      <c r="E22" s="582">
        <f t="shared" si="2"/>
        <v>331428</v>
      </c>
      <c r="F22" s="582">
        <f t="shared" si="2"/>
        <v>331428</v>
      </c>
      <c r="G22" s="582">
        <f t="shared" si="2"/>
        <v>0</v>
      </c>
      <c r="H22" s="48">
        <f t="shared" si="1"/>
        <v>331428</v>
      </c>
      <c r="I22" s="175">
        <f t="shared" si="2"/>
        <v>0</v>
      </c>
      <c r="J22" s="48">
        <f t="shared" si="2"/>
        <v>331428</v>
      </c>
      <c r="K22" s="48">
        <f t="shared" si="2"/>
        <v>0</v>
      </c>
      <c r="L22" s="48">
        <f t="shared" si="2"/>
        <v>100</v>
      </c>
    </row>
    <row r="23" spans="1:12" s="54" customFormat="1" ht="12.2" customHeight="1" x14ac:dyDescent="0.2">
      <c r="A23" s="1037" t="s">
        <v>94</v>
      </c>
      <c r="B23" s="17" t="s">
        <v>159</v>
      </c>
      <c r="C23" s="331">
        <f>'6.Polg_Hivatal'!C23</f>
        <v>0</v>
      </c>
      <c r="D23" s="340">
        <f>'6.Polg_Hivatal'!D23</f>
        <v>0</v>
      </c>
      <c r="E23" s="584">
        <f>'6.Polg_Hivatal'!E23</f>
        <v>0</v>
      </c>
      <c r="F23" s="584">
        <f>'6.Polg_Hivatal'!F23</f>
        <v>0</v>
      </c>
      <c r="G23" s="584">
        <f>'6.Polg_Hivatal'!G23</f>
        <v>0</v>
      </c>
      <c r="H23" s="75">
        <f t="shared" si="1"/>
        <v>0</v>
      </c>
      <c r="I23" s="637">
        <f>'6.Polg_Hivatal'!I23</f>
        <v>0</v>
      </c>
      <c r="J23" s="75">
        <f>'6.Polg_Hivatal'!J23</f>
        <v>0</v>
      </c>
      <c r="K23" s="75">
        <f>'6.Polg_Hivatal'!K23</f>
        <v>0</v>
      </c>
      <c r="L23" s="75" t="str">
        <f>'6.Polg_Hivatal'!L23</f>
        <v/>
      </c>
    </row>
    <row r="24" spans="1:12" s="54" customFormat="1" ht="12.2" customHeight="1" x14ac:dyDescent="0.2">
      <c r="A24" s="1037" t="s">
        <v>95</v>
      </c>
      <c r="B24" s="330" t="s">
        <v>160</v>
      </c>
      <c r="C24" s="331">
        <f>'6.Polg_Hivatal'!C24</f>
        <v>0</v>
      </c>
      <c r="D24" s="340">
        <f>'6.Polg_Hivatal'!D24</f>
        <v>0</v>
      </c>
      <c r="E24" s="88">
        <f>'6.Polg_Hivatal'!E24</f>
        <v>0</v>
      </c>
      <c r="F24" s="88">
        <f>'6.Polg_Hivatal'!F24</f>
        <v>0</v>
      </c>
      <c r="G24" s="88">
        <f>'6.Polg_Hivatal'!G24</f>
        <v>0</v>
      </c>
      <c r="H24" s="541">
        <f t="shared" si="1"/>
        <v>0</v>
      </c>
      <c r="I24" s="1087">
        <f>'6.Polg_Hivatal'!I24</f>
        <v>0</v>
      </c>
      <c r="J24" s="541">
        <f>'6.Polg_Hivatal'!J24</f>
        <v>0</v>
      </c>
      <c r="K24" s="541">
        <f>'6.Polg_Hivatal'!K24</f>
        <v>0</v>
      </c>
      <c r="L24" s="541" t="str">
        <f>'6.Polg_Hivatal'!L24</f>
        <v/>
      </c>
    </row>
    <row r="25" spans="1:12" s="54" customFormat="1" ht="12.2" customHeight="1" x14ac:dyDescent="0.2">
      <c r="A25" s="1037" t="s">
        <v>96</v>
      </c>
      <c r="B25" s="330" t="s">
        <v>161</v>
      </c>
      <c r="C25" s="331">
        <f>'6.Polg_Hivatal'!C25</f>
        <v>0</v>
      </c>
      <c r="D25" s="340">
        <f>'6.Polg_Hivatal'!D25</f>
        <v>0</v>
      </c>
      <c r="E25" s="88">
        <f>'6.Polg_Hivatal'!E25</f>
        <v>331428</v>
      </c>
      <c r="F25" s="88">
        <f>'6.Polg_Hivatal'!F25</f>
        <v>331428</v>
      </c>
      <c r="G25" s="88">
        <f>'6.Polg_Hivatal'!G25</f>
        <v>0</v>
      </c>
      <c r="H25" s="541">
        <f t="shared" si="1"/>
        <v>331428</v>
      </c>
      <c r="I25" s="1087">
        <f>'6.Polg_Hivatal'!I25</f>
        <v>0</v>
      </c>
      <c r="J25" s="541">
        <f>'6.Polg_Hivatal'!J25</f>
        <v>331428</v>
      </c>
      <c r="K25" s="541">
        <f>'6.Polg_Hivatal'!K25</f>
        <v>0</v>
      </c>
      <c r="L25" s="541">
        <f>'6.Polg_Hivatal'!L25</f>
        <v>100</v>
      </c>
    </row>
    <row r="26" spans="1:12" s="54" customFormat="1" ht="12.2" customHeight="1" thickBot="1" x14ac:dyDescent="0.25">
      <c r="A26" s="1037" t="s">
        <v>317</v>
      </c>
      <c r="B26" s="335" t="s">
        <v>233</v>
      </c>
      <c r="C26" s="331">
        <f>'6.Polg_Hivatal'!C26</f>
        <v>0</v>
      </c>
      <c r="D26" s="340">
        <f>'6.Polg_Hivatal'!D26</f>
        <v>0</v>
      </c>
      <c r="E26" s="88">
        <f>'6.Polg_Hivatal'!E26</f>
        <v>0</v>
      </c>
      <c r="F26" s="88">
        <f>'6.Polg_Hivatal'!F26</f>
        <v>0</v>
      </c>
      <c r="G26" s="88">
        <f>'6.Polg_Hivatal'!G26</f>
        <v>0</v>
      </c>
      <c r="H26" s="545">
        <f t="shared" si="1"/>
        <v>0</v>
      </c>
      <c r="I26" s="1091">
        <f>'6.Polg_Hivatal'!I26</f>
        <v>0</v>
      </c>
      <c r="J26" s="545">
        <f>'6.Polg_Hivatal'!J26</f>
        <v>0</v>
      </c>
      <c r="K26" s="545">
        <f>'6.Polg_Hivatal'!K26</f>
        <v>0</v>
      </c>
      <c r="L26" s="545" t="str">
        <f>'6.Polg_Hivatal'!L26</f>
        <v/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30"/>
      <c r="D27" s="129"/>
      <c r="E27" s="585"/>
      <c r="F27" s="585"/>
      <c r="G27" s="585"/>
      <c r="H27" s="74">
        <f t="shared" si="1"/>
        <v>0</v>
      </c>
      <c r="I27" s="638"/>
      <c r="J27" s="74"/>
      <c r="K27" s="74"/>
      <c r="L27" s="74"/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+C29+C30</f>
        <v>0</v>
      </c>
      <c r="D28" s="127">
        <f t="shared" ref="D28:L28" si="3">+D29+D30</f>
        <v>0</v>
      </c>
      <c r="E28" s="582">
        <f t="shared" si="3"/>
        <v>0</v>
      </c>
      <c r="F28" s="582">
        <f t="shared" si="3"/>
        <v>0</v>
      </c>
      <c r="G28" s="582">
        <f t="shared" si="3"/>
        <v>0</v>
      </c>
      <c r="H28" s="74">
        <f t="shared" si="1"/>
        <v>0</v>
      </c>
      <c r="I28" s="638">
        <f t="shared" si="3"/>
        <v>0</v>
      </c>
      <c r="J28" s="74">
        <f t="shared" si="3"/>
        <v>0</v>
      </c>
      <c r="K28" s="74">
        <f t="shared" si="3"/>
        <v>0</v>
      </c>
      <c r="L28" s="74" t="e">
        <f t="shared" si="3"/>
        <v>#VALUE!</v>
      </c>
    </row>
    <row r="29" spans="1:12" s="54" customFormat="1" ht="12.2" customHeight="1" x14ac:dyDescent="0.2">
      <c r="A29" s="58" t="s">
        <v>100</v>
      </c>
      <c r="B29" s="59" t="s">
        <v>160</v>
      </c>
      <c r="C29" s="122">
        <f>'6.Polg_Hivatal'!C29</f>
        <v>0</v>
      </c>
      <c r="D29" s="189">
        <f>'6.Polg_Hivatal'!D29</f>
        <v>0</v>
      </c>
      <c r="E29" s="586">
        <f>'6.Polg_Hivatal'!E29</f>
        <v>0</v>
      </c>
      <c r="F29" s="586">
        <f>'6.Polg_Hivatal'!F29</f>
        <v>0</v>
      </c>
      <c r="G29" s="586">
        <f>'6.Polg_Hivatal'!G29</f>
        <v>0</v>
      </c>
      <c r="H29" s="546">
        <f t="shared" si="1"/>
        <v>0</v>
      </c>
      <c r="I29" s="1092">
        <f>'6.Polg_Hivatal'!I29</f>
        <v>0</v>
      </c>
      <c r="J29" s="546">
        <f>'6.Polg_Hivatal'!J29</f>
        <v>0</v>
      </c>
      <c r="K29" s="546">
        <f>'6.Polg_Hivatal'!K29</f>
        <v>0</v>
      </c>
      <c r="L29" s="546" t="str">
        <f>'6.Polg_Hivatal'!L29</f>
        <v/>
      </c>
    </row>
    <row r="30" spans="1:12" s="54" customFormat="1" ht="12.2" customHeight="1" x14ac:dyDescent="0.2">
      <c r="A30" s="58" t="s">
        <v>101</v>
      </c>
      <c r="B30" s="336" t="s">
        <v>163</v>
      </c>
      <c r="C30" s="120">
        <f>'6.Polg_Hivatal'!C30</f>
        <v>0</v>
      </c>
      <c r="D30" s="193">
        <f>'6.Polg_Hivatal'!D30</f>
        <v>0</v>
      </c>
      <c r="E30" s="107">
        <f>'6.Polg_Hivatal'!E30</f>
        <v>0</v>
      </c>
      <c r="F30" s="107">
        <f>'6.Polg_Hivatal'!F30</f>
        <v>0</v>
      </c>
      <c r="G30" s="339">
        <f>'6.Polg_Hivatal'!G30</f>
        <v>0</v>
      </c>
      <c r="H30" s="534">
        <f t="shared" si="1"/>
        <v>0</v>
      </c>
      <c r="I30" s="630">
        <f>'6.Polg_Hivatal'!I30</f>
        <v>0</v>
      </c>
      <c r="J30" s="534">
        <f>'6.Polg_Hivatal'!J30</f>
        <v>0</v>
      </c>
      <c r="K30" s="534">
        <f>'6.Polg_Hivatal'!K30</f>
        <v>0</v>
      </c>
      <c r="L30" s="534" t="str">
        <f>'6.Polg_Hivatal'!L30</f>
        <v/>
      </c>
    </row>
    <row r="31" spans="1:12" s="54" customFormat="1" ht="12.2" customHeight="1" thickBot="1" x14ac:dyDescent="0.25">
      <c r="A31" s="1037" t="s">
        <v>281</v>
      </c>
      <c r="B31" s="102" t="s">
        <v>165</v>
      </c>
      <c r="C31" s="92">
        <f>'6.Polg_Hivatal'!C31</f>
        <v>0</v>
      </c>
      <c r="D31" s="190">
        <f>'6.Polg_Hivatal'!D31</f>
        <v>0</v>
      </c>
      <c r="E31" s="587">
        <f>'6.Polg_Hivatal'!E31</f>
        <v>0</v>
      </c>
      <c r="F31" s="587">
        <f>'6.Polg_Hivatal'!F31</f>
        <v>0</v>
      </c>
      <c r="G31" s="587">
        <f>'6.Polg_Hivatal'!G31</f>
        <v>0</v>
      </c>
      <c r="H31" s="547">
        <f t="shared" si="1"/>
        <v>0</v>
      </c>
      <c r="I31" s="1093">
        <f>'6.Polg_Hivatal'!I31</f>
        <v>0</v>
      </c>
      <c r="J31" s="547">
        <f>'6.Polg_Hivatal'!J31</f>
        <v>0</v>
      </c>
      <c r="K31" s="547">
        <f>'6.Polg_Hivatal'!K31</f>
        <v>0</v>
      </c>
      <c r="L31" s="547" t="str">
        <f>'6.Polg_Hivatal'!L31</f>
        <v/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+C33+C34+C35</f>
        <v>0</v>
      </c>
      <c r="D32" s="127">
        <f t="shared" ref="D32:L32" si="4">+D33+D34+D35</f>
        <v>0</v>
      </c>
      <c r="E32" s="582">
        <f t="shared" si="4"/>
        <v>0</v>
      </c>
      <c r="F32" s="582">
        <f t="shared" si="4"/>
        <v>0</v>
      </c>
      <c r="G32" s="582">
        <f t="shared" si="4"/>
        <v>0</v>
      </c>
      <c r="H32" s="74">
        <f t="shared" si="1"/>
        <v>0</v>
      </c>
      <c r="I32" s="638">
        <f t="shared" si="4"/>
        <v>0</v>
      </c>
      <c r="J32" s="74">
        <f t="shared" si="4"/>
        <v>74000</v>
      </c>
      <c r="K32" s="74">
        <f t="shared" si="4"/>
        <v>0</v>
      </c>
      <c r="L32" s="74" t="e">
        <f t="shared" si="4"/>
        <v>#VALUE!</v>
      </c>
    </row>
    <row r="33" spans="1:12" s="54" customFormat="1" ht="12.2" customHeight="1" x14ac:dyDescent="0.2">
      <c r="A33" s="58" t="s">
        <v>89</v>
      </c>
      <c r="B33" s="59" t="s">
        <v>167</v>
      </c>
      <c r="C33" s="122">
        <f>'6.Polg_Hivatal'!C33</f>
        <v>0</v>
      </c>
      <c r="D33" s="189">
        <f>'6.Polg_Hivatal'!D33</f>
        <v>0</v>
      </c>
      <c r="E33" s="586">
        <f>'6.Polg_Hivatal'!E33</f>
        <v>0</v>
      </c>
      <c r="F33" s="586">
        <f>'6.Polg_Hivatal'!F33</f>
        <v>0</v>
      </c>
      <c r="G33" s="586">
        <f>'6.Polg_Hivatal'!G33</f>
        <v>0</v>
      </c>
      <c r="H33" s="546">
        <f t="shared" si="1"/>
        <v>0</v>
      </c>
      <c r="I33" s="1092">
        <f>'6.Polg_Hivatal'!I33</f>
        <v>0</v>
      </c>
      <c r="J33" s="546">
        <f>'6.Polg_Hivatal'!J33</f>
        <v>0</v>
      </c>
      <c r="K33" s="546">
        <f>'6.Polg_Hivatal'!K33</f>
        <v>0</v>
      </c>
      <c r="L33" s="546" t="str">
        <f>'6.Polg_Hivatal'!L33</f>
        <v/>
      </c>
    </row>
    <row r="34" spans="1:12" s="54" customFormat="1" ht="12.2" customHeight="1" x14ac:dyDescent="0.2">
      <c r="A34" s="58" t="s">
        <v>102</v>
      </c>
      <c r="B34" s="336" t="s">
        <v>168</v>
      </c>
      <c r="C34" s="120">
        <f>'6.Polg_Hivatal'!C34</f>
        <v>0</v>
      </c>
      <c r="D34" s="193">
        <f>'6.Polg_Hivatal'!D34</f>
        <v>0</v>
      </c>
      <c r="E34" s="107">
        <f>'6.Polg_Hivatal'!E34</f>
        <v>0</v>
      </c>
      <c r="F34" s="107">
        <f>'6.Polg_Hivatal'!F34</f>
        <v>0</v>
      </c>
      <c r="G34" s="339">
        <f>'6.Polg_Hivatal'!G34</f>
        <v>0</v>
      </c>
      <c r="H34" s="534">
        <f t="shared" si="1"/>
        <v>0</v>
      </c>
      <c r="I34" s="630">
        <f>'6.Polg_Hivatal'!I34</f>
        <v>0</v>
      </c>
      <c r="J34" s="534">
        <f>'6.Polg_Hivatal'!J34</f>
        <v>0</v>
      </c>
      <c r="K34" s="534">
        <f>'6.Polg_Hivatal'!K34</f>
        <v>0</v>
      </c>
      <c r="L34" s="534" t="str">
        <f>'6.Polg_Hivatal'!L34</f>
        <v/>
      </c>
    </row>
    <row r="35" spans="1:12" s="54" customFormat="1" ht="12.2" customHeight="1" thickBot="1" x14ac:dyDescent="0.25">
      <c r="A35" s="1037" t="s">
        <v>103</v>
      </c>
      <c r="B35" s="62" t="s">
        <v>169</v>
      </c>
      <c r="C35" s="92">
        <f>'6.Polg_Hivatal'!C35</f>
        <v>0</v>
      </c>
      <c r="D35" s="190">
        <f>'6.Polg_Hivatal'!D35</f>
        <v>0</v>
      </c>
      <c r="E35" s="587">
        <f>'6.Polg_Hivatal'!E35</f>
        <v>0</v>
      </c>
      <c r="F35" s="587">
        <f>'6.Polg_Hivatal'!F35</f>
        <v>0</v>
      </c>
      <c r="G35" s="587">
        <f>'6.Polg_Hivatal'!G35</f>
        <v>0</v>
      </c>
      <c r="H35" s="548">
        <f t="shared" si="1"/>
        <v>0</v>
      </c>
      <c r="I35" s="1094">
        <f>'6.Polg_Hivatal'!I35</f>
        <v>0</v>
      </c>
      <c r="J35" s="548">
        <f>'6.Polg_Hivatal'!J35</f>
        <v>74000</v>
      </c>
      <c r="K35" s="548">
        <f>'6.Polg_Hivatal'!K35</f>
        <v>0</v>
      </c>
      <c r="L35" s="548" t="str">
        <f>'6.Polg_Hivatal'!L35</f>
        <v/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30">
        <f>'6.Polg_Hivatal'!C36</f>
        <v>0</v>
      </c>
      <c r="D36" s="129">
        <f>'6.Polg_Hivatal'!D36</f>
        <v>0</v>
      </c>
      <c r="E36" s="585">
        <f>'6.Polg_Hivatal'!E36</f>
        <v>0</v>
      </c>
      <c r="F36" s="585">
        <f>'6.Polg_Hivatal'!F36</f>
        <v>0</v>
      </c>
      <c r="G36" s="585">
        <f>'6.Polg_Hivatal'!G36</f>
        <v>0</v>
      </c>
      <c r="H36" s="74">
        <f t="shared" si="1"/>
        <v>0</v>
      </c>
      <c r="I36" s="638">
        <f>'6.Polg_Hivatal'!I36</f>
        <v>0</v>
      </c>
      <c r="J36" s="74">
        <f>'6.Polg_Hivatal'!J36</f>
        <v>0</v>
      </c>
      <c r="K36" s="74">
        <f>'6.Polg_Hivatal'!K36</f>
        <v>0</v>
      </c>
      <c r="L36" s="74" t="str">
        <f>'6.Polg_Hivatal'!L36</f>
        <v/>
      </c>
    </row>
    <row r="37" spans="1:12" s="26" customFormat="1" ht="12.2" customHeight="1" thickBot="1" x14ac:dyDescent="0.25">
      <c r="A37" s="1038" t="s">
        <v>104</v>
      </c>
      <c r="B37" s="337" t="s">
        <v>165</v>
      </c>
      <c r="C37" s="130">
        <f>'6.Polg_Hivatal'!C37</f>
        <v>0</v>
      </c>
      <c r="D37" s="129">
        <f>'6.Polg_Hivatal'!D37</f>
        <v>0</v>
      </c>
      <c r="E37" s="588">
        <f>'6.Polg_Hivatal'!E37</f>
        <v>0</v>
      </c>
      <c r="F37" s="588">
        <f>'6.Polg_Hivatal'!F37</f>
        <v>0</v>
      </c>
      <c r="G37" s="588">
        <f>'6.Polg_Hivatal'!G37</f>
        <v>0</v>
      </c>
      <c r="H37" s="549">
        <f t="shared" si="1"/>
        <v>0</v>
      </c>
      <c r="I37" s="1095">
        <f>'6.Polg_Hivatal'!I37</f>
        <v>0</v>
      </c>
      <c r="J37" s="549">
        <f>'6.Polg_Hivatal'!J37</f>
        <v>0</v>
      </c>
      <c r="K37" s="549">
        <f>'6.Polg_Hivatal'!K37</f>
        <v>0</v>
      </c>
      <c r="L37" s="549" t="str">
        <f>'6.Polg_Hivatal'!L37</f>
        <v/>
      </c>
    </row>
    <row r="38" spans="1:12" s="26" customFormat="1" ht="12.2" customHeight="1" thickBot="1" x14ac:dyDescent="0.25">
      <c r="A38" s="55" t="s">
        <v>18</v>
      </c>
      <c r="B38" s="56" t="s">
        <v>555</v>
      </c>
      <c r="C38" s="130">
        <f>SUM(C39:C40)</f>
        <v>0</v>
      </c>
      <c r="D38" s="129">
        <f t="shared" ref="D38:L38" si="5">SUM(D39:D40)</f>
        <v>0</v>
      </c>
      <c r="E38" s="585">
        <f t="shared" si="5"/>
        <v>0</v>
      </c>
      <c r="F38" s="585">
        <f t="shared" si="5"/>
        <v>0</v>
      </c>
      <c r="G38" s="585">
        <f t="shared" si="5"/>
        <v>0</v>
      </c>
      <c r="H38" s="74">
        <f t="shared" si="1"/>
        <v>0</v>
      </c>
      <c r="I38" s="638">
        <f t="shared" si="5"/>
        <v>0</v>
      </c>
      <c r="J38" s="74">
        <f t="shared" si="5"/>
        <v>0</v>
      </c>
      <c r="K38" s="74">
        <f t="shared" si="5"/>
        <v>0</v>
      </c>
      <c r="L38" s="74">
        <f t="shared" si="5"/>
        <v>0</v>
      </c>
    </row>
    <row r="39" spans="1:12" s="26" customFormat="1" ht="12.2" customHeight="1" x14ac:dyDescent="0.2">
      <c r="A39" s="12" t="s">
        <v>107</v>
      </c>
      <c r="B39" s="95" t="s">
        <v>212</v>
      </c>
      <c r="C39" s="131">
        <f>'6.Polg_Hivatal'!C39</f>
        <v>0</v>
      </c>
      <c r="D39" s="194">
        <f>'6.Polg_Hivatal'!D39</f>
        <v>0</v>
      </c>
      <c r="E39" s="589">
        <f>'6.Polg_Hivatal'!E39</f>
        <v>0</v>
      </c>
      <c r="F39" s="589">
        <f>'6.Polg_Hivatal'!F39</f>
        <v>0</v>
      </c>
      <c r="G39" s="589">
        <f>'6.Polg_Hivatal'!G39</f>
        <v>0</v>
      </c>
      <c r="H39" s="550">
        <f t="shared" si="1"/>
        <v>0</v>
      </c>
      <c r="I39" s="1096">
        <f>'6.Polg_Hivatal'!I39</f>
        <v>0</v>
      </c>
      <c r="J39" s="550">
        <f>'6.Polg_Hivatal'!J39</f>
        <v>0</v>
      </c>
      <c r="K39" s="550">
        <f>'6.Polg_Hivatal'!K39</f>
        <v>0</v>
      </c>
      <c r="L39" s="550" t="str">
        <f>'6.Polg_Hivatal'!L39</f>
        <v/>
      </c>
    </row>
    <row r="40" spans="1:12" s="26" customFormat="1" ht="12.2" customHeight="1" x14ac:dyDescent="0.2">
      <c r="A40" s="1003" t="s">
        <v>108</v>
      </c>
      <c r="B40" s="346" t="s">
        <v>213</v>
      </c>
      <c r="C40" s="338">
        <f>'6.Polg_Hivatal'!C40</f>
        <v>0</v>
      </c>
      <c r="D40" s="342">
        <f>'6.Polg_Hivatal'!D40</f>
        <v>0</v>
      </c>
      <c r="E40" s="590">
        <f>'6.Polg_Hivatal'!E40</f>
        <v>0</v>
      </c>
      <c r="F40" s="590">
        <f>'6.Polg_Hivatal'!F40</f>
        <v>0</v>
      </c>
      <c r="G40" s="590">
        <f>'6.Polg_Hivatal'!G40</f>
        <v>0</v>
      </c>
      <c r="H40" s="551">
        <f t="shared" si="1"/>
        <v>0</v>
      </c>
      <c r="I40" s="1097">
        <f>'6.Polg_Hivatal'!I40</f>
        <v>0</v>
      </c>
      <c r="J40" s="551">
        <f>'6.Polg_Hivatal'!J40</f>
        <v>0</v>
      </c>
      <c r="K40" s="551">
        <f>'6.Polg_Hivatal'!K40</f>
        <v>0</v>
      </c>
      <c r="L40" s="551" t="str">
        <f>'6.Polg_Hivatal'!L40</f>
        <v/>
      </c>
    </row>
    <row r="41" spans="1:12" s="26" customFormat="1" ht="12.2" customHeight="1" thickBot="1" x14ac:dyDescent="0.25">
      <c r="A41" s="1003" t="s">
        <v>323</v>
      </c>
      <c r="B41" s="103" t="s">
        <v>165</v>
      </c>
      <c r="C41" s="133">
        <f>'6.Polg_Hivatal'!C41</f>
        <v>0</v>
      </c>
      <c r="D41" s="132">
        <f>'6.Polg_Hivatal'!D41</f>
        <v>0</v>
      </c>
      <c r="E41" s="591">
        <f>'6.Polg_Hivatal'!E41</f>
        <v>0</v>
      </c>
      <c r="F41" s="591">
        <f>'6.Polg_Hivatal'!F41</f>
        <v>0</v>
      </c>
      <c r="G41" s="591">
        <f>'6.Polg_Hivatal'!G41</f>
        <v>0</v>
      </c>
      <c r="H41" s="552">
        <f t="shared" si="1"/>
        <v>0</v>
      </c>
      <c r="I41" s="1098">
        <f>'6.Polg_Hivatal'!I41</f>
        <v>0</v>
      </c>
      <c r="J41" s="552">
        <f>'6.Polg_Hivatal'!J41</f>
        <v>0</v>
      </c>
      <c r="K41" s="552">
        <f>'6.Polg_Hivatal'!K41</f>
        <v>0</v>
      </c>
      <c r="L41" s="552" t="str">
        <f>'6.Polg_Hivatal'!L41</f>
        <v/>
      </c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2780200</v>
      </c>
      <c r="D42" s="127">
        <f t="shared" ref="D42:L42" si="6">+D10+D22+D27+D28+D32+D36+D38</f>
        <v>2780200</v>
      </c>
      <c r="E42" s="582">
        <f t="shared" si="6"/>
        <v>5576628</v>
      </c>
      <c r="F42" s="582">
        <f t="shared" si="6"/>
        <v>5576628</v>
      </c>
      <c r="G42" s="582">
        <f t="shared" si="6"/>
        <v>0</v>
      </c>
      <c r="H42" s="74">
        <f t="shared" si="1"/>
        <v>2796428</v>
      </c>
      <c r="I42" s="638">
        <f t="shared" si="6"/>
        <v>0</v>
      </c>
      <c r="J42" s="74">
        <f t="shared" si="6"/>
        <v>6995494</v>
      </c>
      <c r="K42" s="74">
        <f t="shared" si="6"/>
        <v>0</v>
      </c>
      <c r="L42" s="74" t="e">
        <f t="shared" si="6"/>
        <v>#VALUE!</v>
      </c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SUM(C44:C47)</f>
        <v>605121117</v>
      </c>
      <c r="D43" s="127">
        <f t="shared" ref="D43:L43" si="7">SUM(D44:D47)</f>
        <v>620989483</v>
      </c>
      <c r="E43" s="582">
        <f t="shared" si="7"/>
        <v>695056983</v>
      </c>
      <c r="F43" s="582">
        <f t="shared" si="7"/>
        <v>695056983</v>
      </c>
      <c r="G43" s="582">
        <f t="shared" si="7"/>
        <v>2285982</v>
      </c>
      <c r="H43" s="74">
        <f t="shared" si="1"/>
        <v>74067500</v>
      </c>
      <c r="I43" s="638">
        <f t="shared" si="7"/>
        <v>2285984</v>
      </c>
      <c r="J43" s="74">
        <f t="shared" si="7"/>
        <v>475600768</v>
      </c>
      <c r="K43" s="74">
        <f t="shared" si="7"/>
        <v>0</v>
      </c>
      <c r="L43" s="74">
        <f t="shared" si="7"/>
        <v>220.37188727982607</v>
      </c>
    </row>
    <row r="44" spans="1:12" s="26" customFormat="1" ht="12.2" customHeight="1" x14ac:dyDescent="0.2">
      <c r="A44" s="58" t="s">
        <v>171</v>
      </c>
      <c r="B44" s="59" t="s">
        <v>131</v>
      </c>
      <c r="C44" s="122">
        <f>'6.Polg_Hivatal'!C44</f>
        <v>2285980</v>
      </c>
      <c r="D44" s="189">
        <f>'6.Polg_Hivatal'!D44</f>
        <v>4539346</v>
      </c>
      <c r="E44" s="586">
        <f>'6.Polg_Hivatal'!E44</f>
        <v>4539346</v>
      </c>
      <c r="F44" s="586">
        <f>'6.Polg_Hivatal'!F44</f>
        <v>4539346</v>
      </c>
      <c r="G44" s="586">
        <f>'6.Polg_Hivatal'!G44</f>
        <v>0</v>
      </c>
      <c r="H44" s="546">
        <f t="shared" si="1"/>
        <v>0</v>
      </c>
      <c r="I44" s="1092">
        <f>'6.Polg_Hivatal'!I44</f>
        <v>0</v>
      </c>
      <c r="J44" s="546">
        <f>'6.Polg_Hivatal'!J44</f>
        <v>4539346</v>
      </c>
      <c r="K44" s="546">
        <f>'6.Polg_Hivatal'!K44</f>
        <v>0</v>
      </c>
      <c r="L44" s="546">
        <f>'6.Polg_Hivatal'!L44</f>
        <v>100</v>
      </c>
    </row>
    <row r="45" spans="1:12" s="26" customFormat="1" ht="12.2" customHeight="1" x14ac:dyDescent="0.2">
      <c r="A45" s="71" t="s">
        <v>172</v>
      </c>
      <c r="B45" s="59" t="s">
        <v>186</v>
      </c>
      <c r="C45" s="120">
        <f>'6.Polg_Hivatal'!C45</f>
        <v>0</v>
      </c>
      <c r="D45" s="193">
        <f>'6.Polg_Hivatal'!D45</f>
        <v>0</v>
      </c>
      <c r="E45" s="91">
        <f>'6.Polg_Hivatal'!E45</f>
        <v>0</v>
      </c>
      <c r="F45" s="91">
        <f>'6.Polg_Hivatal'!F45</f>
        <v>0</v>
      </c>
      <c r="G45" s="91">
        <f>'6.Polg_Hivatal'!G45</f>
        <v>0</v>
      </c>
      <c r="H45" s="553">
        <f t="shared" si="1"/>
        <v>0</v>
      </c>
      <c r="I45" s="1099">
        <f>'6.Polg_Hivatal'!I45</f>
        <v>0</v>
      </c>
      <c r="J45" s="553">
        <f>'6.Polg_Hivatal'!J45</f>
        <v>0</v>
      </c>
      <c r="K45" s="553">
        <f>'6.Polg_Hivatal'!K45</f>
        <v>0</v>
      </c>
      <c r="L45" s="553" t="str">
        <f>'6.Polg_Hivatal'!L45</f>
        <v/>
      </c>
    </row>
    <row r="46" spans="1:12" s="26" customFormat="1" ht="12.2" customHeight="1" x14ac:dyDescent="0.2">
      <c r="A46" s="1037" t="s">
        <v>173</v>
      </c>
      <c r="B46" s="336" t="s">
        <v>177</v>
      </c>
      <c r="C46" s="339">
        <f>'6.Polg_Hivatal'!C46</f>
        <v>596783973</v>
      </c>
      <c r="D46" s="323">
        <f>'6.Polg_Hivatal'!D46</f>
        <v>607398973</v>
      </c>
      <c r="E46" s="107">
        <f>'6.Polg_Hivatal'!E46</f>
        <v>681466473</v>
      </c>
      <c r="F46" s="107">
        <f>'6.Polg_Hivatal'!F46</f>
        <v>681466473</v>
      </c>
      <c r="G46" s="107">
        <f>'6.Polg_Hivatal'!G46</f>
        <v>2285982</v>
      </c>
      <c r="H46" s="534">
        <f t="shared" si="1"/>
        <v>74067500</v>
      </c>
      <c r="I46" s="630">
        <f>'6.Polg_Hivatal'!I46</f>
        <v>2285984</v>
      </c>
      <c r="J46" s="534">
        <f>'6.Polg_Hivatal'!J46</f>
        <v>466360515</v>
      </c>
      <c r="K46" s="534">
        <f>'6.Polg_Hivatal'!K46</f>
        <v>0</v>
      </c>
      <c r="L46" s="534">
        <f>'6.Polg_Hivatal'!L46</f>
        <v>68.4348436023499</v>
      </c>
    </row>
    <row r="47" spans="1:12" s="54" customFormat="1" ht="12.2" customHeight="1" thickBot="1" x14ac:dyDescent="0.25">
      <c r="A47" s="58" t="s">
        <v>178</v>
      </c>
      <c r="B47" s="62" t="s">
        <v>179</v>
      </c>
      <c r="C47" s="1034">
        <f>'6.Polg_Hivatal'!C47</f>
        <v>6051164</v>
      </c>
      <c r="D47" s="195">
        <f>'6.Polg_Hivatal'!D47</f>
        <v>9051164</v>
      </c>
      <c r="E47" s="587">
        <f>'6.Polg_Hivatal'!E47</f>
        <v>9051164</v>
      </c>
      <c r="F47" s="587">
        <f>'6.Polg_Hivatal'!F47</f>
        <v>9051164</v>
      </c>
      <c r="G47" s="587">
        <f>'6.Polg_Hivatal'!G47</f>
        <v>0</v>
      </c>
      <c r="H47" s="548">
        <f t="shared" si="1"/>
        <v>0</v>
      </c>
      <c r="I47" s="1094">
        <f>'6.Polg_Hivatal'!I47</f>
        <v>0</v>
      </c>
      <c r="J47" s="548">
        <f>'6.Polg_Hivatal'!J47</f>
        <v>4700907</v>
      </c>
      <c r="K47" s="548">
        <f>'6.Polg_Hivatal'!K47</f>
        <v>0</v>
      </c>
      <c r="L47" s="548">
        <f>'6.Polg_Hivatal'!L47</f>
        <v>51.937043677476183</v>
      </c>
    </row>
    <row r="48" spans="1:12" s="54" customFormat="1" ht="15" customHeight="1" thickBot="1" x14ac:dyDescent="0.25">
      <c r="A48" s="63" t="s">
        <v>21</v>
      </c>
      <c r="B48" s="524" t="s">
        <v>174</v>
      </c>
      <c r="C48" s="135">
        <f>+C42+C43</f>
        <v>607901317</v>
      </c>
      <c r="D48" s="134">
        <f t="shared" ref="D48:L48" si="8">+D42+D43</f>
        <v>623769683</v>
      </c>
      <c r="E48" s="592">
        <f t="shared" si="8"/>
        <v>700633611</v>
      </c>
      <c r="F48" s="592">
        <f t="shared" si="8"/>
        <v>700633611</v>
      </c>
      <c r="G48" s="592">
        <f t="shared" si="8"/>
        <v>2285982</v>
      </c>
      <c r="H48" s="557">
        <f t="shared" si="1"/>
        <v>76863928</v>
      </c>
      <c r="I48" s="1100">
        <f t="shared" si="8"/>
        <v>2285984</v>
      </c>
      <c r="J48" s="557">
        <f t="shared" si="8"/>
        <v>482596262</v>
      </c>
      <c r="K48" s="557">
        <f t="shared" si="8"/>
        <v>0</v>
      </c>
      <c r="L48" s="557" t="e">
        <f t="shared" si="8"/>
        <v>#VALUE!</v>
      </c>
    </row>
    <row r="49" spans="1:14" s="54" customFormat="1" ht="15" customHeight="1" x14ac:dyDescent="0.2">
      <c r="A49" s="64"/>
      <c r="B49" s="65"/>
      <c r="C49" s="66"/>
      <c r="D49" s="66"/>
      <c r="E49" s="66"/>
      <c r="F49" s="66"/>
      <c r="G49" s="66"/>
      <c r="H49" s="66"/>
      <c r="I49" s="66"/>
      <c r="J49" s="66"/>
      <c r="K49" s="66"/>
      <c r="L49" s="66"/>
    </row>
    <row r="50" spans="1:14" s="54" customFormat="1" ht="15" customHeight="1" x14ac:dyDescent="0.2">
      <c r="A50" s="64"/>
      <c r="B50" s="65"/>
      <c r="C50" s="66"/>
      <c r="D50" s="66"/>
      <c r="E50" s="66"/>
      <c r="F50" s="66"/>
      <c r="G50" s="66"/>
      <c r="H50" s="66"/>
      <c r="I50" s="66"/>
      <c r="J50" s="66"/>
      <c r="K50" s="66"/>
      <c r="L50" s="66"/>
    </row>
    <row r="51" spans="1:14" ht="13.5" thickBot="1" x14ac:dyDescent="0.25">
      <c r="A51" s="1912" t="s">
        <v>362</v>
      </c>
      <c r="B51" s="1912"/>
      <c r="C51" s="1912"/>
      <c r="D51" s="1912"/>
      <c r="E51" s="1912"/>
      <c r="F51" s="1912"/>
      <c r="G51" s="1912"/>
      <c r="H51" s="1912"/>
      <c r="N51" s="25" t="b">
        <f>D48=D70</f>
        <v>1</v>
      </c>
    </row>
    <row r="52" spans="1:14" s="554" customFormat="1" ht="55.5" customHeight="1" thickBot="1" x14ac:dyDescent="0.25">
      <c r="A52" s="641"/>
      <c r="B52" s="642" t="s">
        <v>38</v>
      </c>
      <c r="C52" s="21" t="str">
        <f>C7</f>
        <v>2023. évi eredeti előirányzat
2/2023. (II.14.)</v>
      </c>
      <c r="D52" s="166" t="str">
        <f t="shared" ref="D52:L52" si="9">D7</f>
        <v>Módosított előirányzat a 14/2023.  (VI.29.)  rendelet szerint</v>
      </c>
      <c r="E52" s="21" t="str">
        <f t="shared" si="9"/>
        <v>Módosított előirányzat a 18/2023. (IX.26.)  rendelet szerint</v>
      </c>
      <c r="F52" s="21" t="str">
        <f t="shared" si="9"/>
        <v>Módosított előirányzat 2023.09.30-án</v>
      </c>
      <c r="G52" s="21" t="str">
        <f t="shared" si="9"/>
        <v>Módosított előirányzat a …../2023. (II…..)  rendelet szerint</v>
      </c>
      <c r="H52" s="32" t="str">
        <f t="shared" si="9"/>
        <v>Változás a 14/2023. (VI.29.) rendelethez képest</v>
      </c>
      <c r="I52" s="166" t="str">
        <f t="shared" si="9"/>
        <v>2023. évi teljesítés              2023.06.30-ig</v>
      </c>
      <c r="J52" s="21" t="str">
        <f t="shared" si="9"/>
        <v>2023. évi teljesítés              2023.09.30-ig</v>
      </c>
      <c r="K52" s="21" t="str">
        <f t="shared" si="9"/>
        <v>2023. évi teljesítés              2023.12.31-ig</v>
      </c>
      <c r="L52" s="21" t="str">
        <f t="shared" si="9"/>
        <v>Teljesítés %-a</v>
      </c>
    </row>
    <row r="53" spans="1:14" s="31" customFormat="1" ht="12.2" customHeight="1" thickBot="1" x14ac:dyDescent="0.25">
      <c r="A53" s="55" t="s">
        <v>12</v>
      </c>
      <c r="B53" s="56" t="s">
        <v>547</v>
      </c>
      <c r="C53" s="89">
        <f>SUM(C54:C59)-C55</f>
        <v>601850153</v>
      </c>
      <c r="D53" s="127">
        <f t="shared" ref="D53:L53" si="10">SUM(D54:D59)-D55</f>
        <v>614718519</v>
      </c>
      <c r="E53" s="582">
        <f t="shared" si="10"/>
        <v>691582447</v>
      </c>
      <c r="F53" s="582">
        <f t="shared" si="10"/>
        <v>691582447</v>
      </c>
      <c r="G53" s="582">
        <f t="shared" si="10"/>
        <v>2285982</v>
      </c>
      <c r="H53" s="48">
        <f t="shared" ref="H53:H72" si="11">+E53-D53</f>
        <v>76863928</v>
      </c>
      <c r="I53" s="175">
        <f t="shared" si="10"/>
        <v>2285984</v>
      </c>
      <c r="J53" s="48">
        <f t="shared" si="10"/>
        <v>474431240</v>
      </c>
      <c r="K53" s="48">
        <f t="shared" si="10"/>
        <v>0</v>
      </c>
      <c r="L53" s="48">
        <f t="shared" si="10"/>
        <v>302.13507878933029</v>
      </c>
    </row>
    <row r="54" spans="1:14" ht="12.2" customHeight="1" x14ac:dyDescent="0.2">
      <c r="A54" s="1037" t="s">
        <v>91</v>
      </c>
      <c r="B54" s="17" t="s">
        <v>68</v>
      </c>
      <c r="C54" s="122">
        <f>'6.Polg_Hivatal'!C54</f>
        <v>391438179</v>
      </c>
      <c r="D54" s="189">
        <f>'6.Polg_Hivatal'!D54</f>
        <v>395165979</v>
      </c>
      <c r="E54" s="586">
        <f>'6.Polg_Hivatal'!E54</f>
        <v>460247407</v>
      </c>
      <c r="F54" s="586">
        <f>'6.Polg_Hivatal'!F54</f>
        <v>460247407</v>
      </c>
      <c r="G54" s="586">
        <f>'6.Polg_Hivatal'!G54</f>
        <v>0</v>
      </c>
      <c r="H54" s="33">
        <f t="shared" si="11"/>
        <v>65081428</v>
      </c>
      <c r="I54" s="177">
        <f>'6.Polg_Hivatal'!I54</f>
        <v>0</v>
      </c>
      <c r="J54" s="33">
        <f>'6.Polg_Hivatal'!J54</f>
        <v>324136905</v>
      </c>
      <c r="K54" s="33">
        <f>'6.Polg_Hivatal'!K54</f>
        <v>0</v>
      </c>
      <c r="L54" s="33">
        <f>'6.Polg_Hivatal'!L54</f>
        <v>70.426666195210089</v>
      </c>
    </row>
    <row r="55" spans="1:14" ht="12.2" customHeight="1" x14ac:dyDescent="0.2">
      <c r="A55" s="1037" t="s">
        <v>305</v>
      </c>
      <c r="B55" s="335" t="s">
        <v>270</v>
      </c>
      <c r="C55" s="122">
        <f>'6.Polg_Hivatal'!C55</f>
        <v>3000000</v>
      </c>
      <c r="D55" s="189">
        <f>'6.Polg_Hivatal'!D55</f>
        <v>3227800</v>
      </c>
      <c r="E55" s="586">
        <f>'6.Polg_Hivatal'!E55</f>
        <v>19977800</v>
      </c>
      <c r="F55" s="586">
        <f>'6.Polg_Hivatal'!F55</f>
        <v>19977800</v>
      </c>
      <c r="G55" s="586">
        <f>'6.Polg_Hivatal'!G55</f>
        <v>0</v>
      </c>
      <c r="H55" s="33">
        <f t="shared" si="11"/>
        <v>16750000</v>
      </c>
      <c r="I55" s="177">
        <f>'6.Polg_Hivatal'!I55</f>
        <v>0</v>
      </c>
      <c r="J55" s="33">
        <f>'6.Polg_Hivatal'!J55</f>
        <v>1147800</v>
      </c>
      <c r="K55" s="33">
        <f>'6.Polg_Hivatal'!K55</f>
        <v>0</v>
      </c>
      <c r="L55" s="33">
        <f>'6.Polg_Hivatal'!L55</f>
        <v>5.7453773688794563</v>
      </c>
    </row>
    <row r="56" spans="1:14" ht="12.2" customHeight="1" x14ac:dyDescent="0.2">
      <c r="A56" s="1037" t="s">
        <v>92</v>
      </c>
      <c r="B56" s="330" t="s">
        <v>87</v>
      </c>
      <c r="C56" s="339">
        <f>'6.Polg_Hivatal'!C56</f>
        <v>61678365</v>
      </c>
      <c r="D56" s="323">
        <f>'6.Polg_Hivatal'!D56</f>
        <v>62658365</v>
      </c>
      <c r="E56" s="107">
        <f>'6.Polg_Hivatal'!E56</f>
        <v>71975865</v>
      </c>
      <c r="F56" s="107">
        <f>'6.Polg_Hivatal'!F56</f>
        <v>71975865</v>
      </c>
      <c r="G56" s="107">
        <f>'6.Polg_Hivatal'!G56</f>
        <v>0</v>
      </c>
      <c r="H56" s="324">
        <f t="shared" si="11"/>
        <v>9317500</v>
      </c>
      <c r="I56" s="503">
        <f>'6.Polg_Hivatal'!I56</f>
        <v>0</v>
      </c>
      <c r="J56" s="324">
        <f>'6.Polg_Hivatal'!J56</f>
        <v>49792839</v>
      </c>
      <c r="K56" s="324">
        <f>'6.Polg_Hivatal'!K56</f>
        <v>0</v>
      </c>
      <c r="L56" s="324">
        <f>'6.Polg_Hivatal'!L56</f>
        <v>69.179910515837491</v>
      </c>
    </row>
    <row r="57" spans="1:14" ht="12.2" customHeight="1" x14ac:dyDescent="0.2">
      <c r="A57" s="1037" t="s">
        <v>93</v>
      </c>
      <c r="B57" s="330" t="s">
        <v>69</v>
      </c>
      <c r="C57" s="339">
        <f>'6.Polg_Hivatal'!C57</f>
        <v>146447629</v>
      </c>
      <c r="D57" s="323">
        <f>'6.Polg_Hivatal'!D57</f>
        <v>154608195</v>
      </c>
      <c r="E57" s="107">
        <f>'6.Polg_Hivatal'!E57</f>
        <v>157073195</v>
      </c>
      <c r="F57" s="107">
        <f>'6.Polg_Hivatal'!F57</f>
        <v>157073195</v>
      </c>
      <c r="G57" s="107">
        <f>'6.Polg_Hivatal'!G57</f>
        <v>0</v>
      </c>
      <c r="H57" s="324">
        <f t="shared" si="11"/>
        <v>2465000</v>
      </c>
      <c r="I57" s="503">
        <f>'6.Polg_Hivatal'!I57</f>
        <v>0</v>
      </c>
      <c r="J57" s="324">
        <f>'6.Polg_Hivatal'!J57</f>
        <v>98215516</v>
      </c>
      <c r="K57" s="324">
        <f>'6.Polg_Hivatal'!K57</f>
        <v>0</v>
      </c>
      <c r="L57" s="324">
        <f>'6.Polg_Hivatal'!L57</f>
        <v>62.528502078282678</v>
      </c>
    </row>
    <row r="58" spans="1:14" ht="12.2" customHeight="1" x14ac:dyDescent="0.2">
      <c r="A58" s="1037" t="s">
        <v>90</v>
      </c>
      <c r="B58" s="330" t="s">
        <v>80</v>
      </c>
      <c r="C58" s="339">
        <f>'6.Polg_Hivatal'!C58</f>
        <v>0</v>
      </c>
      <c r="D58" s="323">
        <f>'6.Polg_Hivatal'!D58</f>
        <v>0</v>
      </c>
      <c r="E58" s="107">
        <f>'6.Polg_Hivatal'!E58</f>
        <v>0</v>
      </c>
      <c r="F58" s="107">
        <f>'6.Polg_Hivatal'!F58</f>
        <v>0</v>
      </c>
      <c r="G58" s="107">
        <f>'6.Polg_Hivatal'!G58</f>
        <v>0</v>
      </c>
      <c r="H58" s="324">
        <f t="shared" si="11"/>
        <v>0</v>
      </c>
      <c r="I58" s="503">
        <f>'6.Polg_Hivatal'!I58</f>
        <v>0</v>
      </c>
      <c r="J58" s="324">
        <f>'6.Polg_Hivatal'!J58</f>
        <v>0</v>
      </c>
      <c r="K58" s="324">
        <f>'6.Polg_Hivatal'!K58</f>
        <v>0</v>
      </c>
      <c r="L58" s="324" t="str">
        <f>'6.Polg_Hivatal'!L58</f>
        <v/>
      </c>
    </row>
    <row r="59" spans="1:14" ht="12.2" customHeight="1" x14ac:dyDescent="0.2">
      <c r="A59" s="1037" t="s">
        <v>147</v>
      </c>
      <c r="B59" s="330" t="s">
        <v>88</v>
      </c>
      <c r="C59" s="339">
        <f>C60</f>
        <v>2285980</v>
      </c>
      <c r="D59" s="323">
        <f>'6.Polg_Hivatal'!D59</f>
        <v>2285980</v>
      </c>
      <c r="E59" s="107">
        <f>'6.Polg_Hivatal'!E59</f>
        <v>2285980</v>
      </c>
      <c r="F59" s="107">
        <f>'6.Polg_Hivatal'!F59</f>
        <v>2285980</v>
      </c>
      <c r="G59" s="107">
        <f>'6.Polg_Hivatal'!G59</f>
        <v>2285982</v>
      </c>
      <c r="H59" s="324">
        <f t="shared" si="11"/>
        <v>0</v>
      </c>
      <c r="I59" s="503">
        <f>'6.Polg_Hivatal'!I59</f>
        <v>2285984</v>
      </c>
      <c r="J59" s="324">
        <f>'6.Polg_Hivatal'!J59</f>
        <v>2285980</v>
      </c>
      <c r="K59" s="324">
        <f>'6.Polg_Hivatal'!K59</f>
        <v>0</v>
      </c>
      <c r="L59" s="324">
        <f>'6.Polg_Hivatal'!L59</f>
        <v>100</v>
      </c>
    </row>
    <row r="60" spans="1:14" ht="12.2" customHeight="1" x14ac:dyDescent="0.2">
      <c r="A60" s="1037" t="s">
        <v>306</v>
      </c>
      <c r="B60" s="521" t="s">
        <v>235</v>
      </c>
      <c r="C60" s="339">
        <f>'6.Polg_Hivatal'!C60</f>
        <v>2285980</v>
      </c>
      <c r="D60" s="323">
        <f>'6.Polg_Hivatal'!D60</f>
        <v>2285980</v>
      </c>
      <c r="E60" s="107">
        <f>'6.Polg_Hivatal'!E60</f>
        <v>2285980</v>
      </c>
      <c r="F60" s="107">
        <f>'6.Polg_Hivatal'!F60</f>
        <v>2285980</v>
      </c>
      <c r="G60" s="107">
        <f>'6.Polg_Hivatal'!G60</f>
        <v>2285982</v>
      </c>
      <c r="H60" s="324">
        <f t="shared" si="11"/>
        <v>0</v>
      </c>
      <c r="I60" s="503">
        <f>'6.Polg_Hivatal'!I60</f>
        <v>2285984</v>
      </c>
      <c r="J60" s="324">
        <f>'6.Polg_Hivatal'!J60</f>
        <v>2285980</v>
      </c>
      <c r="K60" s="324">
        <f>'6.Polg_Hivatal'!K60</f>
        <v>0</v>
      </c>
      <c r="L60" s="324">
        <f>'6.Polg_Hivatal'!L60</f>
        <v>100</v>
      </c>
    </row>
    <row r="61" spans="1:14" ht="12.2" customHeight="1" thickBot="1" x14ac:dyDescent="0.25">
      <c r="A61" s="84" t="s">
        <v>307</v>
      </c>
      <c r="B61" s="85" t="s">
        <v>234</v>
      </c>
      <c r="C61" s="92">
        <f>'6.Polg_Hivatal'!C61</f>
        <v>0</v>
      </c>
      <c r="D61" s="190">
        <f>'6.Polg_Hivatal'!D61</f>
        <v>0</v>
      </c>
      <c r="E61" s="593">
        <f>'6.Polg_Hivatal'!E61</f>
        <v>0</v>
      </c>
      <c r="F61" s="593">
        <f>'6.Polg_Hivatal'!F61</f>
        <v>0</v>
      </c>
      <c r="G61" s="593">
        <f>'6.Polg_Hivatal'!G61</f>
        <v>0</v>
      </c>
      <c r="H61" s="61">
        <f t="shared" si="11"/>
        <v>0</v>
      </c>
      <c r="I61" s="178" t="e">
        <f>'6.Polg_Hivatal'!I61</f>
        <v>#REF!</v>
      </c>
      <c r="J61" s="61">
        <f>'6.Polg_Hivatal'!J61</f>
        <v>0</v>
      </c>
      <c r="K61" s="61" t="e">
        <f>'6.Polg_Hivatal'!K61</f>
        <v>#REF!</v>
      </c>
      <c r="L61" s="61" t="str">
        <f>'6.Polg_Hivatal'!L61</f>
        <v/>
      </c>
    </row>
    <row r="62" spans="1:14" ht="12.2" customHeight="1" thickBot="1" x14ac:dyDescent="0.25">
      <c r="A62" s="55" t="s">
        <v>13</v>
      </c>
      <c r="B62" s="56" t="s">
        <v>548</v>
      </c>
      <c r="C62" s="89">
        <f>SUM(C63:C67)</f>
        <v>6051164</v>
      </c>
      <c r="D62" s="127">
        <f t="shared" ref="D62:L62" si="12">SUM(D63:D67)</f>
        <v>9051164</v>
      </c>
      <c r="E62" s="582">
        <f t="shared" si="12"/>
        <v>9051164</v>
      </c>
      <c r="F62" s="582">
        <f t="shared" si="12"/>
        <v>9051164</v>
      </c>
      <c r="G62" s="582">
        <f t="shared" si="12"/>
        <v>0</v>
      </c>
      <c r="H62" s="48">
        <f t="shared" si="11"/>
        <v>0</v>
      </c>
      <c r="I62" s="175">
        <f t="shared" si="12"/>
        <v>0</v>
      </c>
      <c r="J62" s="48">
        <f t="shared" si="12"/>
        <v>4774907</v>
      </c>
      <c r="K62" s="48">
        <f t="shared" si="12"/>
        <v>0</v>
      </c>
      <c r="L62" s="48">
        <f t="shared" si="12"/>
        <v>52.754618080061299</v>
      </c>
    </row>
    <row r="63" spans="1:14" s="31" customFormat="1" ht="12.2" customHeight="1" x14ac:dyDescent="0.2">
      <c r="A63" s="1037" t="s">
        <v>94</v>
      </c>
      <c r="B63" s="17" t="s">
        <v>119</v>
      </c>
      <c r="C63" s="122">
        <f>'6.Polg_Hivatal'!C63</f>
        <v>6051164</v>
      </c>
      <c r="D63" s="189">
        <f>'6.Polg_Hivatal'!D63</f>
        <v>9051164</v>
      </c>
      <c r="E63" s="586">
        <f>'6.Polg_Hivatal'!E63</f>
        <v>9051164</v>
      </c>
      <c r="F63" s="586">
        <f>'6.Polg_Hivatal'!F63</f>
        <v>9051164</v>
      </c>
      <c r="G63" s="586">
        <f>'6.Polg_Hivatal'!G63</f>
        <v>0</v>
      </c>
      <c r="H63" s="33">
        <f t="shared" si="11"/>
        <v>0</v>
      </c>
      <c r="I63" s="177">
        <f>'6.Polg_Hivatal'!I63</f>
        <v>0</v>
      </c>
      <c r="J63" s="33">
        <f>'6.Polg_Hivatal'!J63</f>
        <v>4774907</v>
      </c>
      <c r="K63" s="33">
        <f>'6.Polg_Hivatal'!K63</f>
        <v>0</v>
      </c>
      <c r="L63" s="33">
        <f>'6.Polg_Hivatal'!L63</f>
        <v>52.754618080061299</v>
      </c>
    </row>
    <row r="64" spans="1:14" s="31" customFormat="1" ht="12.2" customHeight="1" x14ac:dyDescent="0.2">
      <c r="A64" s="1037" t="s">
        <v>316</v>
      </c>
      <c r="B64" s="522" t="s">
        <v>236</v>
      </c>
      <c r="C64" s="122">
        <f>'6.Polg_Hivatal'!C64</f>
        <v>0</v>
      </c>
      <c r="D64" s="189">
        <f>'6.Polg_Hivatal'!D64</f>
        <v>0</v>
      </c>
      <c r="E64" s="586">
        <f>'6.Polg_Hivatal'!E64</f>
        <v>0</v>
      </c>
      <c r="F64" s="586">
        <f>'6.Polg_Hivatal'!F64</f>
        <v>0</v>
      </c>
      <c r="G64" s="586">
        <f>'6.Polg_Hivatal'!G64</f>
        <v>0</v>
      </c>
      <c r="H64" s="33">
        <f t="shared" si="11"/>
        <v>0</v>
      </c>
      <c r="I64" s="177">
        <f>'6.Polg_Hivatal'!I64</f>
        <v>0</v>
      </c>
      <c r="J64" s="33">
        <f>'6.Polg_Hivatal'!J64</f>
        <v>0</v>
      </c>
      <c r="K64" s="33">
        <f>'6.Polg_Hivatal'!K64</f>
        <v>0</v>
      </c>
      <c r="L64" s="33" t="str">
        <f>'6.Polg_Hivatal'!L64</f>
        <v/>
      </c>
    </row>
    <row r="65" spans="1:15" ht="12.2" customHeight="1" x14ac:dyDescent="0.2">
      <c r="A65" s="1037" t="s">
        <v>95</v>
      </c>
      <c r="B65" s="330" t="s">
        <v>2</v>
      </c>
      <c r="C65" s="339">
        <f>'6.Polg_Hivatal'!C65</f>
        <v>0</v>
      </c>
      <c r="D65" s="323">
        <f>'6.Polg_Hivatal'!D65</f>
        <v>0</v>
      </c>
      <c r="E65" s="107">
        <f>'6.Polg_Hivatal'!E65</f>
        <v>0</v>
      </c>
      <c r="F65" s="107">
        <f>'6.Polg_Hivatal'!F65</f>
        <v>0</v>
      </c>
      <c r="G65" s="107">
        <f>'6.Polg_Hivatal'!G65</f>
        <v>0</v>
      </c>
      <c r="H65" s="324">
        <f t="shared" si="11"/>
        <v>0</v>
      </c>
      <c r="I65" s="503">
        <f>'6.Polg_Hivatal'!I65</f>
        <v>0</v>
      </c>
      <c r="J65" s="324">
        <f>'6.Polg_Hivatal'!J65</f>
        <v>0</v>
      </c>
      <c r="K65" s="324">
        <f>'6.Polg_Hivatal'!K65</f>
        <v>0</v>
      </c>
      <c r="L65" s="324" t="str">
        <f>'6.Polg_Hivatal'!L65</f>
        <v/>
      </c>
    </row>
    <row r="66" spans="1:15" ht="12.2" customHeight="1" x14ac:dyDescent="0.2">
      <c r="A66" s="1037" t="s">
        <v>342</v>
      </c>
      <c r="B66" s="523" t="s">
        <v>237</v>
      </c>
      <c r="C66" s="339">
        <f>'6.Polg_Hivatal'!C66</f>
        <v>0</v>
      </c>
      <c r="D66" s="323">
        <f>'6.Polg_Hivatal'!D66</f>
        <v>0</v>
      </c>
      <c r="E66" s="107">
        <f>'6.Polg_Hivatal'!E66</f>
        <v>0</v>
      </c>
      <c r="F66" s="107">
        <f>'6.Polg_Hivatal'!F66</f>
        <v>0</v>
      </c>
      <c r="G66" s="107">
        <f>'6.Polg_Hivatal'!G66</f>
        <v>0</v>
      </c>
      <c r="H66" s="324">
        <f t="shared" si="11"/>
        <v>0</v>
      </c>
      <c r="I66" s="503">
        <f>'6.Polg_Hivatal'!I66</f>
        <v>0</v>
      </c>
      <c r="J66" s="324">
        <f>'6.Polg_Hivatal'!J66</f>
        <v>0</v>
      </c>
      <c r="K66" s="324">
        <f>'6.Polg_Hivatal'!K66</f>
        <v>0</v>
      </c>
      <c r="L66" s="324" t="str">
        <f>'6.Polg_Hivatal'!L66</f>
        <v/>
      </c>
    </row>
    <row r="67" spans="1:15" ht="12.2" customHeight="1" x14ac:dyDescent="0.2">
      <c r="A67" s="1037" t="s">
        <v>96</v>
      </c>
      <c r="B67" s="17" t="s">
        <v>175</v>
      </c>
      <c r="C67" s="339">
        <f>'6.Polg_Hivatal'!C67</f>
        <v>0</v>
      </c>
      <c r="D67" s="323">
        <f>'6.Polg_Hivatal'!D67</f>
        <v>0</v>
      </c>
      <c r="E67" s="107">
        <f>'6.Polg_Hivatal'!E67</f>
        <v>0</v>
      </c>
      <c r="F67" s="107">
        <f>'6.Polg_Hivatal'!F67</f>
        <v>0</v>
      </c>
      <c r="G67" s="107">
        <f>'6.Polg_Hivatal'!G67</f>
        <v>0</v>
      </c>
      <c r="H67" s="324">
        <f t="shared" si="11"/>
        <v>0</v>
      </c>
      <c r="I67" s="503">
        <f>'6.Polg_Hivatal'!I67</f>
        <v>0</v>
      </c>
      <c r="J67" s="324">
        <f>'6.Polg_Hivatal'!J67</f>
        <v>0</v>
      </c>
      <c r="K67" s="324">
        <f>'6.Polg_Hivatal'!K67</f>
        <v>0</v>
      </c>
      <c r="L67" s="324" t="str">
        <f>'6.Polg_Hivatal'!L67</f>
        <v/>
      </c>
    </row>
    <row r="68" spans="1:15" ht="12.2" customHeight="1" x14ac:dyDescent="0.2">
      <c r="A68" s="1037" t="s">
        <v>317</v>
      </c>
      <c r="B68" s="521" t="s">
        <v>239</v>
      </c>
      <c r="C68" s="339">
        <f>'6.Polg_Hivatal'!C68</f>
        <v>0</v>
      </c>
      <c r="D68" s="323">
        <f>'6.Polg_Hivatal'!D68</f>
        <v>0</v>
      </c>
      <c r="E68" s="107">
        <f>'6.Polg_Hivatal'!E68</f>
        <v>0</v>
      </c>
      <c r="F68" s="107">
        <f>'6.Polg_Hivatal'!F68</f>
        <v>0</v>
      </c>
      <c r="G68" s="107">
        <f>'6.Polg_Hivatal'!G68</f>
        <v>0</v>
      </c>
      <c r="H68" s="324">
        <f t="shared" si="11"/>
        <v>0</v>
      </c>
      <c r="I68" s="503">
        <f>'6.Polg_Hivatal'!I68</f>
        <v>0</v>
      </c>
      <c r="J68" s="324">
        <f>'6.Polg_Hivatal'!J68</f>
        <v>0</v>
      </c>
      <c r="K68" s="324">
        <f>'6.Polg_Hivatal'!K68</f>
        <v>0</v>
      </c>
      <c r="L68" s="324" t="str">
        <f>'6.Polg_Hivatal'!L68</f>
        <v/>
      </c>
    </row>
    <row r="69" spans="1:15" ht="12.2" customHeight="1" thickBot="1" x14ac:dyDescent="0.25">
      <c r="A69" s="84" t="s">
        <v>318</v>
      </c>
      <c r="B69" s="85" t="s">
        <v>238</v>
      </c>
      <c r="C69" s="92">
        <f>'6.Polg_Hivatal'!C69</f>
        <v>0</v>
      </c>
      <c r="D69" s="323">
        <f>'6.Polg_Hivatal'!D69</f>
        <v>0</v>
      </c>
      <c r="E69" s="107">
        <f>'6.Polg_Hivatal'!E69</f>
        <v>0</v>
      </c>
      <c r="F69" s="107">
        <f>'6.Polg_Hivatal'!F69</f>
        <v>0</v>
      </c>
      <c r="G69" s="107">
        <f>'6.Polg_Hivatal'!G69</f>
        <v>0</v>
      </c>
      <c r="H69" s="324">
        <f t="shared" si="11"/>
        <v>0</v>
      </c>
      <c r="I69" s="503">
        <f>'6.Polg_Hivatal'!I69</f>
        <v>0</v>
      </c>
      <c r="J69" s="324">
        <f>'6.Polg_Hivatal'!J69</f>
        <v>0</v>
      </c>
      <c r="K69" s="324">
        <f>'6.Polg_Hivatal'!K69</f>
        <v>0</v>
      </c>
      <c r="L69" s="324" t="str">
        <f>'6.Polg_Hivatal'!L69</f>
        <v/>
      </c>
    </row>
    <row r="70" spans="1:15" ht="15" customHeight="1" thickBot="1" x14ac:dyDescent="0.25">
      <c r="A70" s="55" t="s">
        <v>14</v>
      </c>
      <c r="B70" s="67" t="s">
        <v>176</v>
      </c>
      <c r="C70" s="135">
        <f>+C53+C62</f>
        <v>607901317</v>
      </c>
      <c r="D70" s="134">
        <f t="shared" ref="D70:L70" si="13">+D53+D62</f>
        <v>623769683</v>
      </c>
      <c r="E70" s="592">
        <f t="shared" si="13"/>
        <v>700633611</v>
      </c>
      <c r="F70" s="592">
        <f t="shared" si="13"/>
        <v>700633611</v>
      </c>
      <c r="G70" s="592">
        <f t="shared" si="13"/>
        <v>2285982</v>
      </c>
      <c r="H70" s="68">
        <f t="shared" si="11"/>
        <v>76863928</v>
      </c>
      <c r="I70" s="176">
        <f t="shared" si="13"/>
        <v>2285984</v>
      </c>
      <c r="J70" s="68">
        <f t="shared" si="13"/>
        <v>479206147</v>
      </c>
      <c r="K70" s="68">
        <f t="shared" si="13"/>
        <v>0</v>
      </c>
      <c r="L70" s="68">
        <f t="shared" si="13"/>
        <v>354.88969686939157</v>
      </c>
    </row>
    <row r="71" spans="1:15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5" ht="15" customHeight="1" thickBot="1" x14ac:dyDescent="0.25">
      <c r="A72" s="634" t="s">
        <v>292</v>
      </c>
      <c r="B72" s="636"/>
      <c r="C72" s="136">
        <f>'6.Polg_Hivatal'!C72</f>
        <v>70</v>
      </c>
      <c r="D72" s="635">
        <f>'6.Polg_Hivatal'!D72</f>
        <v>70</v>
      </c>
      <c r="E72" s="520">
        <f>'6.Polg_Hivatal'!E72</f>
        <v>70</v>
      </c>
      <c r="F72" s="520">
        <f>'6.Polg_Hivatal'!F72</f>
        <v>70</v>
      </c>
      <c r="G72" s="520">
        <f>'6.Polg_Hivatal'!G72</f>
        <v>0</v>
      </c>
      <c r="H72" s="174">
        <f t="shared" si="11"/>
        <v>0</v>
      </c>
      <c r="I72" s="174">
        <f>'6.Polg_Hivatal'!I72</f>
        <v>0</v>
      </c>
      <c r="J72" s="174">
        <f>'6.Polg_Hivatal'!J72</f>
        <v>64</v>
      </c>
      <c r="K72" s="174">
        <f>'6.Polg_Hivatal'!K72</f>
        <v>0</v>
      </c>
      <c r="L72" s="174">
        <f>'6.Polg_Hivatal'!L72</f>
        <v>91.428571428571431</v>
      </c>
    </row>
    <row r="73" spans="1:15" ht="14.25" hidden="1" customHeight="1" thickBot="1" x14ac:dyDescent="0.25">
      <c r="A73" s="69" t="s">
        <v>291</v>
      </c>
      <c r="B73" s="70"/>
      <c r="C73" s="609">
        <f>'6.Polg_Hivatal'!C73</f>
        <v>0</v>
      </c>
      <c r="D73" s="639">
        <f>'6.Polg_Hivatal'!D73</f>
        <v>0</v>
      </c>
      <c r="E73" s="607">
        <f>'6.Polg_Hivatal'!E73</f>
        <v>0</v>
      </c>
      <c r="F73" s="607">
        <f>'6.Polg_Hivatal'!F73</f>
        <v>0</v>
      </c>
      <c r="G73" s="607">
        <f>'6.Polg_Hivatal'!G73</f>
        <v>0</v>
      </c>
      <c r="H73" s="609">
        <f>'6.Polg_Hivatal'!H73</f>
        <v>0</v>
      </c>
      <c r="I73" s="609">
        <f>'6.Polg_Hivatal'!I73</f>
        <v>0</v>
      </c>
      <c r="J73" s="609">
        <f>'6.Polg_Hivatal'!J73</f>
        <v>0</v>
      </c>
      <c r="K73" s="609">
        <f>'6.Polg_Hivatal'!K73</f>
        <v>0</v>
      </c>
      <c r="L73" s="609">
        <f>'6.Polg_Hivatal'!L73</f>
        <v>0</v>
      </c>
      <c r="O73" s="25" t="s">
        <v>385</v>
      </c>
    </row>
    <row r="74" spans="1:15" x14ac:dyDescent="0.2">
      <c r="D74" s="163" t="s">
        <v>385</v>
      </c>
      <c r="E74" s="163"/>
      <c r="F74" s="163"/>
      <c r="G74" s="163"/>
      <c r="H74" s="163" t="s">
        <v>734</v>
      </c>
      <c r="I74" s="163"/>
      <c r="J74" s="163"/>
      <c r="K74" s="163"/>
      <c r="L74" s="163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4"/>
  <sheetViews>
    <sheetView view="pageBreakPreview" zoomScale="130" zoomScaleNormal="112" zoomScaleSheetLayoutView="130" workbookViewId="0">
      <selection activeCell="A2" sqref="A2:H2"/>
    </sheetView>
  </sheetViews>
  <sheetFormatPr defaultRowHeight="12.75" x14ac:dyDescent="0.2"/>
  <cols>
    <col min="1" max="1" width="12" style="988" customWidth="1"/>
    <col min="2" max="2" width="67" style="25" customWidth="1"/>
    <col min="3" max="3" width="16.6640625" style="25" customWidth="1"/>
    <col min="4" max="5" width="17" style="25" customWidth="1"/>
    <col min="6" max="7" width="17" style="25" hidden="1" customWidth="1"/>
    <col min="8" max="8" width="16.33203125" style="25" bestFit="1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535" customFormat="1" ht="12.75" customHeight="1" x14ac:dyDescent="0.2">
      <c r="A1" s="1774" t="s">
        <v>807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742</v>
      </c>
      <c r="B2" s="1774"/>
      <c r="C2" s="1774"/>
      <c r="D2" s="1774"/>
      <c r="E2" s="1774"/>
      <c r="F2" s="1774"/>
      <c r="G2" s="1774"/>
      <c r="H2" s="1774"/>
    </row>
    <row r="3" spans="1:12" s="24" customFormat="1" ht="21.2" customHeight="1" thickBot="1" x14ac:dyDescent="0.25">
      <c r="A3" s="170"/>
      <c r="C3" s="982"/>
      <c r="D3" s="982"/>
      <c r="E3" s="982"/>
      <c r="F3" s="982"/>
      <c r="G3" s="982"/>
      <c r="H3" s="982"/>
      <c r="I3" s="982"/>
      <c r="J3" s="982"/>
      <c r="K3" s="982"/>
      <c r="L3" s="982"/>
    </row>
    <row r="4" spans="1:12" s="38" customFormat="1" ht="38.25" customHeight="1" x14ac:dyDescent="0.2">
      <c r="A4" s="36" t="s">
        <v>137</v>
      </c>
      <c r="B4" s="37" t="s">
        <v>133</v>
      </c>
      <c r="C4" s="1806" t="s">
        <v>138</v>
      </c>
      <c r="D4" s="1807"/>
      <c r="E4" s="1807"/>
      <c r="F4" s="1807"/>
      <c r="G4" s="1807"/>
      <c r="H4" s="1808" t="s">
        <v>138</v>
      </c>
    </row>
    <row r="5" spans="1:12" s="38" customFormat="1" ht="36.75" thickBot="1" x14ac:dyDescent="0.25">
      <c r="A5" s="39" t="s">
        <v>139</v>
      </c>
      <c r="B5" s="40" t="s">
        <v>402</v>
      </c>
      <c r="C5" s="1809" t="s">
        <v>141</v>
      </c>
      <c r="D5" s="1810"/>
      <c r="E5" s="1810"/>
      <c r="F5" s="1810"/>
      <c r="G5" s="1810"/>
      <c r="H5" s="1811" t="s">
        <v>141</v>
      </c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2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91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82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184883592</v>
      </c>
      <c r="D10" s="127">
        <f t="shared" ref="D10:L10" si="0">SUM(D11:D21)</f>
        <v>198817592</v>
      </c>
      <c r="E10" s="582">
        <f t="shared" si="0"/>
        <v>198817592</v>
      </c>
      <c r="F10" s="582">
        <f t="shared" si="0"/>
        <v>253851672</v>
      </c>
      <c r="G10" s="582">
        <f t="shared" si="0"/>
        <v>0</v>
      </c>
      <c r="H10" s="595">
        <f>+E10-D10</f>
        <v>0</v>
      </c>
      <c r="I10" s="1085">
        <f t="shared" si="0"/>
        <v>0</v>
      </c>
      <c r="J10" s="595">
        <f t="shared" si="0"/>
        <v>259828953</v>
      </c>
      <c r="K10" s="595">
        <f t="shared" si="0"/>
        <v>0</v>
      </c>
      <c r="L10" s="595" t="e">
        <f t="shared" si="0"/>
        <v>#VALUE!</v>
      </c>
    </row>
    <row r="11" spans="1:12" s="26" customFormat="1" ht="12.2" customHeight="1" x14ac:dyDescent="0.2">
      <c r="A11" s="49" t="s">
        <v>91</v>
      </c>
      <c r="B11" s="50" t="s">
        <v>143</v>
      </c>
      <c r="C11" s="128">
        <f>'7.TIK'!C11-'30._TIK_önként'!C11</f>
        <v>0</v>
      </c>
      <c r="D11" s="192">
        <f>'7.TIK'!D11-'30._TIK_önként'!D11</f>
        <v>0</v>
      </c>
      <c r="E11" s="583">
        <f>'7.TIK'!E11-'30._TIK_önként'!E11</f>
        <v>0</v>
      </c>
      <c r="F11" s="583">
        <f>'7.TIK'!F11-'30._TIK_önként'!F11</f>
        <v>0</v>
      </c>
      <c r="G11" s="583">
        <f>'7.TIK'!G11-'30._TIK_önként'!G11</f>
        <v>0</v>
      </c>
      <c r="H11" s="540">
        <f t="shared" ref="H11:H47" si="1">+E11-D11</f>
        <v>0</v>
      </c>
      <c r="I11" s="1086">
        <f>'7.TIK'!I11-'30._TIK_önként'!I11</f>
        <v>0</v>
      </c>
      <c r="J11" s="540">
        <f>'7.TIK'!J11-'30._TIK_önként'!J11</f>
        <v>4069</v>
      </c>
      <c r="K11" s="540">
        <f>'7.TIK'!K11-'30._TIK_önként'!K11</f>
        <v>0</v>
      </c>
      <c r="L11" s="540" t="e">
        <f>'7.TIK'!L11-'30._TIK_önként'!L11</f>
        <v>#VALUE!</v>
      </c>
    </row>
    <row r="12" spans="1:12" s="26" customFormat="1" ht="12.2" customHeight="1" x14ac:dyDescent="0.2">
      <c r="A12" s="1037" t="s">
        <v>92</v>
      </c>
      <c r="B12" s="330" t="s">
        <v>144</v>
      </c>
      <c r="C12" s="331">
        <f>'7.TIK'!C12-'30._TIK_önként'!C12</f>
        <v>20379785</v>
      </c>
      <c r="D12" s="340">
        <f>'7.TIK'!D12-'30._TIK_önként'!D12</f>
        <v>20379785</v>
      </c>
      <c r="E12" s="88">
        <f>'7.TIK'!E12-'30._TIK_önként'!E12</f>
        <v>20379785</v>
      </c>
      <c r="F12" s="88">
        <f>'7.TIK'!F12-'30._TIK_önként'!F12</f>
        <v>20379785</v>
      </c>
      <c r="G12" s="88">
        <f>'7.TIK'!G12-'30._TIK_önként'!G12</f>
        <v>0</v>
      </c>
      <c r="H12" s="541">
        <f t="shared" si="1"/>
        <v>0</v>
      </c>
      <c r="I12" s="1087">
        <f>'7.TIK'!I12-'30._TIK_önként'!I12</f>
        <v>0</v>
      </c>
      <c r="J12" s="541">
        <f>'7.TIK'!J12-'30._TIK_önként'!J12</f>
        <v>35574239</v>
      </c>
      <c r="K12" s="541">
        <f>'7.TIK'!K12-'30._TIK_önként'!K12</f>
        <v>0</v>
      </c>
      <c r="L12" s="541">
        <f>'7.TIK'!L12-'30._TIK_önként'!L12</f>
        <v>174.55649801997421</v>
      </c>
    </row>
    <row r="13" spans="1:12" s="26" customFormat="1" ht="12.2" customHeight="1" x14ac:dyDescent="0.2">
      <c r="A13" s="1037" t="s">
        <v>93</v>
      </c>
      <c r="B13" s="330" t="s">
        <v>145</v>
      </c>
      <c r="C13" s="331">
        <f>'7.TIK'!C13-'30._TIK_önként'!C13</f>
        <v>6184800</v>
      </c>
      <c r="D13" s="340">
        <f>'7.TIK'!D13-'30._TIK_önként'!D13</f>
        <v>6184800</v>
      </c>
      <c r="E13" s="88">
        <f>'7.TIK'!E13-'30._TIK_önként'!E13</f>
        <v>6184800</v>
      </c>
      <c r="F13" s="88">
        <f>'7.TIK'!F13-'30._TIK_önként'!F13</f>
        <v>6184800</v>
      </c>
      <c r="G13" s="88">
        <f>'7.TIK'!G13-'30._TIK_önként'!G13</f>
        <v>0</v>
      </c>
      <c r="H13" s="541">
        <f t="shared" si="1"/>
        <v>0</v>
      </c>
      <c r="I13" s="1087">
        <f>'7.TIK'!I13-'30._TIK_önként'!I13</f>
        <v>0</v>
      </c>
      <c r="J13" s="541">
        <f>'7.TIK'!J13-'30._TIK_önként'!J13</f>
        <v>7451047</v>
      </c>
      <c r="K13" s="541">
        <f>'7.TIK'!K13-'30._TIK_önként'!K13</f>
        <v>0</v>
      </c>
      <c r="L13" s="541">
        <f>'7.TIK'!L13-'30._TIK_önként'!L13</f>
        <v>120.47353188462036</v>
      </c>
    </row>
    <row r="14" spans="1:12" s="26" customFormat="1" ht="12.2" customHeight="1" x14ac:dyDescent="0.2">
      <c r="A14" s="1037" t="s">
        <v>90</v>
      </c>
      <c r="B14" s="330" t="s">
        <v>146</v>
      </c>
      <c r="C14" s="331">
        <f>'7.TIK'!C14-'30._TIK_önként'!C14</f>
        <v>0</v>
      </c>
      <c r="D14" s="340">
        <f>'7.TIK'!D14-'30._TIK_önként'!D14</f>
        <v>0</v>
      </c>
      <c r="E14" s="88">
        <f>'7.TIK'!E14-'30._TIK_önként'!E14</f>
        <v>0</v>
      </c>
      <c r="F14" s="88">
        <f>'7.TIK'!F14-'30._TIK_önként'!F14</f>
        <v>0</v>
      </c>
      <c r="G14" s="88">
        <f>'7.TIK'!G14-'30._TIK_önként'!G14</f>
        <v>0</v>
      </c>
      <c r="H14" s="541">
        <f t="shared" si="1"/>
        <v>0</v>
      </c>
      <c r="I14" s="1087">
        <f>'7.TIK'!I14-'30._TIK_önként'!I14</f>
        <v>0</v>
      </c>
      <c r="J14" s="541">
        <f>'7.TIK'!J14-'30._TIK_önként'!J14</f>
        <v>0</v>
      </c>
      <c r="K14" s="541">
        <f>'7.TIK'!K14-'30._TIK_önként'!K14</f>
        <v>0</v>
      </c>
      <c r="L14" s="541" t="e">
        <f>'7.TIK'!L14-'30._TIK_önként'!L14</f>
        <v>#VALUE!</v>
      </c>
    </row>
    <row r="15" spans="1:12" s="26" customFormat="1" ht="12.2" customHeight="1" x14ac:dyDescent="0.2">
      <c r="A15" s="1037" t="s">
        <v>147</v>
      </c>
      <c r="B15" s="330" t="s">
        <v>148</v>
      </c>
      <c r="C15" s="331">
        <f>'7.TIK'!C15-'30._TIK_önként'!C15</f>
        <v>121625660</v>
      </c>
      <c r="D15" s="340">
        <f>'7.TIK'!D15-'30._TIK_önként'!D15</f>
        <v>121625660</v>
      </c>
      <c r="E15" s="88">
        <f>'7.TIK'!E15-'30._TIK_önként'!E15</f>
        <v>121625660</v>
      </c>
      <c r="F15" s="88">
        <f>'7.TIK'!F15-'30._TIK_önként'!F15</f>
        <v>176659740</v>
      </c>
      <c r="G15" s="88">
        <f>'7.TIK'!G15-'30._TIK_önként'!G15</f>
        <v>0</v>
      </c>
      <c r="H15" s="541">
        <f t="shared" si="1"/>
        <v>0</v>
      </c>
      <c r="I15" s="1087">
        <f>'7.TIK'!I15-'30._TIK_önként'!I15</f>
        <v>0</v>
      </c>
      <c r="J15" s="541">
        <f>'7.TIK'!J15-'30._TIK_önként'!J15</f>
        <v>163778559</v>
      </c>
      <c r="K15" s="541">
        <f>'7.TIK'!K15-'30._TIK_önként'!K15</f>
        <v>0</v>
      </c>
      <c r="L15" s="541">
        <f>'7.TIK'!L15-'30._TIK_önként'!L15</f>
        <v>92.708479589067665</v>
      </c>
    </row>
    <row r="16" spans="1:12" s="26" customFormat="1" ht="12.2" customHeight="1" x14ac:dyDescent="0.2">
      <c r="A16" s="1037" t="s">
        <v>149</v>
      </c>
      <c r="B16" s="330" t="s">
        <v>150</v>
      </c>
      <c r="C16" s="331">
        <f>'7.TIK'!C16-'30._TIK_önként'!C16</f>
        <v>36693347</v>
      </c>
      <c r="D16" s="340">
        <f>'7.TIK'!D16-'30._TIK_önként'!D16</f>
        <v>36693347</v>
      </c>
      <c r="E16" s="88">
        <f>'7.TIK'!E16-'30._TIK_önként'!E16</f>
        <v>36693347</v>
      </c>
      <c r="F16" s="88">
        <f>'7.TIK'!F16-'30._TIK_önként'!F16</f>
        <v>36693347</v>
      </c>
      <c r="G16" s="88">
        <f>'7.TIK'!G16-'30._TIK_önként'!G16</f>
        <v>0</v>
      </c>
      <c r="H16" s="541">
        <f t="shared" si="1"/>
        <v>0</v>
      </c>
      <c r="I16" s="1087">
        <f>'7.TIK'!I16-'30._TIK_önként'!I16</f>
        <v>0</v>
      </c>
      <c r="J16" s="541">
        <f>'7.TIK'!J16-'30._TIK_önként'!J16</f>
        <v>38211928</v>
      </c>
      <c r="K16" s="541">
        <f>'7.TIK'!K16-'30._TIK_önként'!K16</f>
        <v>0</v>
      </c>
      <c r="L16" s="541">
        <f>'7.TIK'!L16-'30._TIK_önként'!L16</f>
        <v>104.13857313152708</v>
      </c>
    </row>
    <row r="17" spans="1:12" s="26" customFormat="1" ht="12.2" customHeight="1" x14ac:dyDescent="0.2">
      <c r="A17" s="1037" t="s">
        <v>151</v>
      </c>
      <c r="B17" s="52" t="s">
        <v>152</v>
      </c>
      <c r="C17" s="331">
        <f>'7.TIK'!C17-'30._TIK_önként'!C17</f>
        <v>0</v>
      </c>
      <c r="D17" s="340">
        <f>'7.TIK'!D17-'30._TIK_önként'!D17</f>
        <v>13934000</v>
      </c>
      <c r="E17" s="88">
        <f>'7.TIK'!E17-'30._TIK_önként'!E17</f>
        <v>13934000</v>
      </c>
      <c r="F17" s="88">
        <f>'7.TIK'!F17-'30._TIK_önként'!F17</f>
        <v>13934000</v>
      </c>
      <c r="G17" s="88">
        <f>'7.TIK'!G17-'30._TIK_önként'!G17</f>
        <v>0</v>
      </c>
      <c r="H17" s="541">
        <f t="shared" si="1"/>
        <v>0</v>
      </c>
      <c r="I17" s="1087">
        <f>'7.TIK'!I17-'30._TIK_önként'!I17</f>
        <v>0</v>
      </c>
      <c r="J17" s="541">
        <f>'7.TIK'!J17-'30._TIK_önként'!J17</f>
        <v>13934000</v>
      </c>
      <c r="K17" s="541">
        <f>'7.TIK'!K17-'30._TIK_önként'!K17</f>
        <v>0</v>
      </c>
      <c r="L17" s="541">
        <f>'7.TIK'!L17-'30._TIK_önként'!L17</f>
        <v>100</v>
      </c>
    </row>
    <row r="18" spans="1:12" s="26" customFormat="1" ht="12.2" customHeight="1" x14ac:dyDescent="0.2">
      <c r="A18" s="1037" t="s">
        <v>153</v>
      </c>
      <c r="B18" s="345" t="s">
        <v>302</v>
      </c>
      <c r="C18" s="121">
        <f>'7.TIK'!C18-'30._TIK_önként'!C18</f>
        <v>0</v>
      </c>
      <c r="D18" s="188">
        <f>'7.TIK'!D18-'30._TIK_önként'!D18</f>
        <v>0</v>
      </c>
      <c r="E18" s="90">
        <f>'7.TIK'!E18-'30._TIK_önként'!E18</f>
        <v>0</v>
      </c>
      <c r="F18" s="90">
        <f>'7.TIK'!F18-'30._TIK_önként'!F18</f>
        <v>0</v>
      </c>
      <c r="G18" s="90">
        <f>'7.TIK'!G18-'30._TIK_önként'!G18</f>
        <v>0</v>
      </c>
      <c r="H18" s="542">
        <f t="shared" si="1"/>
        <v>0</v>
      </c>
      <c r="I18" s="1088">
        <f>'7.TIK'!I18-'30._TIK_önként'!I18</f>
        <v>0</v>
      </c>
      <c r="J18" s="542">
        <f>'7.TIK'!J18-'30._TIK_önként'!J18</f>
        <v>0</v>
      </c>
      <c r="K18" s="542">
        <f>'7.TIK'!K18-'30._TIK_önként'!K18</f>
        <v>0</v>
      </c>
      <c r="L18" s="542" t="e">
        <f>'7.TIK'!L18-'30._TIK_önként'!L18</f>
        <v>#VALUE!</v>
      </c>
    </row>
    <row r="19" spans="1:12" s="54" customFormat="1" ht="12.2" customHeight="1" x14ac:dyDescent="0.2">
      <c r="A19" s="1037" t="s">
        <v>154</v>
      </c>
      <c r="B19" s="330" t="s">
        <v>155</v>
      </c>
      <c r="C19" s="331">
        <f>'7.TIK'!C19-'30._TIK_önként'!C19</f>
        <v>0</v>
      </c>
      <c r="D19" s="340">
        <f>'7.TIK'!D19-'30._TIK_önként'!D19</f>
        <v>0</v>
      </c>
      <c r="E19" s="88">
        <f>'7.TIK'!E19-'30._TIK_önként'!E19</f>
        <v>0</v>
      </c>
      <c r="F19" s="88">
        <f>'7.TIK'!F19-'30._TIK_önként'!F19</f>
        <v>0</v>
      </c>
      <c r="G19" s="88">
        <f>'7.TIK'!G19-'30._TIK_önként'!G19</f>
        <v>0</v>
      </c>
      <c r="H19" s="541">
        <f t="shared" si="1"/>
        <v>0</v>
      </c>
      <c r="I19" s="1087">
        <f>'7.TIK'!I19-'30._TIK_önként'!I19</f>
        <v>0</v>
      </c>
      <c r="J19" s="541">
        <f>'7.TIK'!J19-'30._TIK_önként'!J19</f>
        <v>0</v>
      </c>
      <c r="K19" s="541">
        <f>'7.TIK'!K19-'30._TIK_önként'!K19</f>
        <v>0</v>
      </c>
      <c r="L19" s="541" t="e">
        <f>'7.TIK'!L19-'30._TIK_önként'!L19</f>
        <v>#VALUE!</v>
      </c>
    </row>
    <row r="20" spans="1:12" s="54" customFormat="1" ht="12.2" customHeight="1" x14ac:dyDescent="0.2">
      <c r="A20" s="1037" t="s">
        <v>156</v>
      </c>
      <c r="B20" s="345" t="s">
        <v>275</v>
      </c>
      <c r="C20" s="333">
        <f>'7.TIK'!C20-'30._TIK_önként'!C20</f>
        <v>0</v>
      </c>
      <c r="D20" s="341">
        <f>'7.TIK'!D20-'30._TIK_önként'!D20</f>
        <v>0</v>
      </c>
      <c r="E20" s="88">
        <f>'7.TIK'!E20-'30._TIK_önként'!E20</f>
        <v>0</v>
      </c>
      <c r="F20" s="88">
        <f>'7.TIK'!F20-'30._TIK_önként'!F20</f>
        <v>0</v>
      </c>
      <c r="G20" s="331">
        <f>'7.TIK'!G20-'30._TIK_önként'!G20</f>
        <v>0</v>
      </c>
      <c r="H20" s="543">
        <f t="shared" si="1"/>
        <v>0</v>
      </c>
      <c r="I20" s="1089">
        <f>'7.TIK'!I20-'30._TIK_önként'!I20</f>
        <v>0</v>
      </c>
      <c r="J20" s="543">
        <f>'7.TIK'!J20-'30._TIK_önként'!J20</f>
        <v>623468</v>
      </c>
      <c r="K20" s="543">
        <f>'7.TIK'!K20-'30._TIK_önként'!K20</f>
        <v>0</v>
      </c>
      <c r="L20" s="543" t="e">
        <f>'7.TIK'!L20-'30._TIK_önként'!L20</f>
        <v>#VALUE!</v>
      </c>
    </row>
    <row r="21" spans="1:12" s="54" customFormat="1" ht="12.2" customHeight="1" thickBot="1" x14ac:dyDescent="0.25">
      <c r="A21" s="1037" t="s">
        <v>276</v>
      </c>
      <c r="B21" s="52" t="s">
        <v>157</v>
      </c>
      <c r="C21" s="333">
        <f>'7.TIK'!C21-'30._TIK_önként'!C21</f>
        <v>0</v>
      </c>
      <c r="D21" s="341">
        <f>'7.TIK'!D21-'30._TIK_önként'!D21</f>
        <v>0</v>
      </c>
      <c r="E21" s="90">
        <f>'7.TIK'!E21-'30._TIK_önként'!E21</f>
        <v>0</v>
      </c>
      <c r="F21" s="90">
        <f>'7.TIK'!F21-'30._TIK_önként'!F21</f>
        <v>0</v>
      </c>
      <c r="G21" s="90">
        <f>'7.TIK'!G21-'30._TIK_önként'!G21</f>
        <v>0</v>
      </c>
      <c r="H21" s="544">
        <f t="shared" si="1"/>
        <v>0</v>
      </c>
      <c r="I21" s="1090">
        <f>'7.TIK'!I21-'30._TIK_önként'!I21</f>
        <v>0</v>
      </c>
      <c r="J21" s="544">
        <f>'7.TIK'!J21-'30._TIK_önként'!J21</f>
        <v>251643</v>
      </c>
      <c r="K21" s="544">
        <f>'7.TIK'!K21-'30._TIK_önként'!K21</f>
        <v>0</v>
      </c>
      <c r="L21" s="544" t="e">
        <f>'7.TIK'!L21-'30._TIK_önként'!L21</f>
        <v>#VALUE!</v>
      </c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SUM(C23:C25)</f>
        <v>0</v>
      </c>
      <c r="D22" s="127">
        <f t="shared" ref="D22:L22" si="2">SUM(D23:D25)</f>
        <v>0</v>
      </c>
      <c r="E22" s="582">
        <f t="shared" si="2"/>
        <v>321071</v>
      </c>
      <c r="F22" s="582">
        <f t="shared" si="2"/>
        <v>321071</v>
      </c>
      <c r="G22" s="582">
        <f t="shared" si="2"/>
        <v>0</v>
      </c>
      <c r="H22" s="48">
        <f t="shared" si="1"/>
        <v>321071</v>
      </c>
      <c r="I22" s="175">
        <f t="shared" si="2"/>
        <v>0</v>
      </c>
      <c r="J22" s="48">
        <f t="shared" si="2"/>
        <v>321071</v>
      </c>
      <c r="K22" s="48">
        <f t="shared" si="2"/>
        <v>0</v>
      </c>
      <c r="L22" s="48" t="e">
        <f t="shared" si="2"/>
        <v>#VALUE!</v>
      </c>
    </row>
    <row r="23" spans="1:12" s="54" customFormat="1" ht="12.2" customHeight="1" x14ac:dyDescent="0.2">
      <c r="A23" s="1037" t="s">
        <v>94</v>
      </c>
      <c r="B23" s="17" t="s">
        <v>159</v>
      </c>
      <c r="C23" s="331">
        <f>'7.TIK'!C23-'30._TIK_önként'!C23</f>
        <v>0</v>
      </c>
      <c r="D23" s="340">
        <f>'7.TIK'!D23-'30._TIK_önként'!D23</f>
        <v>0</v>
      </c>
      <c r="E23" s="584">
        <f>'7.TIK'!E23-'30._TIK_önként'!E23</f>
        <v>0</v>
      </c>
      <c r="F23" s="584">
        <f>'7.TIK'!F23-'30._TIK_önként'!F23</f>
        <v>0</v>
      </c>
      <c r="G23" s="584">
        <f>'7.TIK'!G23-'30._TIK_önként'!G23</f>
        <v>0</v>
      </c>
      <c r="H23" s="75">
        <f t="shared" si="1"/>
        <v>0</v>
      </c>
      <c r="I23" s="637">
        <f>'7.TIK'!I23-'30._TIK_önként'!I23</f>
        <v>0</v>
      </c>
      <c r="J23" s="75">
        <f>'7.TIK'!J23-'30._TIK_önként'!J23</f>
        <v>0</v>
      </c>
      <c r="K23" s="75">
        <f>'7.TIK'!K23-'30._TIK_önként'!K23</f>
        <v>0</v>
      </c>
      <c r="L23" s="75" t="e">
        <f>'7.TIK'!L23-'30._TIK_önként'!L23</f>
        <v>#VALUE!</v>
      </c>
    </row>
    <row r="24" spans="1:12" s="54" customFormat="1" ht="12.2" customHeight="1" x14ac:dyDescent="0.2">
      <c r="A24" s="1037" t="s">
        <v>95</v>
      </c>
      <c r="B24" s="330" t="s">
        <v>160</v>
      </c>
      <c r="C24" s="331">
        <f>'7.TIK'!C24-'30._TIK_önként'!C24</f>
        <v>0</v>
      </c>
      <c r="D24" s="340">
        <f>'7.TIK'!D24-'30._TIK_önként'!D24</f>
        <v>0</v>
      </c>
      <c r="E24" s="88">
        <f>'7.TIK'!E24-'30._TIK_önként'!E24</f>
        <v>0</v>
      </c>
      <c r="F24" s="88">
        <f>'7.TIK'!F24-'30._TIK_önként'!F24</f>
        <v>0</v>
      </c>
      <c r="G24" s="88">
        <f>'7.TIK'!G24-'30._TIK_önként'!G24</f>
        <v>0</v>
      </c>
      <c r="H24" s="541">
        <f t="shared" si="1"/>
        <v>0</v>
      </c>
      <c r="I24" s="1087">
        <f>'7.TIK'!I24-'30._TIK_önként'!I24</f>
        <v>0</v>
      </c>
      <c r="J24" s="541">
        <f>'7.TIK'!J24-'30._TIK_önként'!J24</f>
        <v>0</v>
      </c>
      <c r="K24" s="541">
        <f>'7.TIK'!K24-'30._TIK_önként'!K24</f>
        <v>0</v>
      </c>
      <c r="L24" s="541" t="e">
        <f>'7.TIK'!L24-'30._TIK_önként'!L24</f>
        <v>#VALUE!</v>
      </c>
    </row>
    <row r="25" spans="1:12" s="54" customFormat="1" ht="12.2" customHeight="1" x14ac:dyDescent="0.2">
      <c r="A25" s="1037" t="s">
        <v>96</v>
      </c>
      <c r="B25" s="330" t="s">
        <v>161</v>
      </c>
      <c r="C25" s="331">
        <f>'7.TIK'!C25-'30._TIK_önként'!C25</f>
        <v>0</v>
      </c>
      <c r="D25" s="340">
        <f>'7.TIK'!D25-'30._TIK_önként'!D25</f>
        <v>0</v>
      </c>
      <c r="E25" s="88">
        <f>'7.TIK'!E25-'30._TIK_önként'!E25</f>
        <v>321071</v>
      </c>
      <c r="F25" s="88">
        <f>'7.TIK'!F25-'30._TIK_önként'!F25</f>
        <v>321071</v>
      </c>
      <c r="G25" s="88">
        <f>'7.TIK'!G25-'30._TIK_önként'!G25</f>
        <v>0</v>
      </c>
      <c r="H25" s="541">
        <f t="shared" si="1"/>
        <v>321071</v>
      </c>
      <c r="I25" s="1087">
        <f>'7.TIK'!I25-'30._TIK_önként'!I25</f>
        <v>0</v>
      </c>
      <c r="J25" s="541">
        <f>'7.TIK'!J25-'30._TIK_önként'!J25</f>
        <v>321071</v>
      </c>
      <c r="K25" s="541">
        <f>'7.TIK'!K25-'30._TIK_önként'!K25</f>
        <v>0</v>
      </c>
      <c r="L25" s="541">
        <f>'7.TIK'!L25-'30._TIK_önként'!L25</f>
        <v>100</v>
      </c>
    </row>
    <row r="26" spans="1:12" s="54" customFormat="1" ht="12.2" customHeight="1" thickBot="1" x14ac:dyDescent="0.25">
      <c r="A26" s="1037" t="s">
        <v>317</v>
      </c>
      <c r="B26" s="335" t="s">
        <v>233</v>
      </c>
      <c r="C26" s="331">
        <f>'7.TIK'!C26-'30._TIK_önként'!C26</f>
        <v>0</v>
      </c>
      <c r="D26" s="340">
        <f>'7.TIK'!D26-'30._TIK_önként'!D26</f>
        <v>0</v>
      </c>
      <c r="E26" s="88">
        <f>'7.TIK'!E26-'30._TIK_önként'!E26</f>
        <v>0</v>
      </c>
      <c r="F26" s="88">
        <f>'7.TIK'!F26-'30._TIK_önként'!F26</f>
        <v>0</v>
      </c>
      <c r="G26" s="88">
        <f>'7.TIK'!G26-'30._TIK_önként'!G26</f>
        <v>0</v>
      </c>
      <c r="H26" s="545">
        <f t="shared" si="1"/>
        <v>0</v>
      </c>
      <c r="I26" s="1091">
        <f>'7.TIK'!I26-'30._TIK_önként'!I26</f>
        <v>0</v>
      </c>
      <c r="J26" s="545">
        <f>'7.TIK'!J26-'30._TIK_önként'!J26</f>
        <v>0</v>
      </c>
      <c r="K26" s="545">
        <f>'7.TIK'!K26-'30._TIK_önként'!K26</f>
        <v>0</v>
      </c>
      <c r="L26" s="545" t="e">
        <f>'7.TIK'!L26-'30._TIK_önként'!L26</f>
        <v>#VALUE!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30">
        <f>'7.TIK'!C28-'30._TIK_önként'!C27</f>
        <v>0</v>
      </c>
      <c r="D27" s="129">
        <f>'7.TIK'!D28-'30._TIK_önként'!D27</f>
        <v>0</v>
      </c>
      <c r="E27" s="585">
        <f>'7.TIK'!E28-'30._TIK_önként'!E27</f>
        <v>0</v>
      </c>
      <c r="F27" s="585">
        <f>'7.TIK'!F28-'30._TIK_önként'!F27</f>
        <v>0</v>
      </c>
      <c r="G27" s="585">
        <f>'7.TIK'!G28-'30._TIK_önként'!G27</f>
        <v>0</v>
      </c>
      <c r="H27" s="74">
        <f t="shared" si="1"/>
        <v>0</v>
      </c>
      <c r="I27" s="638">
        <f>'7.TIK'!I28-'30._TIK_önként'!I27</f>
        <v>0</v>
      </c>
      <c r="J27" s="74">
        <f>'7.TIK'!J28-'30._TIK_önként'!J27</f>
        <v>0</v>
      </c>
      <c r="K27" s="74">
        <f>'7.TIK'!K28-'30._TIK_önként'!K27</f>
        <v>0</v>
      </c>
      <c r="L27" s="74" t="e">
        <f>'7.TIK'!L28-'30._TIK_önként'!L27</f>
        <v>#VALUE!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+C29+C30</f>
        <v>0</v>
      </c>
      <c r="D28" s="127">
        <f t="shared" ref="D28:L28" si="3">+D29+D30</f>
        <v>0</v>
      </c>
      <c r="E28" s="582">
        <f t="shared" si="3"/>
        <v>0</v>
      </c>
      <c r="F28" s="582">
        <f t="shared" si="3"/>
        <v>0</v>
      </c>
      <c r="G28" s="582">
        <f t="shared" si="3"/>
        <v>0</v>
      </c>
      <c r="H28" s="74">
        <f t="shared" si="1"/>
        <v>0</v>
      </c>
      <c r="I28" s="638">
        <f t="shared" si="3"/>
        <v>0</v>
      </c>
      <c r="J28" s="74">
        <f t="shared" si="3"/>
        <v>0</v>
      </c>
      <c r="K28" s="74">
        <f t="shared" si="3"/>
        <v>0</v>
      </c>
      <c r="L28" s="74" t="e">
        <f t="shared" si="3"/>
        <v>#VALUE!</v>
      </c>
    </row>
    <row r="29" spans="1:12" s="54" customFormat="1" ht="12.2" customHeight="1" x14ac:dyDescent="0.2">
      <c r="A29" s="58" t="s">
        <v>100</v>
      </c>
      <c r="B29" s="59" t="s">
        <v>160</v>
      </c>
      <c r="C29" s="122">
        <f>'7.TIK'!C29-'30._TIK_önként'!C29</f>
        <v>0</v>
      </c>
      <c r="D29" s="189">
        <f>'7.TIK'!D29-'30._TIK_önként'!D29</f>
        <v>0</v>
      </c>
      <c r="E29" s="586">
        <f>'7.TIK'!E29-'30._TIK_önként'!E29</f>
        <v>0</v>
      </c>
      <c r="F29" s="586">
        <f>'7.TIK'!F29-'30._TIK_önként'!F29</f>
        <v>0</v>
      </c>
      <c r="G29" s="586">
        <f>'7.TIK'!G29-'30._TIK_önként'!G29</f>
        <v>0</v>
      </c>
      <c r="H29" s="546">
        <f t="shared" si="1"/>
        <v>0</v>
      </c>
      <c r="I29" s="1092">
        <f>'7.TIK'!I29-'30._TIK_önként'!I29</f>
        <v>0</v>
      </c>
      <c r="J29" s="546">
        <f>'7.TIK'!J29-'30._TIK_önként'!J29</f>
        <v>0</v>
      </c>
      <c r="K29" s="546">
        <f>'7.TIK'!K29-'30._TIK_önként'!K29</f>
        <v>0</v>
      </c>
      <c r="L29" s="546" t="e">
        <f>'7.TIK'!L29-'30._TIK_önként'!L29</f>
        <v>#VALUE!</v>
      </c>
    </row>
    <row r="30" spans="1:12" s="54" customFormat="1" ht="12.2" customHeight="1" x14ac:dyDescent="0.2">
      <c r="A30" s="58" t="s">
        <v>101</v>
      </c>
      <c r="B30" s="336" t="s">
        <v>163</v>
      </c>
      <c r="C30" s="120">
        <f>'7.TIK'!C30-'30._TIK_önként'!C30</f>
        <v>0</v>
      </c>
      <c r="D30" s="193">
        <f>'7.TIK'!D30-'30._TIK_önként'!D30</f>
        <v>0</v>
      </c>
      <c r="E30" s="107">
        <f>'7.TIK'!E30-'30._TIK_önként'!E30</f>
        <v>0</v>
      </c>
      <c r="F30" s="107">
        <f>'7.TIK'!F30-'30._TIK_önként'!F30</f>
        <v>0</v>
      </c>
      <c r="G30" s="339">
        <f>'7.TIK'!G30-'30._TIK_önként'!G30</f>
        <v>0</v>
      </c>
      <c r="H30" s="534">
        <f t="shared" si="1"/>
        <v>0</v>
      </c>
      <c r="I30" s="630">
        <f>'7.TIK'!I30-'30._TIK_önként'!I30</f>
        <v>0</v>
      </c>
      <c r="J30" s="534">
        <f>'7.TIK'!J30-'30._TIK_önként'!J30</f>
        <v>0</v>
      </c>
      <c r="K30" s="534">
        <f>'7.TIK'!K30-'30._TIK_önként'!K30</f>
        <v>0</v>
      </c>
      <c r="L30" s="534" t="e">
        <f>'7.TIK'!L30-'30._TIK_önként'!L30</f>
        <v>#VALUE!</v>
      </c>
    </row>
    <row r="31" spans="1:12" s="54" customFormat="1" ht="12.2" customHeight="1" thickBot="1" x14ac:dyDescent="0.25">
      <c r="A31" s="1037" t="s">
        <v>281</v>
      </c>
      <c r="B31" s="102" t="s">
        <v>165</v>
      </c>
      <c r="C31" s="92">
        <f>'7.TIK'!C31-'30._TIK_önként'!C31</f>
        <v>0</v>
      </c>
      <c r="D31" s="190">
        <f>'7.TIK'!D31-'30._TIK_önként'!D31</f>
        <v>0</v>
      </c>
      <c r="E31" s="587">
        <f>'7.TIK'!E31-'30._TIK_önként'!E31</f>
        <v>0</v>
      </c>
      <c r="F31" s="587">
        <f>'7.TIK'!F31-'30._TIK_önként'!F31</f>
        <v>0</v>
      </c>
      <c r="G31" s="587">
        <f>'7.TIK'!G31-'30._TIK_önként'!G31</f>
        <v>0</v>
      </c>
      <c r="H31" s="547">
        <f t="shared" si="1"/>
        <v>0</v>
      </c>
      <c r="I31" s="1093">
        <f>'7.TIK'!I31-'30._TIK_önként'!I31</f>
        <v>0</v>
      </c>
      <c r="J31" s="547">
        <f>'7.TIK'!J31-'30._TIK_önként'!J31</f>
        <v>0</v>
      </c>
      <c r="K31" s="547">
        <f>'7.TIK'!K31-'30._TIK_önként'!K31</f>
        <v>0</v>
      </c>
      <c r="L31" s="547" t="e">
        <f>'7.TIK'!L31-'30._TIK_önként'!L31</f>
        <v>#VALUE!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+C33+C34+C35</f>
        <v>0</v>
      </c>
      <c r="D32" s="127">
        <f t="shared" ref="D32:L32" si="4">+D33+D34+D35</f>
        <v>0</v>
      </c>
      <c r="E32" s="582">
        <f t="shared" si="4"/>
        <v>0</v>
      </c>
      <c r="F32" s="582">
        <f t="shared" si="4"/>
        <v>0</v>
      </c>
      <c r="G32" s="582">
        <f t="shared" si="4"/>
        <v>0</v>
      </c>
      <c r="H32" s="74">
        <f t="shared" si="1"/>
        <v>0</v>
      </c>
      <c r="I32" s="638">
        <f t="shared" si="4"/>
        <v>0</v>
      </c>
      <c r="J32" s="74">
        <f t="shared" si="4"/>
        <v>52008</v>
      </c>
      <c r="K32" s="74">
        <f t="shared" si="4"/>
        <v>0</v>
      </c>
      <c r="L32" s="74" t="e">
        <f t="shared" si="4"/>
        <v>#VALUE!</v>
      </c>
    </row>
    <row r="33" spans="1:12" s="54" customFormat="1" ht="12.2" customHeight="1" x14ac:dyDescent="0.2">
      <c r="A33" s="58" t="s">
        <v>89</v>
      </c>
      <c r="B33" s="59" t="s">
        <v>167</v>
      </c>
      <c r="C33" s="122">
        <f>'7.TIK'!C33-'30._TIK_önként'!C33</f>
        <v>0</v>
      </c>
      <c r="D33" s="189">
        <f>'7.TIK'!D33-'30._TIK_önként'!D33</f>
        <v>0</v>
      </c>
      <c r="E33" s="586">
        <f>'7.TIK'!E33-'30._TIK_önként'!E33</f>
        <v>0</v>
      </c>
      <c r="F33" s="586">
        <f>'7.TIK'!F33-'30._TIK_önként'!F33</f>
        <v>0</v>
      </c>
      <c r="G33" s="586">
        <f>'7.TIK'!G33-'30._TIK_önként'!G33</f>
        <v>0</v>
      </c>
      <c r="H33" s="546">
        <f t="shared" si="1"/>
        <v>0</v>
      </c>
      <c r="I33" s="1092">
        <f>'7.TIK'!I33-'30._TIK_önként'!I33</f>
        <v>0</v>
      </c>
      <c r="J33" s="546">
        <f>'7.TIK'!J33-'30._TIK_önként'!J33</f>
        <v>0</v>
      </c>
      <c r="K33" s="546">
        <f>'7.TIK'!K33-'30._TIK_önként'!K33</f>
        <v>0</v>
      </c>
      <c r="L33" s="546" t="e">
        <f>'7.TIK'!L33-'30._TIK_önként'!L33</f>
        <v>#VALUE!</v>
      </c>
    </row>
    <row r="34" spans="1:12" s="54" customFormat="1" ht="12.2" customHeight="1" x14ac:dyDescent="0.2">
      <c r="A34" s="58" t="s">
        <v>102</v>
      </c>
      <c r="B34" s="336" t="s">
        <v>168</v>
      </c>
      <c r="C34" s="120">
        <f>'7.TIK'!C34-'30._TIK_önként'!C34</f>
        <v>0</v>
      </c>
      <c r="D34" s="193">
        <f>'7.TIK'!D34-'30._TIK_önként'!D34</f>
        <v>0</v>
      </c>
      <c r="E34" s="107">
        <f>'7.TIK'!E34-'30._TIK_önként'!E34</f>
        <v>0</v>
      </c>
      <c r="F34" s="107">
        <f>'7.TIK'!F34-'30._TIK_önként'!F34</f>
        <v>0</v>
      </c>
      <c r="G34" s="339">
        <f>'7.TIK'!G34-'30._TIK_önként'!G34</f>
        <v>0</v>
      </c>
      <c r="H34" s="534">
        <f t="shared" si="1"/>
        <v>0</v>
      </c>
      <c r="I34" s="630">
        <f>'7.TIK'!I34-'30._TIK_önként'!I34</f>
        <v>0</v>
      </c>
      <c r="J34" s="534">
        <f>'7.TIK'!J34-'30._TIK_önként'!J34</f>
        <v>0</v>
      </c>
      <c r="K34" s="534">
        <f>'7.TIK'!K34-'30._TIK_önként'!K34</f>
        <v>0</v>
      </c>
      <c r="L34" s="534" t="e">
        <f>'7.TIK'!L34-'30._TIK_önként'!L34</f>
        <v>#VALUE!</v>
      </c>
    </row>
    <row r="35" spans="1:12" s="54" customFormat="1" ht="12.2" customHeight="1" thickBot="1" x14ac:dyDescent="0.25">
      <c r="A35" s="1037" t="s">
        <v>103</v>
      </c>
      <c r="B35" s="62" t="s">
        <v>169</v>
      </c>
      <c r="C35" s="92">
        <f>'7.TIK'!C35-'30._TIK_önként'!C35</f>
        <v>0</v>
      </c>
      <c r="D35" s="190">
        <f>'7.TIK'!D35-'30._TIK_önként'!D35</f>
        <v>0</v>
      </c>
      <c r="E35" s="587">
        <f>'7.TIK'!E35-'30._TIK_önként'!E35</f>
        <v>0</v>
      </c>
      <c r="F35" s="587">
        <f>'7.TIK'!F35-'30._TIK_önként'!F35</f>
        <v>0</v>
      </c>
      <c r="G35" s="587">
        <f>'7.TIK'!G35-'30._TIK_önként'!G35</f>
        <v>0</v>
      </c>
      <c r="H35" s="548">
        <f t="shared" si="1"/>
        <v>0</v>
      </c>
      <c r="I35" s="1094">
        <f>'7.TIK'!I35-'30._TIK_önként'!I35</f>
        <v>0</v>
      </c>
      <c r="J35" s="548">
        <f>'7.TIK'!J35-'30._TIK_önként'!J35</f>
        <v>52008</v>
      </c>
      <c r="K35" s="548">
        <f>'7.TIK'!K35-'30._TIK_önként'!K35</f>
        <v>0</v>
      </c>
      <c r="L35" s="548" t="e">
        <f>'7.TIK'!L35-'30._TIK_önként'!L35</f>
        <v>#VALUE!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30">
        <f>'7.TIK'!C36-'30._TIK_önként'!C36</f>
        <v>0</v>
      </c>
      <c r="D36" s="129">
        <f>'7.TIK'!D36-'30._TIK_önként'!D36</f>
        <v>0</v>
      </c>
      <c r="E36" s="585">
        <f>'7.TIK'!E36-'30._TIK_önként'!E36</f>
        <v>0</v>
      </c>
      <c r="F36" s="585">
        <f>'7.TIK'!F36-'30._TIK_önként'!F36</f>
        <v>0</v>
      </c>
      <c r="G36" s="585">
        <f>'7.TIK'!G36-'30._TIK_önként'!G36</f>
        <v>0</v>
      </c>
      <c r="H36" s="74">
        <f t="shared" si="1"/>
        <v>0</v>
      </c>
      <c r="I36" s="638">
        <f>'7.TIK'!I36-'30._TIK_önként'!I36</f>
        <v>0</v>
      </c>
      <c r="J36" s="74">
        <f>'7.TIK'!J36-'30._TIK_önként'!J36</f>
        <v>0</v>
      </c>
      <c r="K36" s="74">
        <f>'7.TIK'!K36-'30._TIK_önként'!K36</f>
        <v>0</v>
      </c>
      <c r="L36" s="74" t="e">
        <f>'7.TIK'!L36-'30._TIK_önként'!L36</f>
        <v>#VALUE!</v>
      </c>
    </row>
    <row r="37" spans="1:12" s="26" customFormat="1" ht="12.2" customHeight="1" thickBot="1" x14ac:dyDescent="0.25">
      <c r="A37" s="1038" t="s">
        <v>104</v>
      </c>
      <c r="B37" s="337" t="s">
        <v>165</v>
      </c>
      <c r="C37" s="130">
        <f>'7.TIK'!C37-'30._TIK_önként'!C37</f>
        <v>0</v>
      </c>
      <c r="D37" s="129">
        <f>'7.TIK'!D37-'30._TIK_önként'!D37</f>
        <v>0</v>
      </c>
      <c r="E37" s="588">
        <f>'7.TIK'!E37-'30._TIK_önként'!E37</f>
        <v>0</v>
      </c>
      <c r="F37" s="588">
        <f>'7.TIK'!F37-'30._TIK_önként'!F37</f>
        <v>0</v>
      </c>
      <c r="G37" s="588">
        <f>'7.TIK'!G37-'30._TIK_önként'!G37</f>
        <v>0</v>
      </c>
      <c r="H37" s="549">
        <f t="shared" si="1"/>
        <v>0</v>
      </c>
      <c r="I37" s="1095">
        <f>'7.TIK'!I37-'30._TIK_önként'!I37</f>
        <v>0</v>
      </c>
      <c r="J37" s="549">
        <f>'7.TIK'!J37-'30._TIK_önként'!J37</f>
        <v>0</v>
      </c>
      <c r="K37" s="549">
        <f>'7.TIK'!K37-'30._TIK_önként'!K37</f>
        <v>0</v>
      </c>
      <c r="L37" s="549" t="e">
        <f>'7.TIK'!L37-'30._TIK_önként'!L37</f>
        <v>#VALUE!</v>
      </c>
    </row>
    <row r="38" spans="1:12" s="26" customFormat="1" ht="12.2" customHeight="1" thickBot="1" x14ac:dyDescent="0.25">
      <c r="A38" s="55" t="s">
        <v>18</v>
      </c>
      <c r="B38" s="56" t="s">
        <v>555</v>
      </c>
      <c r="C38" s="130">
        <f>'7.TIK'!C38-'30._TIK_önként'!C38</f>
        <v>0</v>
      </c>
      <c r="D38" s="129">
        <f>'7.TIK'!D38-'30._TIK_önként'!D38</f>
        <v>0</v>
      </c>
      <c r="E38" s="585">
        <f>'7.TIK'!E38-'30._TIK_önként'!E38</f>
        <v>0</v>
      </c>
      <c r="F38" s="585">
        <f>'7.TIK'!F38-'30._TIK_önként'!F38</f>
        <v>0</v>
      </c>
      <c r="G38" s="585">
        <f>'7.TIK'!G38-'30._TIK_önként'!G38</f>
        <v>0</v>
      </c>
      <c r="H38" s="74">
        <f t="shared" si="1"/>
        <v>0</v>
      </c>
      <c r="I38" s="638">
        <f>'7.TIK'!I38-'30._TIK_önként'!I38</f>
        <v>0</v>
      </c>
      <c r="J38" s="74">
        <f>'7.TIK'!J38-'30._TIK_önként'!J38</f>
        <v>0</v>
      </c>
      <c r="K38" s="74">
        <f>'7.TIK'!K38-'30._TIK_önként'!K38</f>
        <v>0</v>
      </c>
      <c r="L38" s="74" t="e">
        <f>'7.TIK'!L38-'30._TIK_önként'!L38</f>
        <v>#VALUE!</v>
      </c>
    </row>
    <row r="39" spans="1:12" s="26" customFormat="1" ht="12.2" customHeight="1" x14ac:dyDescent="0.2">
      <c r="A39" s="12" t="s">
        <v>107</v>
      </c>
      <c r="B39" s="95" t="s">
        <v>212</v>
      </c>
      <c r="C39" s="131">
        <f>'7.TIK'!C39-'30._TIK_önként'!C39</f>
        <v>0</v>
      </c>
      <c r="D39" s="194">
        <f>'7.TIK'!D39-'30._TIK_önként'!D39</f>
        <v>0</v>
      </c>
      <c r="E39" s="589">
        <f>'7.TIK'!E39-'30._TIK_önként'!E39</f>
        <v>0</v>
      </c>
      <c r="F39" s="589">
        <f>'7.TIK'!F39-'30._TIK_önként'!F39</f>
        <v>0</v>
      </c>
      <c r="G39" s="589">
        <f>'7.TIK'!G39-'30._TIK_önként'!G39</f>
        <v>0</v>
      </c>
      <c r="H39" s="550">
        <f t="shared" si="1"/>
        <v>0</v>
      </c>
      <c r="I39" s="1096">
        <f>'7.TIK'!I39-'30._TIK_önként'!I39</f>
        <v>0</v>
      </c>
      <c r="J39" s="550">
        <f>'7.TIK'!J39-'30._TIK_önként'!J39</f>
        <v>0</v>
      </c>
      <c r="K39" s="550">
        <f>'7.TIK'!K39-'30._TIK_önként'!K39</f>
        <v>0</v>
      </c>
      <c r="L39" s="550" t="e">
        <f>'7.TIK'!L39-'30._TIK_önként'!L39</f>
        <v>#VALUE!</v>
      </c>
    </row>
    <row r="40" spans="1:12" s="26" customFormat="1" ht="12.2" customHeight="1" x14ac:dyDescent="0.2">
      <c r="A40" s="1003" t="s">
        <v>108</v>
      </c>
      <c r="B40" s="346" t="s">
        <v>213</v>
      </c>
      <c r="C40" s="338">
        <f>'7.TIK'!C40-'30._TIK_önként'!C40</f>
        <v>0</v>
      </c>
      <c r="D40" s="342">
        <f>'7.TIK'!D40-'30._TIK_önként'!D40</f>
        <v>0</v>
      </c>
      <c r="E40" s="590">
        <f>'7.TIK'!E40-'30._TIK_önként'!E40</f>
        <v>0</v>
      </c>
      <c r="F40" s="590">
        <f>'7.TIK'!F40-'30._TIK_önként'!F40</f>
        <v>0</v>
      </c>
      <c r="G40" s="590">
        <f>'7.TIK'!G40-'30._TIK_önként'!G40</f>
        <v>0</v>
      </c>
      <c r="H40" s="551">
        <f t="shared" si="1"/>
        <v>0</v>
      </c>
      <c r="I40" s="1097">
        <f>'7.TIK'!I40-'30._TIK_önként'!I40</f>
        <v>0</v>
      </c>
      <c r="J40" s="551">
        <f>'7.TIK'!J40-'30._TIK_önként'!J40</f>
        <v>0</v>
      </c>
      <c r="K40" s="551">
        <f>'7.TIK'!K40-'30._TIK_önként'!K40</f>
        <v>0</v>
      </c>
      <c r="L40" s="551" t="e">
        <f>'7.TIK'!L40-'30._TIK_önként'!L40</f>
        <v>#VALUE!</v>
      </c>
    </row>
    <row r="41" spans="1:12" s="26" customFormat="1" ht="12.2" customHeight="1" thickBot="1" x14ac:dyDescent="0.25">
      <c r="A41" s="1003" t="s">
        <v>323</v>
      </c>
      <c r="B41" s="103" t="s">
        <v>165</v>
      </c>
      <c r="C41" s="133">
        <f>'7.TIK'!C41-'30._TIK_önként'!C41</f>
        <v>0</v>
      </c>
      <c r="D41" s="132">
        <f>'7.TIK'!D41-'30._TIK_önként'!D41</f>
        <v>0</v>
      </c>
      <c r="E41" s="591">
        <f>'7.TIK'!E41-'30._TIK_önként'!E41</f>
        <v>0</v>
      </c>
      <c r="F41" s="591">
        <f>'7.TIK'!F41-'30._TIK_önként'!F41</f>
        <v>0</v>
      </c>
      <c r="G41" s="591">
        <f>'7.TIK'!G41-'30._TIK_önként'!G41</f>
        <v>0</v>
      </c>
      <c r="H41" s="552">
        <f t="shared" si="1"/>
        <v>0</v>
      </c>
      <c r="I41" s="1098">
        <f>'7.TIK'!I41-'30._TIK_önként'!I41</f>
        <v>0</v>
      </c>
      <c r="J41" s="552">
        <f>'7.TIK'!J41-'30._TIK_önként'!J41</f>
        <v>0</v>
      </c>
      <c r="K41" s="552">
        <f>'7.TIK'!K41-'30._TIK_önként'!K41</f>
        <v>0</v>
      </c>
      <c r="L41" s="552" t="e">
        <f>'7.TIK'!L41-'30._TIK_önként'!L41</f>
        <v>#VALUE!</v>
      </c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184883592</v>
      </c>
      <c r="D42" s="127">
        <f t="shared" ref="D42:L42" si="5">+D10+D22+D27+D28+D32+D36+D38</f>
        <v>198817592</v>
      </c>
      <c r="E42" s="582">
        <f t="shared" si="5"/>
        <v>199138663</v>
      </c>
      <c r="F42" s="582">
        <f t="shared" si="5"/>
        <v>254172743</v>
      </c>
      <c r="G42" s="582">
        <f t="shared" si="5"/>
        <v>0</v>
      </c>
      <c r="H42" s="74">
        <f t="shared" si="1"/>
        <v>321071</v>
      </c>
      <c r="I42" s="638">
        <f t="shared" si="5"/>
        <v>0</v>
      </c>
      <c r="J42" s="74">
        <f t="shared" si="5"/>
        <v>260202032</v>
      </c>
      <c r="K42" s="74">
        <f t="shared" si="5"/>
        <v>0</v>
      </c>
      <c r="L42" s="74" t="e">
        <f t="shared" si="5"/>
        <v>#VALUE!</v>
      </c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SUM(C44:C47)</f>
        <v>953170364</v>
      </c>
      <c r="D43" s="127">
        <f t="shared" ref="D43:L43" si="6">SUM(D44:D47)</f>
        <v>972333311</v>
      </c>
      <c r="E43" s="582">
        <f t="shared" si="6"/>
        <v>1118317637</v>
      </c>
      <c r="F43" s="582">
        <f t="shared" si="6"/>
        <v>1296372475</v>
      </c>
      <c r="G43" s="582">
        <f t="shared" si="6"/>
        <v>0</v>
      </c>
      <c r="H43" s="74">
        <f t="shared" si="1"/>
        <v>145984326</v>
      </c>
      <c r="I43" s="638">
        <f t="shared" si="6"/>
        <v>6045366</v>
      </c>
      <c r="J43" s="74">
        <f t="shared" si="6"/>
        <v>856274320</v>
      </c>
      <c r="K43" s="74" t="e">
        <f t="shared" si="6"/>
        <v>#VALUE!</v>
      </c>
      <c r="L43" s="74" t="e">
        <f t="shared" si="6"/>
        <v>#VALUE!</v>
      </c>
    </row>
    <row r="44" spans="1:12" s="26" customFormat="1" ht="12.2" customHeight="1" x14ac:dyDescent="0.2">
      <c r="A44" s="58" t="s">
        <v>171</v>
      </c>
      <c r="B44" s="59" t="s">
        <v>131</v>
      </c>
      <c r="C44" s="122">
        <f>'7.TIK'!C44-'30._TIK_önként'!C44</f>
        <v>0</v>
      </c>
      <c r="D44" s="189">
        <f>'7.TIK'!D44-'30._TIK_önként'!D44</f>
        <v>13446511</v>
      </c>
      <c r="E44" s="586">
        <f>'7.TIK'!E44-'30._TIK_önként'!E44</f>
        <v>13446511</v>
      </c>
      <c r="F44" s="586">
        <f>'7.TIK'!F44-'30._TIK_önként'!F44</f>
        <v>13446511</v>
      </c>
      <c r="G44" s="586">
        <f>'7.TIK'!G44-'30._TIK_önként'!G44</f>
        <v>0</v>
      </c>
      <c r="H44" s="546">
        <f t="shared" si="1"/>
        <v>0</v>
      </c>
      <c r="I44" s="1092">
        <f>'7.TIK'!I44-'30._TIK_önként'!I44</f>
        <v>0</v>
      </c>
      <c r="J44" s="546">
        <f>'7.TIK'!J44-'30._TIK_önként'!J44</f>
        <v>13446511</v>
      </c>
      <c r="K44" s="546">
        <f>'7.TIK'!K44-'30._TIK_önként'!K44</f>
        <v>0</v>
      </c>
      <c r="L44" s="546">
        <f>'7.TIK'!L44-'30._TIK_önként'!L44</f>
        <v>100</v>
      </c>
    </row>
    <row r="45" spans="1:12" s="26" customFormat="1" ht="12.2" customHeight="1" x14ac:dyDescent="0.2">
      <c r="A45" s="71" t="s">
        <v>172</v>
      </c>
      <c r="B45" s="59" t="s">
        <v>186</v>
      </c>
      <c r="C45" s="120">
        <f>'7.TIK'!C45-'30._TIK_önként'!C45</f>
        <v>0</v>
      </c>
      <c r="D45" s="193">
        <f>'7.TIK'!D45-'30._TIK_önként'!D45</f>
        <v>0</v>
      </c>
      <c r="E45" s="91">
        <f>'7.TIK'!E45-'30._TIK_önként'!E45</f>
        <v>0</v>
      </c>
      <c r="F45" s="91">
        <f>'7.TIK'!F45-'30._TIK_önként'!F45</f>
        <v>0</v>
      </c>
      <c r="G45" s="91">
        <f>'7.TIK'!G45-'30._TIK_önként'!G45</f>
        <v>0</v>
      </c>
      <c r="H45" s="553">
        <f t="shared" si="1"/>
        <v>0</v>
      </c>
      <c r="I45" s="1099">
        <f>'7.TIK'!I45-'30._TIK_önként'!I45</f>
        <v>0</v>
      </c>
      <c r="J45" s="553">
        <f>'7.TIK'!J45-'30._TIK_önként'!J45</f>
        <v>0</v>
      </c>
      <c r="K45" s="553">
        <f>'7.TIK'!K45-'30._TIK_önként'!K45</f>
        <v>0</v>
      </c>
      <c r="L45" s="553" t="e">
        <f>'7.TIK'!L45-'30._TIK_önként'!L45</f>
        <v>#VALUE!</v>
      </c>
    </row>
    <row r="46" spans="1:12" s="26" customFormat="1" ht="12.2" customHeight="1" x14ac:dyDescent="0.2">
      <c r="A46" s="1037" t="s">
        <v>173</v>
      </c>
      <c r="B46" s="336" t="s">
        <v>177</v>
      </c>
      <c r="C46" s="339">
        <f>'7.TIK'!C46-'30._TIK_önként'!C46</f>
        <v>948170364</v>
      </c>
      <c r="D46" s="323">
        <f>'7.TIK'!D46-'30._TIK_önként'!D46</f>
        <v>945706484</v>
      </c>
      <c r="E46" s="107">
        <f>'7.TIK'!E46-'30._TIK_önként'!E46</f>
        <v>1086530406</v>
      </c>
      <c r="F46" s="107">
        <f>'7.TIK'!F46-'30._TIK_önként'!F46</f>
        <v>1264585244</v>
      </c>
      <c r="G46" s="107">
        <f>'7.TIK'!G46-'30._TIK_önként'!G46</f>
        <v>0</v>
      </c>
      <c r="H46" s="534">
        <f t="shared" si="1"/>
        <v>140823922</v>
      </c>
      <c r="I46" s="630">
        <f>'7.TIK'!I46-'30._TIK_önként'!I46</f>
        <v>0</v>
      </c>
      <c r="J46" s="534">
        <f>'7.TIK'!J46-'30._TIK_önként'!J46</f>
        <v>836834451</v>
      </c>
      <c r="K46" s="534" t="e">
        <f>'7.TIK'!K46-'30._TIK_önként'!K46</f>
        <v>#VALUE!</v>
      </c>
      <c r="L46" s="534">
        <f>'7.TIK'!L46-'30._TIK_önként'!L46</f>
        <v>66.174617723121244</v>
      </c>
    </row>
    <row r="47" spans="1:12" s="54" customFormat="1" ht="12.2" customHeight="1" thickBot="1" x14ac:dyDescent="0.25">
      <c r="A47" s="58" t="s">
        <v>178</v>
      </c>
      <c r="B47" s="62" t="s">
        <v>179</v>
      </c>
      <c r="C47" s="1034">
        <f>'7.TIK'!C47-'30._TIK_önként'!C47</f>
        <v>5000000</v>
      </c>
      <c r="D47" s="195">
        <f>'7.TIK'!D47-'30._TIK_önként'!D47</f>
        <v>13180316</v>
      </c>
      <c r="E47" s="587">
        <f>'7.TIK'!E47-'30._TIK_önként'!E47</f>
        <v>18340720</v>
      </c>
      <c r="F47" s="587">
        <f>'7.TIK'!F47-'30._TIK_önként'!F47</f>
        <v>18340720</v>
      </c>
      <c r="G47" s="587">
        <f>'7.TIK'!G47-'30._TIK_önként'!G47</f>
        <v>0</v>
      </c>
      <c r="H47" s="548">
        <f t="shared" si="1"/>
        <v>5160404</v>
      </c>
      <c r="I47" s="1094">
        <f>'7.TIK'!I47-'30._TIK_önként'!I47</f>
        <v>6045366</v>
      </c>
      <c r="J47" s="548">
        <f>'7.TIK'!J47-'30._TIK_önként'!J47</f>
        <v>5993358</v>
      </c>
      <c r="K47" s="548">
        <f>'7.TIK'!K47-'30._TIK_önként'!K47</f>
        <v>32.961443171260449</v>
      </c>
      <c r="L47" s="548">
        <f>'7.TIK'!L47-'30._TIK_önként'!L47</f>
        <v>32.67787742247851</v>
      </c>
    </row>
    <row r="48" spans="1:12" s="54" customFormat="1" ht="15" customHeight="1" thickBot="1" x14ac:dyDescent="0.25">
      <c r="A48" s="63" t="s">
        <v>21</v>
      </c>
      <c r="B48" s="524" t="s">
        <v>174</v>
      </c>
      <c r="C48" s="135">
        <f>+C42+C43</f>
        <v>1138053956</v>
      </c>
      <c r="D48" s="134">
        <f t="shared" ref="D48:L48" si="7">+D42+D43</f>
        <v>1171150903</v>
      </c>
      <c r="E48" s="592">
        <f t="shared" si="7"/>
        <v>1317456300</v>
      </c>
      <c r="F48" s="592">
        <f t="shared" si="7"/>
        <v>1550545218</v>
      </c>
      <c r="G48" s="592">
        <f t="shared" si="7"/>
        <v>0</v>
      </c>
      <c r="H48" s="557">
        <f>+E48-D48</f>
        <v>146305397</v>
      </c>
      <c r="I48" s="1100">
        <f t="shared" si="7"/>
        <v>6045366</v>
      </c>
      <c r="J48" s="557">
        <f t="shared" si="7"/>
        <v>1116476352</v>
      </c>
      <c r="K48" s="557" t="e">
        <f t="shared" si="7"/>
        <v>#VALUE!</v>
      </c>
      <c r="L48" s="557" t="e">
        <f t="shared" si="7"/>
        <v>#VALUE!</v>
      </c>
    </row>
    <row r="49" spans="1:12" s="54" customFormat="1" ht="15" customHeight="1" x14ac:dyDescent="0.2">
      <c r="A49" s="64"/>
      <c r="B49" s="65"/>
      <c r="C49" s="66"/>
      <c r="D49" s="66"/>
      <c r="E49" s="66"/>
      <c r="F49" s="66"/>
      <c r="G49" s="66"/>
      <c r="H49" s="66"/>
      <c r="I49" s="66"/>
      <c r="J49" s="66"/>
      <c r="K49" s="66"/>
      <c r="L49" s="66"/>
    </row>
    <row r="50" spans="1:12" s="54" customFormat="1" ht="15" customHeight="1" x14ac:dyDescent="0.2">
      <c r="A50" s="64"/>
      <c r="B50" s="65"/>
      <c r="C50" s="66"/>
      <c r="D50" s="66"/>
      <c r="E50" s="66"/>
      <c r="F50" s="66"/>
      <c r="G50" s="66"/>
      <c r="H50" s="66"/>
      <c r="I50" s="66"/>
      <c r="J50" s="66"/>
      <c r="K50" s="66"/>
      <c r="L50" s="66"/>
    </row>
    <row r="51" spans="1:12" ht="13.5" thickBot="1" x14ac:dyDescent="0.25">
      <c r="A51" s="1912" t="s">
        <v>362</v>
      </c>
      <c r="B51" s="1912"/>
      <c r="C51" s="1912"/>
      <c r="D51" s="1912"/>
      <c r="E51" s="1912"/>
      <c r="F51" s="1912"/>
      <c r="G51" s="1912"/>
      <c r="H51" s="1912"/>
    </row>
    <row r="52" spans="1:12" s="554" customFormat="1" ht="55.5" customHeight="1" thickBot="1" x14ac:dyDescent="0.25">
      <c r="A52" s="641"/>
      <c r="B52" s="642" t="s">
        <v>38</v>
      </c>
      <c r="C52" s="21" t="str">
        <f>C7</f>
        <v>2023. évi eredeti előirányzat
2/2023. (II.14.)</v>
      </c>
      <c r="D52" s="166" t="str">
        <f t="shared" ref="D52:L52" si="8">D7</f>
        <v>Módosított előirányzat a 14/2023.  (VI.29.)  rendelet szerint</v>
      </c>
      <c r="E52" s="21" t="str">
        <f t="shared" si="8"/>
        <v>Módosított előirányzat a 18/2023. (IX.26.)  rendelet szerint</v>
      </c>
      <c r="F52" s="21" t="str">
        <f t="shared" si="8"/>
        <v>Módosított előirányzat 2023.09.30-án</v>
      </c>
      <c r="G52" s="21" t="str">
        <f t="shared" si="8"/>
        <v>Módosított előirányzat a …../2023. (II…..)  rendelet szerint</v>
      </c>
      <c r="H52" s="32" t="str">
        <f t="shared" si="8"/>
        <v>Változás a 14/2023. (VI.29.) rendelethez képest</v>
      </c>
      <c r="I52" s="166" t="str">
        <f t="shared" si="8"/>
        <v>2023. évi teljesítés              2023.06.30-ig</v>
      </c>
      <c r="J52" s="21" t="str">
        <f t="shared" si="8"/>
        <v>2023. évi teljesítés              2023.09.30-ig</v>
      </c>
      <c r="K52" s="21" t="str">
        <f t="shared" si="8"/>
        <v>2023. évi teljesítés              2023.12.31-ig</v>
      </c>
      <c r="L52" s="21" t="str">
        <f t="shared" si="8"/>
        <v>Teljesítés %-a</v>
      </c>
    </row>
    <row r="53" spans="1:12" s="31" customFormat="1" ht="12.2" customHeight="1" thickBot="1" x14ac:dyDescent="0.25">
      <c r="A53" s="55" t="s">
        <v>12</v>
      </c>
      <c r="B53" s="56" t="s">
        <v>547</v>
      </c>
      <c r="C53" s="89">
        <f>SUM(C54:C59)-C55</f>
        <v>1133053956</v>
      </c>
      <c r="D53" s="127">
        <f t="shared" ref="D53:L53" si="9">SUM(D54:D59)-D55</f>
        <v>1157970587</v>
      </c>
      <c r="E53" s="582">
        <f t="shared" si="9"/>
        <v>1299115580</v>
      </c>
      <c r="F53" s="582">
        <f t="shared" si="9"/>
        <v>1532204498</v>
      </c>
      <c r="G53" s="582">
        <f t="shared" si="9"/>
        <v>0</v>
      </c>
      <c r="H53" s="48">
        <f t="shared" ref="H53:H72" si="10">+E53-D53</f>
        <v>141144993</v>
      </c>
      <c r="I53" s="175">
        <f t="shared" si="9"/>
        <v>0</v>
      </c>
      <c r="J53" s="48">
        <f t="shared" si="9"/>
        <v>1100221866</v>
      </c>
      <c r="K53" s="48">
        <f t="shared" si="9"/>
        <v>0</v>
      </c>
      <c r="L53" s="48" t="e">
        <f t="shared" si="9"/>
        <v>#VALUE!</v>
      </c>
    </row>
    <row r="54" spans="1:12" ht="12.2" customHeight="1" x14ac:dyDescent="0.2">
      <c r="A54" s="1037" t="s">
        <v>91</v>
      </c>
      <c r="B54" s="17" t="s">
        <v>68</v>
      </c>
      <c r="C54" s="122">
        <f>'7.TIK'!C54-'30._TIK_önként'!C54</f>
        <v>379849961</v>
      </c>
      <c r="D54" s="189">
        <f>'7.TIK'!D54-'30._TIK_önként'!D54</f>
        <v>385999961</v>
      </c>
      <c r="E54" s="586">
        <f>'7.TIK'!E54-'30._TIK_önként'!E54</f>
        <v>479724526</v>
      </c>
      <c r="F54" s="586">
        <f>'7.TIK'!F54-'30._TIK_önként'!F54</f>
        <v>593721071</v>
      </c>
      <c r="G54" s="586">
        <f>'7.TIK'!G54-'30._TIK_önként'!G54</f>
        <v>0</v>
      </c>
      <c r="H54" s="33">
        <f t="shared" si="10"/>
        <v>93724565</v>
      </c>
      <c r="I54" s="177">
        <f>'7.TIK'!I54-'30._TIK_önként'!I54</f>
        <v>0</v>
      </c>
      <c r="J54" s="33">
        <f>'7.TIK'!J54-'30._TIK_önként'!J54</f>
        <v>410633133</v>
      </c>
      <c r="K54" s="33">
        <f>'7.TIK'!K54-'30._TIK_önként'!K54</f>
        <v>0</v>
      </c>
      <c r="L54" s="33">
        <f>'7.TIK'!L54-'30._TIK_önként'!L54</f>
        <v>69.162634283532114</v>
      </c>
    </row>
    <row r="55" spans="1:12" ht="12.2" customHeight="1" x14ac:dyDescent="0.2">
      <c r="A55" s="1037" t="s">
        <v>305</v>
      </c>
      <c r="B55" s="335" t="s">
        <v>270</v>
      </c>
      <c r="C55" s="122">
        <f>'7.TIK'!C55-'30._TIK_önként'!C55</f>
        <v>0</v>
      </c>
      <c r="D55" s="189">
        <f>'7.TIK'!D55-'30._TIK_önként'!D55</f>
        <v>0</v>
      </c>
      <c r="E55" s="586">
        <f>'7.TIK'!E55-'30._TIK_önként'!E55</f>
        <v>20185726</v>
      </c>
      <c r="F55" s="586">
        <f>'7.TIK'!F55-'30._TIK_önként'!F55</f>
        <v>22600000</v>
      </c>
      <c r="G55" s="586">
        <f>'7.TIK'!G55-'30._TIK_önként'!G55</f>
        <v>0</v>
      </c>
      <c r="H55" s="33">
        <f t="shared" si="10"/>
        <v>20185726</v>
      </c>
      <c r="I55" s="177">
        <f>'7.TIK'!I55-'30._TIK_önként'!I55</f>
        <v>0</v>
      </c>
      <c r="J55" s="33">
        <f>'7.TIK'!J55-'30._TIK_önként'!J55</f>
        <v>0</v>
      </c>
      <c r="K55" s="33">
        <f>'7.TIK'!K55-'30._TIK_önként'!K55</f>
        <v>0</v>
      </c>
      <c r="L55" s="33">
        <f>'7.TIK'!L55-'30._TIK_önként'!L55</f>
        <v>0</v>
      </c>
    </row>
    <row r="56" spans="1:12" ht="12.2" customHeight="1" x14ac:dyDescent="0.2">
      <c r="A56" s="1037" t="s">
        <v>92</v>
      </c>
      <c r="B56" s="330" t="s">
        <v>87</v>
      </c>
      <c r="C56" s="339">
        <f>'7.TIK'!C56-'30._TIK_önként'!C56</f>
        <v>64326302</v>
      </c>
      <c r="D56" s="323">
        <f>'7.TIK'!D56-'30._TIK_önként'!D56</f>
        <v>66048302</v>
      </c>
      <c r="E56" s="107">
        <f>'7.TIK'!E56-'30._TIK_önként'!E56</f>
        <v>76306357</v>
      </c>
      <c r="F56" s="107">
        <f>'7.TIK'!F56-'30._TIK_önként'!F56</f>
        <v>90880000</v>
      </c>
      <c r="G56" s="107">
        <f>'7.TIK'!G56-'30._TIK_önként'!G56</f>
        <v>0</v>
      </c>
      <c r="H56" s="324">
        <f t="shared" si="10"/>
        <v>10258055</v>
      </c>
      <c r="I56" s="503">
        <f>'7.TIK'!I56-'30._TIK_önként'!I56</f>
        <v>0</v>
      </c>
      <c r="J56" s="324">
        <f>'7.TIK'!J56-'30._TIK_önként'!J56</f>
        <v>59516895</v>
      </c>
      <c r="K56" s="324">
        <f>'7.TIK'!K56-'30._TIK_önként'!K56</f>
        <v>0</v>
      </c>
      <c r="L56" s="324">
        <f>'7.TIK'!L56-'30._TIK_önként'!L56</f>
        <v>65.489541153169014</v>
      </c>
    </row>
    <row r="57" spans="1:12" ht="12.2" customHeight="1" x14ac:dyDescent="0.2">
      <c r="A57" s="1037" t="s">
        <v>93</v>
      </c>
      <c r="B57" s="330" t="s">
        <v>69</v>
      </c>
      <c r="C57" s="339">
        <f>'7.TIK'!C57-'30._TIK_önként'!C57</f>
        <v>688877693</v>
      </c>
      <c r="D57" s="323">
        <f>'7.TIK'!D57-'30._TIK_önként'!D57</f>
        <v>705922324</v>
      </c>
      <c r="E57" s="107">
        <f>'7.TIK'!E57-'30._TIK_önként'!E57</f>
        <v>743084697</v>
      </c>
      <c r="F57" s="107">
        <f>'7.TIK'!F57-'30._TIK_önként'!F57</f>
        <v>847603427</v>
      </c>
      <c r="G57" s="107">
        <f>'7.TIK'!G57-'30._TIK_önként'!G57</f>
        <v>0</v>
      </c>
      <c r="H57" s="324">
        <f t="shared" si="10"/>
        <v>37162373</v>
      </c>
      <c r="I57" s="503">
        <f>'7.TIK'!I57-'30._TIK_önként'!I57</f>
        <v>0</v>
      </c>
      <c r="J57" s="324">
        <f>'7.TIK'!J57-'30._TIK_önként'!J57</f>
        <v>630071838</v>
      </c>
      <c r="K57" s="324">
        <f>'7.TIK'!K57-'30._TIK_önként'!K57</f>
        <v>0</v>
      </c>
      <c r="L57" s="324">
        <f>'7.TIK'!L57-'30._TIK_önként'!L57</f>
        <v>74.335687885320453</v>
      </c>
    </row>
    <row r="58" spans="1:12" ht="12.2" customHeight="1" x14ac:dyDescent="0.2">
      <c r="A58" s="1037" t="s">
        <v>90</v>
      </c>
      <c r="B58" s="330" t="s">
        <v>80</v>
      </c>
      <c r="C58" s="339">
        <f>'7.TIK'!C58-'30._TIK_önként'!C58</f>
        <v>0</v>
      </c>
      <c r="D58" s="323">
        <f>'7.TIK'!D58-'30._TIK_önként'!D58</f>
        <v>0</v>
      </c>
      <c r="E58" s="107">
        <f>'7.TIK'!E58-'30._TIK_önként'!E58</f>
        <v>0</v>
      </c>
      <c r="F58" s="107">
        <f>'7.TIK'!F58-'30._TIK_önként'!F58</f>
        <v>0</v>
      </c>
      <c r="G58" s="107">
        <f>'7.TIK'!G58-'30._TIK_önként'!G58</f>
        <v>0</v>
      </c>
      <c r="H58" s="324">
        <f t="shared" si="10"/>
        <v>0</v>
      </c>
      <c r="I58" s="503">
        <f>'7.TIK'!I58-'30._TIK_önként'!I58</f>
        <v>0</v>
      </c>
      <c r="J58" s="324">
        <f>'7.TIK'!J58-'30._TIK_önként'!J58</f>
        <v>0</v>
      </c>
      <c r="K58" s="324">
        <f>'7.TIK'!K58-'30._TIK_önként'!K58</f>
        <v>0</v>
      </c>
      <c r="L58" s="324" t="e">
        <f>'7.TIK'!L58-'30._TIK_önként'!L58</f>
        <v>#VALUE!</v>
      </c>
    </row>
    <row r="59" spans="1:12" ht="12.2" customHeight="1" x14ac:dyDescent="0.2">
      <c r="A59" s="1037" t="s">
        <v>147</v>
      </c>
      <c r="B59" s="330" t="s">
        <v>88</v>
      </c>
      <c r="C59" s="339">
        <f>'7.TIK'!C59-'30._TIK_önként'!C59</f>
        <v>0</v>
      </c>
      <c r="D59" s="323">
        <f>'7.TIK'!D59-'30._TIK_önként'!D59</f>
        <v>0</v>
      </c>
      <c r="E59" s="107">
        <f>'7.TIK'!E59-'30._TIK_önként'!E59</f>
        <v>0</v>
      </c>
      <c r="F59" s="107">
        <f>'7.TIK'!F59-'30._TIK_önként'!F59</f>
        <v>0</v>
      </c>
      <c r="G59" s="107">
        <f>'7.TIK'!G59-'30._TIK_önként'!G59</f>
        <v>0</v>
      </c>
      <c r="H59" s="324">
        <f t="shared" si="10"/>
        <v>0</v>
      </c>
      <c r="I59" s="503">
        <f>'7.TIK'!I59-'30._TIK_önként'!I59</f>
        <v>0</v>
      </c>
      <c r="J59" s="324">
        <f>'7.TIK'!J59-'30._TIK_önként'!J59</f>
        <v>0</v>
      </c>
      <c r="K59" s="324">
        <f>'7.TIK'!K59-'30._TIK_önként'!K59</f>
        <v>0</v>
      </c>
      <c r="L59" s="324" t="e">
        <f>'7.TIK'!L59-'30._TIK_önként'!L59</f>
        <v>#VALUE!</v>
      </c>
    </row>
    <row r="60" spans="1:12" ht="12.2" customHeight="1" x14ac:dyDescent="0.2">
      <c r="A60" s="1037" t="s">
        <v>306</v>
      </c>
      <c r="B60" s="521" t="s">
        <v>235</v>
      </c>
      <c r="C60" s="339">
        <f>'7.TIK'!C60-'30._TIK_önként'!C60</f>
        <v>0</v>
      </c>
      <c r="D60" s="323">
        <f>'7.TIK'!D60-'30._TIK_önként'!D60</f>
        <v>0</v>
      </c>
      <c r="E60" s="107">
        <f>'7.TIK'!E60-'30._TIK_önként'!E60</f>
        <v>0</v>
      </c>
      <c r="F60" s="107">
        <f>'7.TIK'!F60-'30._TIK_önként'!F60</f>
        <v>0</v>
      </c>
      <c r="G60" s="107">
        <f>'7.TIK'!G60-'30._TIK_önként'!G60</f>
        <v>0</v>
      </c>
      <c r="H60" s="324">
        <f t="shared" si="10"/>
        <v>0</v>
      </c>
      <c r="I60" s="503">
        <f>'7.TIK'!I60-'30._TIK_önként'!I60</f>
        <v>0</v>
      </c>
      <c r="J60" s="324">
        <f>'7.TIK'!J60-'30._TIK_önként'!J60</f>
        <v>0</v>
      </c>
      <c r="K60" s="324">
        <f>'7.TIK'!K60-'30._TIK_önként'!K60</f>
        <v>0</v>
      </c>
      <c r="L60" s="324" t="e">
        <f>'7.TIK'!L60-'30._TIK_önként'!L60</f>
        <v>#VALUE!</v>
      </c>
    </row>
    <row r="61" spans="1:12" ht="12.2" customHeight="1" thickBot="1" x14ac:dyDescent="0.25">
      <c r="A61" s="84" t="s">
        <v>307</v>
      </c>
      <c r="B61" s="85" t="s">
        <v>234</v>
      </c>
      <c r="C61" s="92">
        <f>'7.TIK'!C61-'30._TIK_önként'!C61</f>
        <v>0</v>
      </c>
      <c r="D61" s="190">
        <f>'7.TIK'!D61-'30._TIK_önként'!D61</f>
        <v>0</v>
      </c>
      <c r="E61" s="593">
        <f>'7.TIK'!E61-'30._TIK_önként'!E61</f>
        <v>0</v>
      </c>
      <c r="F61" s="593">
        <f>'7.TIK'!F61-'30._TIK_önként'!F61</f>
        <v>0</v>
      </c>
      <c r="G61" s="593">
        <f>'7.TIK'!G61-'30._TIK_önként'!G61</f>
        <v>0</v>
      </c>
      <c r="H61" s="61">
        <f t="shared" si="10"/>
        <v>0</v>
      </c>
      <c r="I61" s="178">
        <f>'7.TIK'!I61-'30._TIK_önként'!I61</f>
        <v>0</v>
      </c>
      <c r="J61" s="61">
        <f>'7.TIK'!J61-'30._TIK_önként'!J61</f>
        <v>0</v>
      </c>
      <c r="K61" s="61">
        <f>'7.TIK'!K61-'30._TIK_önként'!K61</f>
        <v>0</v>
      </c>
      <c r="L61" s="61" t="e">
        <f>'7.TIK'!L61-'30._TIK_önként'!L61</f>
        <v>#VALUE!</v>
      </c>
    </row>
    <row r="62" spans="1:12" ht="12.2" customHeight="1" thickBot="1" x14ac:dyDescent="0.25">
      <c r="A62" s="55" t="s">
        <v>13</v>
      </c>
      <c r="B62" s="56" t="s">
        <v>548</v>
      </c>
      <c r="C62" s="89">
        <f>SUM(C63:C67)</f>
        <v>5000000</v>
      </c>
      <c r="D62" s="127">
        <f t="shared" ref="D62:L62" si="11">SUM(D63:D67)</f>
        <v>13180316</v>
      </c>
      <c r="E62" s="582">
        <f t="shared" si="11"/>
        <v>18340720</v>
      </c>
      <c r="F62" s="582">
        <f t="shared" si="11"/>
        <v>18340720</v>
      </c>
      <c r="G62" s="582">
        <f t="shared" si="11"/>
        <v>0</v>
      </c>
      <c r="H62" s="48">
        <f t="shared" si="10"/>
        <v>5160404</v>
      </c>
      <c r="I62" s="175">
        <f t="shared" si="11"/>
        <v>6045366</v>
      </c>
      <c r="J62" s="48">
        <f t="shared" si="11"/>
        <v>6045366</v>
      </c>
      <c r="K62" s="48" t="e">
        <f t="shared" si="11"/>
        <v>#VALUE!</v>
      </c>
      <c r="L62" s="48" t="e">
        <f t="shared" si="11"/>
        <v>#VALUE!</v>
      </c>
    </row>
    <row r="63" spans="1:12" s="31" customFormat="1" ht="12.2" customHeight="1" x14ac:dyDescent="0.2">
      <c r="A63" s="1037" t="s">
        <v>94</v>
      </c>
      <c r="B63" s="17" t="s">
        <v>119</v>
      </c>
      <c r="C63" s="122">
        <f>'7.TIK'!C63-'30._TIK_önként'!C63</f>
        <v>5000000</v>
      </c>
      <c r="D63" s="189">
        <f>'7.TIK'!D63-'30._TIK_önként'!D63</f>
        <v>13180316</v>
      </c>
      <c r="E63" s="586">
        <f>'7.TIK'!E63-'30._TIK_önként'!E63</f>
        <v>18340720</v>
      </c>
      <c r="F63" s="586">
        <f>'7.TIK'!F63-'30._TIK_önként'!F63</f>
        <v>18340720</v>
      </c>
      <c r="G63" s="586">
        <f>'7.TIK'!G63-'30._TIK_önként'!G63</f>
        <v>0</v>
      </c>
      <c r="H63" s="33">
        <f t="shared" si="10"/>
        <v>5160404</v>
      </c>
      <c r="I63" s="177">
        <f>'7.TIK'!I63-'30._TIK_önként'!I63</f>
        <v>6045366</v>
      </c>
      <c r="J63" s="33">
        <f>'7.TIK'!J63-'30._TIK_önként'!J63</f>
        <v>6045366</v>
      </c>
      <c r="K63" s="33">
        <f>'7.TIK'!K63-'30._TIK_önként'!K63</f>
        <v>32.961443171260449</v>
      </c>
      <c r="L63" s="33">
        <f>'7.TIK'!L63-'30._TIK_önként'!L63</f>
        <v>32.961443171260449</v>
      </c>
    </row>
    <row r="64" spans="1:12" s="31" customFormat="1" ht="12.2" customHeight="1" x14ac:dyDescent="0.2">
      <c r="A64" s="1037" t="s">
        <v>316</v>
      </c>
      <c r="B64" s="522" t="s">
        <v>236</v>
      </c>
      <c r="C64" s="122">
        <f>'7.TIK'!C64-'30._TIK_önként'!C64</f>
        <v>0</v>
      </c>
      <c r="D64" s="189">
        <f>'7.TIK'!D64-'30._TIK_önként'!D64</f>
        <v>0</v>
      </c>
      <c r="E64" s="586">
        <f>'7.TIK'!E64-'30._TIK_önként'!E64</f>
        <v>0</v>
      </c>
      <c r="F64" s="586">
        <f>'7.TIK'!F64-'30._TIK_önként'!F64</f>
        <v>0</v>
      </c>
      <c r="G64" s="586">
        <f>'7.TIK'!G64-'30._TIK_önként'!G64</f>
        <v>0</v>
      </c>
      <c r="H64" s="33">
        <f t="shared" si="10"/>
        <v>0</v>
      </c>
      <c r="I64" s="177">
        <f>'7.TIK'!I64-'30._TIK_önként'!I64</f>
        <v>0</v>
      </c>
      <c r="J64" s="33">
        <f>'7.TIK'!J64-'30._TIK_önként'!J64</f>
        <v>0</v>
      </c>
      <c r="K64" s="33">
        <f>'7.TIK'!K64-'30._TIK_önként'!K64</f>
        <v>0</v>
      </c>
      <c r="L64" s="33" t="e">
        <f>'7.TIK'!L64-'30._TIK_önként'!L64</f>
        <v>#VALUE!</v>
      </c>
    </row>
    <row r="65" spans="1:12" ht="12.2" customHeight="1" x14ac:dyDescent="0.2">
      <c r="A65" s="1037" t="s">
        <v>95</v>
      </c>
      <c r="B65" s="330" t="s">
        <v>2</v>
      </c>
      <c r="C65" s="339">
        <f>'7.TIK'!C65-'30._TIK_önként'!C65</f>
        <v>0</v>
      </c>
      <c r="D65" s="323">
        <f>'7.TIK'!D65-'30._TIK_önként'!D65</f>
        <v>0</v>
      </c>
      <c r="E65" s="107">
        <f>'7.TIK'!E65-'30._TIK_önként'!E65</f>
        <v>0</v>
      </c>
      <c r="F65" s="107">
        <f>'7.TIK'!F65-'30._TIK_önként'!F65</f>
        <v>0</v>
      </c>
      <c r="G65" s="107">
        <f>'7.TIK'!G65-'30._TIK_önként'!G65</f>
        <v>0</v>
      </c>
      <c r="H65" s="324">
        <f t="shared" si="10"/>
        <v>0</v>
      </c>
      <c r="I65" s="503">
        <f>'7.TIK'!I65-'30._TIK_önként'!I65</f>
        <v>0</v>
      </c>
      <c r="J65" s="324">
        <f>'7.TIK'!J65-'30._TIK_önként'!J65</f>
        <v>0</v>
      </c>
      <c r="K65" s="324" t="e">
        <f>'7.TIK'!K65-'30._TIK_önként'!K65</f>
        <v>#VALUE!</v>
      </c>
      <c r="L65" s="324" t="e">
        <f>'7.TIK'!L65-'30._TIK_önként'!L65</f>
        <v>#VALUE!</v>
      </c>
    </row>
    <row r="66" spans="1:12" ht="12.2" customHeight="1" x14ac:dyDescent="0.2">
      <c r="A66" s="1037" t="s">
        <v>342</v>
      </c>
      <c r="B66" s="523" t="s">
        <v>237</v>
      </c>
      <c r="C66" s="339">
        <f>'7.TIK'!C66-'30._TIK_önként'!C66</f>
        <v>0</v>
      </c>
      <c r="D66" s="323">
        <f>'7.TIK'!D66-'30._TIK_önként'!D66</f>
        <v>0</v>
      </c>
      <c r="E66" s="107">
        <f>'7.TIK'!E66-'30._TIK_önként'!E66</f>
        <v>0</v>
      </c>
      <c r="F66" s="107">
        <f>'7.TIK'!F66-'30._TIK_önként'!F66</f>
        <v>0</v>
      </c>
      <c r="G66" s="107">
        <f>'7.TIK'!G66-'30._TIK_önként'!G66</f>
        <v>0</v>
      </c>
      <c r="H66" s="324">
        <f t="shared" si="10"/>
        <v>0</v>
      </c>
      <c r="I66" s="503">
        <f>'7.TIK'!I66-'30._TIK_önként'!I66</f>
        <v>0</v>
      </c>
      <c r="J66" s="324">
        <f>'7.TIK'!J66-'30._TIK_önként'!J66</f>
        <v>0</v>
      </c>
      <c r="K66" s="324">
        <f>'7.TIK'!K66-'30._TIK_önként'!K66</f>
        <v>0</v>
      </c>
      <c r="L66" s="324" t="e">
        <f>'7.TIK'!L66-'30._TIK_önként'!L66</f>
        <v>#VALUE!</v>
      </c>
    </row>
    <row r="67" spans="1:12" ht="12.2" customHeight="1" x14ac:dyDescent="0.2">
      <c r="A67" s="1037" t="s">
        <v>96</v>
      </c>
      <c r="B67" s="17" t="s">
        <v>175</v>
      </c>
      <c r="C67" s="339">
        <f>'7.TIK'!C67-'30._TIK_önként'!C67</f>
        <v>0</v>
      </c>
      <c r="D67" s="323">
        <f>'7.TIK'!D67-'30._TIK_önként'!D67</f>
        <v>0</v>
      </c>
      <c r="E67" s="107">
        <f>'7.TIK'!E67-'30._TIK_önként'!E67</f>
        <v>0</v>
      </c>
      <c r="F67" s="107">
        <f>'7.TIK'!F67-'30._TIK_önként'!F67</f>
        <v>0</v>
      </c>
      <c r="G67" s="107">
        <f>'7.TIK'!G67-'30._TIK_önként'!G67</f>
        <v>0</v>
      </c>
      <c r="H67" s="324">
        <f t="shared" si="10"/>
        <v>0</v>
      </c>
      <c r="I67" s="503">
        <f>'7.TIK'!I67-'30._TIK_önként'!I67</f>
        <v>0</v>
      </c>
      <c r="J67" s="324">
        <f>'7.TIK'!J67-'30._TIK_önként'!J67</f>
        <v>0</v>
      </c>
      <c r="K67" s="324">
        <f>'7.TIK'!K67-'30._TIK_önként'!K67</f>
        <v>0</v>
      </c>
      <c r="L67" s="324" t="e">
        <f>'7.TIK'!L67-'30._TIK_önként'!L67</f>
        <v>#VALUE!</v>
      </c>
    </row>
    <row r="68" spans="1:12" ht="12.2" customHeight="1" x14ac:dyDescent="0.2">
      <c r="A68" s="1037" t="s">
        <v>317</v>
      </c>
      <c r="B68" s="521" t="s">
        <v>239</v>
      </c>
      <c r="C68" s="339">
        <f>'7.TIK'!C68-'30._TIK_önként'!C68</f>
        <v>0</v>
      </c>
      <c r="D68" s="323">
        <f>'7.TIK'!D68-'30._TIK_önként'!D68</f>
        <v>0</v>
      </c>
      <c r="E68" s="107">
        <f>'7.TIK'!E68-'30._TIK_önként'!E68</f>
        <v>0</v>
      </c>
      <c r="F68" s="107">
        <f>'7.TIK'!F68-'30._TIK_önként'!F68</f>
        <v>0</v>
      </c>
      <c r="G68" s="107">
        <f>'7.TIK'!G68-'30._TIK_önként'!G68</f>
        <v>0</v>
      </c>
      <c r="H68" s="324">
        <f t="shared" si="10"/>
        <v>0</v>
      </c>
      <c r="I68" s="503">
        <f>'7.TIK'!I68-'30._TIK_önként'!I68</f>
        <v>0</v>
      </c>
      <c r="J68" s="324">
        <f>'7.TIK'!J68-'30._TIK_önként'!J68</f>
        <v>0</v>
      </c>
      <c r="K68" s="324">
        <f>'7.TIK'!K68-'30._TIK_önként'!K68</f>
        <v>0</v>
      </c>
      <c r="L68" s="324" t="e">
        <f>'7.TIK'!L68-'30._TIK_önként'!L68</f>
        <v>#VALUE!</v>
      </c>
    </row>
    <row r="69" spans="1:12" ht="12.2" customHeight="1" thickBot="1" x14ac:dyDescent="0.25">
      <c r="A69" s="84" t="s">
        <v>318</v>
      </c>
      <c r="B69" s="85" t="s">
        <v>238</v>
      </c>
      <c r="C69" s="92">
        <f>'7.TIK'!C69-'30._TIK_önként'!C69</f>
        <v>0</v>
      </c>
      <c r="D69" s="323">
        <f>'7.TIK'!D69-'30._TIK_önként'!D69</f>
        <v>0</v>
      </c>
      <c r="E69" s="107">
        <f>'7.TIK'!E69-'30._TIK_önként'!E69</f>
        <v>0</v>
      </c>
      <c r="F69" s="107">
        <f>'7.TIK'!F69-'30._TIK_önként'!F69</f>
        <v>0</v>
      </c>
      <c r="G69" s="107">
        <f>'7.TIK'!G69-'30._TIK_önként'!G69</f>
        <v>0</v>
      </c>
      <c r="H69" s="324">
        <f t="shared" si="10"/>
        <v>0</v>
      </c>
      <c r="I69" s="503">
        <f>'7.TIK'!I69-'30._TIK_önként'!I69</f>
        <v>0</v>
      </c>
      <c r="J69" s="324">
        <f>'7.TIK'!J69-'30._TIK_önként'!J69</f>
        <v>0</v>
      </c>
      <c r="K69" s="324">
        <f>'7.TIK'!K69-'30._TIK_önként'!K69</f>
        <v>0</v>
      </c>
      <c r="L69" s="324" t="e">
        <f>'7.TIK'!L69-'30._TIK_önként'!L69</f>
        <v>#VALUE!</v>
      </c>
    </row>
    <row r="70" spans="1:12" ht="15" customHeight="1" thickBot="1" x14ac:dyDescent="0.25">
      <c r="A70" s="55" t="s">
        <v>14</v>
      </c>
      <c r="B70" s="67" t="s">
        <v>176</v>
      </c>
      <c r="C70" s="135">
        <f>+C53+C62</f>
        <v>1138053956</v>
      </c>
      <c r="D70" s="134">
        <f t="shared" ref="D70:L70" si="12">+D53+D62</f>
        <v>1171150903</v>
      </c>
      <c r="E70" s="592">
        <f t="shared" si="12"/>
        <v>1317456300</v>
      </c>
      <c r="F70" s="592">
        <f t="shared" si="12"/>
        <v>1550545218</v>
      </c>
      <c r="G70" s="592">
        <f t="shared" si="12"/>
        <v>0</v>
      </c>
      <c r="H70" s="68">
        <f t="shared" si="10"/>
        <v>146305397</v>
      </c>
      <c r="I70" s="176">
        <f t="shared" si="12"/>
        <v>6045366</v>
      </c>
      <c r="J70" s="68">
        <f t="shared" si="12"/>
        <v>1106267232</v>
      </c>
      <c r="K70" s="68" t="e">
        <f t="shared" si="12"/>
        <v>#VALUE!</v>
      </c>
      <c r="L70" s="68" t="e">
        <f t="shared" si="12"/>
        <v>#VALUE!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634" t="s">
        <v>292</v>
      </c>
      <c r="B72" s="636"/>
      <c r="C72" s="136">
        <f>'7.TIK'!C72-'30._TIK_önként'!C72</f>
        <v>123</v>
      </c>
      <c r="D72" s="635">
        <f>'7.TIK'!D72-'30._TIK_önként'!D72</f>
        <v>123</v>
      </c>
      <c r="E72" s="520">
        <f>'7.TIK'!E72-'30._TIK_önként'!E72</f>
        <v>123</v>
      </c>
      <c r="F72" s="520">
        <f>'7.TIK'!F72-'30._TIK_önként'!F72</f>
        <v>142</v>
      </c>
      <c r="G72" s="520">
        <f>'7.TIK'!G72-'30._TIK_önként'!G72</f>
        <v>0</v>
      </c>
      <c r="H72" s="174">
        <f t="shared" si="10"/>
        <v>0</v>
      </c>
      <c r="I72" s="174">
        <f>'7.TIK'!I72-'30._TIK_önként'!I72</f>
        <v>0</v>
      </c>
      <c r="J72" s="174">
        <f>'7.TIK'!J72-'30._TIK_önként'!J72</f>
        <v>136</v>
      </c>
      <c r="K72" s="174">
        <f>'7.TIK'!K72-'30._TIK_önként'!K72</f>
        <v>0</v>
      </c>
      <c r="L72" s="174">
        <f>'7.TIK'!L72-'30._TIK_önként'!L72</f>
        <v>95.774647887323937</v>
      </c>
    </row>
    <row r="73" spans="1:12" ht="14.25" hidden="1" customHeight="1" thickBot="1" x14ac:dyDescent="0.25">
      <c r="A73" s="69" t="s">
        <v>291</v>
      </c>
      <c r="B73" s="70"/>
      <c r="C73" s="609">
        <f>'7.TIK'!C73-'30._TIK_önként'!C73</f>
        <v>0</v>
      </c>
      <c r="D73" s="639">
        <f>'7.TIK'!D73-'30._TIK_önként'!D73</f>
        <v>0</v>
      </c>
      <c r="E73" s="607">
        <f>'7.TIK'!E73-'30._TIK_önként'!E73</f>
        <v>0</v>
      </c>
      <c r="F73" s="607">
        <f>'7.TIK'!F73-'30._TIK_önként'!F73</f>
        <v>0</v>
      </c>
      <c r="G73" s="607">
        <f>'7.TIK'!G73-'30._TIK_önként'!G73</f>
        <v>0</v>
      </c>
      <c r="H73" s="609">
        <f>'7.TIK'!H73-'30._TIK_önként'!H73</f>
        <v>0</v>
      </c>
      <c r="I73" s="609">
        <f>'7.TIK'!I73-'30._TIK_önként'!I73</f>
        <v>0</v>
      </c>
      <c r="J73" s="609">
        <f>'7.TIK'!J73-'30._TIK_önként'!J73</f>
        <v>0</v>
      </c>
      <c r="K73" s="609">
        <f>'7.TIK'!K73-'30._TIK_önként'!K73</f>
        <v>0</v>
      </c>
      <c r="L73" s="609" t="e">
        <f>'7.TIK'!L73-'30._TIK_önként'!L73</f>
        <v>#DIV/0!</v>
      </c>
    </row>
    <row r="74" spans="1:12" x14ac:dyDescent="0.2">
      <c r="D74" s="163"/>
      <c r="E74" s="163"/>
      <c r="F74" s="163"/>
      <c r="G74" s="163"/>
      <c r="H74" s="163" t="s">
        <v>385</v>
      </c>
      <c r="I74" s="163"/>
      <c r="J74" s="163"/>
      <c r="K74" s="163"/>
      <c r="L74" s="163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2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4"/>
  <sheetViews>
    <sheetView view="pageBreakPreview" zoomScale="124" zoomScaleNormal="118" zoomScaleSheetLayoutView="124" workbookViewId="0">
      <selection activeCell="A2" sqref="A2:H2"/>
    </sheetView>
  </sheetViews>
  <sheetFormatPr defaultRowHeight="12.75" x14ac:dyDescent="0.2"/>
  <cols>
    <col min="1" max="1" width="12" style="988" customWidth="1"/>
    <col min="2" max="2" width="67" style="25" customWidth="1"/>
    <col min="3" max="3" width="15.83203125" style="25" customWidth="1"/>
    <col min="4" max="4" width="17" style="1175" customWidth="1"/>
    <col min="5" max="5" width="17" style="25" customWidth="1"/>
    <col min="6" max="7" width="17" style="25" hidden="1" customWidth="1"/>
    <col min="8" max="8" width="15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535" customFormat="1" ht="12.75" customHeight="1" x14ac:dyDescent="0.2">
      <c r="A1" s="1774" t="s">
        <v>807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728</v>
      </c>
      <c r="B2" s="1774"/>
      <c r="C2" s="1774"/>
      <c r="D2" s="1774"/>
      <c r="E2" s="1774"/>
      <c r="F2" s="1774"/>
      <c r="G2" s="1774"/>
      <c r="H2" s="1774"/>
    </row>
    <row r="3" spans="1:12" s="24" customFormat="1" ht="21.2" customHeight="1" thickBot="1" x14ac:dyDescent="0.25">
      <c r="A3" s="170"/>
      <c r="C3" s="982"/>
      <c r="D3" s="1151"/>
      <c r="E3" s="982"/>
      <c r="F3" s="982"/>
      <c r="G3" s="982"/>
      <c r="H3" s="982"/>
      <c r="I3" s="982"/>
      <c r="J3" s="982"/>
      <c r="K3" s="982"/>
      <c r="L3" s="982"/>
    </row>
    <row r="4" spans="1:12" s="38" customFormat="1" ht="38.25" customHeight="1" x14ac:dyDescent="0.2">
      <c r="A4" s="36" t="s">
        <v>137</v>
      </c>
      <c r="B4" s="37" t="s">
        <v>133</v>
      </c>
      <c r="C4" s="1806" t="s">
        <v>138</v>
      </c>
      <c r="D4" s="1807"/>
      <c r="E4" s="1807"/>
      <c r="F4" s="1807"/>
      <c r="G4" s="1807"/>
      <c r="H4" s="1808" t="s">
        <v>138</v>
      </c>
    </row>
    <row r="5" spans="1:12" s="38" customFormat="1" ht="36.75" thickBot="1" x14ac:dyDescent="0.25">
      <c r="A5" s="39" t="s">
        <v>139</v>
      </c>
      <c r="B5" s="40" t="s">
        <v>403</v>
      </c>
      <c r="C5" s="1809" t="s">
        <v>141</v>
      </c>
      <c r="D5" s="1810"/>
      <c r="E5" s="1810"/>
      <c r="F5" s="1810"/>
      <c r="G5" s="1810"/>
      <c r="H5" s="1811" t="s">
        <v>141</v>
      </c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2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152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153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55034080</v>
      </c>
      <c r="D10" s="1154">
        <f t="shared" ref="D10:L10" si="0">SUM(D11:D21)</f>
        <v>55034080</v>
      </c>
      <c r="E10" s="582">
        <f t="shared" si="0"/>
        <v>55034080</v>
      </c>
      <c r="F10" s="582">
        <f t="shared" si="0"/>
        <v>0</v>
      </c>
      <c r="G10" s="582">
        <f t="shared" si="0"/>
        <v>0</v>
      </c>
      <c r="H10" s="595">
        <f>+E10-D10</f>
        <v>0</v>
      </c>
      <c r="I10" s="1085">
        <f t="shared" si="0"/>
        <v>0</v>
      </c>
      <c r="J10" s="595">
        <f t="shared" si="0"/>
        <v>0</v>
      </c>
      <c r="K10" s="595">
        <f t="shared" si="0"/>
        <v>0</v>
      </c>
      <c r="L10" s="595">
        <f t="shared" si="0"/>
        <v>0</v>
      </c>
    </row>
    <row r="11" spans="1:12" s="26" customFormat="1" ht="12.2" customHeight="1" x14ac:dyDescent="0.2">
      <c r="A11" s="49" t="s">
        <v>91</v>
      </c>
      <c r="B11" s="50" t="s">
        <v>143</v>
      </c>
      <c r="C11" s="128"/>
      <c r="D11" s="1155"/>
      <c r="E11" s="583"/>
      <c r="F11" s="583"/>
      <c r="G11" s="583"/>
      <c r="H11" s="540">
        <f t="shared" ref="H11:H48" si="1">+E11-D11</f>
        <v>0</v>
      </c>
      <c r="I11" s="1086"/>
      <c r="J11" s="540"/>
      <c r="K11" s="540"/>
      <c r="L11" s="540"/>
    </row>
    <row r="12" spans="1:12" s="26" customFormat="1" ht="12.2" customHeight="1" x14ac:dyDescent="0.2">
      <c r="A12" s="1037" t="s">
        <v>92</v>
      </c>
      <c r="B12" s="330" t="s">
        <v>144</v>
      </c>
      <c r="C12" s="331"/>
      <c r="D12" s="1156"/>
      <c r="E12" s="88"/>
      <c r="F12" s="88"/>
      <c r="G12" s="88"/>
      <c r="H12" s="541">
        <f t="shared" si="1"/>
        <v>0</v>
      </c>
      <c r="I12" s="1087"/>
      <c r="J12" s="541"/>
      <c r="K12" s="541"/>
      <c r="L12" s="541"/>
    </row>
    <row r="13" spans="1:12" s="26" customFormat="1" ht="12.2" customHeight="1" x14ac:dyDescent="0.2">
      <c r="A13" s="1037" t="s">
        <v>93</v>
      </c>
      <c r="B13" s="330" t="s">
        <v>145</v>
      </c>
      <c r="C13" s="331"/>
      <c r="D13" s="1156"/>
      <c r="E13" s="88"/>
      <c r="F13" s="88"/>
      <c r="G13" s="88"/>
      <c r="H13" s="541">
        <f t="shared" si="1"/>
        <v>0</v>
      </c>
      <c r="I13" s="1087"/>
      <c r="J13" s="541"/>
      <c r="K13" s="541"/>
      <c r="L13" s="541"/>
    </row>
    <row r="14" spans="1:12" s="26" customFormat="1" ht="12.2" customHeight="1" x14ac:dyDescent="0.2">
      <c r="A14" s="1037" t="s">
        <v>90</v>
      </c>
      <c r="B14" s="330" t="s">
        <v>146</v>
      </c>
      <c r="C14" s="331"/>
      <c r="D14" s="1156"/>
      <c r="E14" s="88"/>
      <c r="F14" s="88"/>
      <c r="G14" s="88"/>
      <c r="H14" s="541">
        <f t="shared" si="1"/>
        <v>0</v>
      </c>
      <c r="I14" s="1087"/>
      <c r="J14" s="541"/>
      <c r="K14" s="541"/>
      <c r="L14" s="541"/>
    </row>
    <row r="15" spans="1:12" s="26" customFormat="1" ht="12.2" customHeight="1" x14ac:dyDescent="0.2">
      <c r="A15" s="1037" t="s">
        <v>147</v>
      </c>
      <c r="B15" s="330" t="s">
        <v>148</v>
      </c>
      <c r="C15" s="331">
        <v>55034080</v>
      </c>
      <c r="D15" s="1156">
        <v>55034080</v>
      </c>
      <c r="E15" s="88">
        <v>55034080</v>
      </c>
      <c r="F15" s="88"/>
      <c r="G15" s="88"/>
      <c r="H15" s="541">
        <f t="shared" si="1"/>
        <v>0</v>
      </c>
      <c r="I15" s="1087"/>
      <c r="J15" s="541"/>
      <c r="K15" s="541"/>
      <c r="L15" s="541"/>
    </row>
    <row r="16" spans="1:12" s="26" customFormat="1" ht="12.2" customHeight="1" x14ac:dyDescent="0.2">
      <c r="A16" s="1037" t="s">
        <v>149</v>
      </c>
      <c r="B16" s="330" t="s">
        <v>150</v>
      </c>
      <c r="C16" s="331"/>
      <c r="D16" s="1156"/>
      <c r="E16" s="88"/>
      <c r="F16" s="88"/>
      <c r="G16" s="88"/>
      <c r="H16" s="541">
        <f t="shared" si="1"/>
        <v>0</v>
      </c>
      <c r="I16" s="1087"/>
      <c r="J16" s="541"/>
      <c r="K16" s="541"/>
      <c r="L16" s="541"/>
    </row>
    <row r="17" spans="1:12" s="26" customFormat="1" ht="12.2" customHeight="1" x14ac:dyDescent="0.2">
      <c r="A17" s="1037" t="s">
        <v>151</v>
      </c>
      <c r="B17" s="52" t="s">
        <v>152</v>
      </c>
      <c r="C17" s="331"/>
      <c r="D17" s="1156"/>
      <c r="E17" s="88"/>
      <c r="F17" s="88"/>
      <c r="G17" s="88"/>
      <c r="H17" s="541">
        <f t="shared" si="1"/>
        <v>0</v>
      </c>
      <c r="I17" s="1087"/>
      <c r="J17" s="541"/>
      <c r="K17" s="541"/>
      <c r="L17" s="541"/>
    </row>
    <row r="18" spans="1:12" s="26" customFormat="1" ht="12.2" customHeight="1" x14ac:dyDescent="0.2">
      <c r="A18" s="1037" t="s">
        <v>153</v>
      </c>
      <c r="B18" s="345" t="s">
        <v>302</v>
      </c>
      <c r="C18" s="121"/>
      <c r="D18" s="1157"/>
      <c r="E18" s="90"/>
      <c r="F18" s="90"/>
      <c r="G18" s="90"/>
      <c r="H18" s="542">
        <f t="shared" si="1"/>
        <v>0</v>
      </c>
      <c r="I18" s="1088"/>
      <c r="J18" s="542"/>
      <c r="K18" s="542"/>
      <c r="L18" s="542"/>
    </row>
    <row r="19" spans="1:12" s="54" customFormat="1" ht="12.2" customHeight="1" x14ac:dyDescent="0.2">
      <c r="A19" s="1037" t="s">
        <v>154</v>
      </c>
      <c r="B19" s="330" t="s">
        <v>155</v>
      </c>
      <c r="C19" s="331"/>
      <c r="D19" s="1156"/>
      <c r="E19" s="88"/>
      <c r="F19" s="88"/>
      <c r="G19" s="88"/>
      <c r="H19" s="541">
        <f t="shared" si="1"/>
        <v>0</v>
      </c>
      <c r="I19" s="1087"/>
      <c r="J19" s="541"/>
      <c r="K19" s="541"/>
      <c r="L19" s="541"/>
    </row>
    <row r="20" spans="1:12" s="54" customFormat="1" ht="12.2" customHeight="1" x14ac:dyDescent="0.2">
      <c r="A20" s="1037" t="s">
        <v>156</v>
      </c>
      <c r="B20" s="345" t="s">
        <v>275</v>
      </c>
      <c r="C20" s="333"/>
      <c r="D20" s="1158"/>
      <c r="E20" s="88"/>
      <c r="F20" s="88"/>
      <c r="G20" s="331"/>
      <c r="H20" s="543">
        <f t="shared" si="1"/>
        <v>0</v>
      </c>
      <c r="I20" s="1089"/>
      <c r="J20" s="543"/>
      <c r="K20" s="543"/>
      <c r="L20" s="543"/>
    </row>
    <row r="21" spans="1:12" s="54" customFormat="1" ht="12.2" customHeight="1" thickBot="1" x14ac:dyDescent="0.25">
      <c r="A21" s="1037" t="s">
        <v>276</v>
      </c>
      <c r="B21" s="52" t="s">
        <v>157</v>
      </c>
      <c r="C21" s="333"/>
      <c r="D21" s="1158"/>
      <c r="E21" s="90"/>
      <c r="F21" s="90"/>
      <c r="G21" s="90"/>
      <c r="H21" s="544">
        <f t="shared" si="1"/>
        <v>0</v>
      </c>
      <c r="I21" s="1090"/>
      <c r="J21" s="544"/>
      <c r="K21" s="544"/>
      <c r="L21" s="544"/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SUM(C23:C25)</f>
        <v>0</v>
      </c>
      <c r="D22" s="1154">
        <f t="shared" ref="D22:L22" si="2">SUM(D23:D25)</f>
        <v>0</v>
      </c>
      <c r="E22" s="582">
        <f t="shared" si="2"/>
        <v>0</v>
      </c>
      <c r="F22" s="582">
        <f t="shared" si="2"/>
        <v>0</v>
      </c>
      <c r="G22" s="582">
        <f t="shared" si="2"/>
        <v>0</v>
      </c>
      <c r="H22" s="48">
        <f t="shared" si="1"/>
        <v>0</v>
      </c>
      <c r="I22" s="175">
        <f t="shared" si="2"/>
        <v>0</v>
      </c>
      <c r="J22" s="48">
        <f t="shared" si="2"/>
        <v>0</v>
      </c>
      <c r="K22" s="48">
        <f t="shared" si="2"/>
        <v>0</v>
      </c>
      <c r="L22" s="48">
        <f t="shared" si="2"/>
        <v>0</v>
      </c>
    </row>
    <row r="23" spans="1:12" s="54" customFormat="1" ht="12.2" customHeight="1" x14ac:dyDescent="0.2">
      <c r="A23" s="1037" t="s">
        <v>94</v>
      </c>
      <c r="B23" s="17" t="s">
        <v>159</v>
      </c>
      <c r="C23" s="331"/>
      <c r="D23" s="1156"/>
      <c r="E23" s="584"/>
      <c r="F23" s="584"/>
      <c r="G23" s="584"/>
      <c r="H23" s="75">
        <f t="shared" si="1"/>
        <v>0</v>
      </c>
      <c r="I23" s="637"/>
      <c r="J23" s="75"/>
      <c r="K23" s="75"/>
      <c r="L23" s="75"/>
    </row>
    <row r="24" spans="1:12" s="54" customFormat="1" ht="12.2" customHeight="1" x14ac:dyDescent="0.2">
      <c r="A24" s="1037" t="s">
        <v>95</v>
      </c>
      <c r="B24" s="330" t="s">
        <v>160</v>
      </c>
      <c r="C24" s="331"/>
      <c r="D24" s="1156"/>
      <c r="E24" s="88"/>
      <c r="F24" s="88"/>
      <c r="G24" s="88"/>
      <c r="H24" s="541">
        <f t="shared" si="1"/>
        <v>0</v>
      </c>
      <c r="I24" s="1087"/>
      <c r="J24" s="541"/>
      <c r="K24" s="541"/>
      <c r="L24" s="541"/>
    </row>
    <row r="25" spans="1:12" s="54" customFormat="1" ht="12.2" customHeight="1" x14ac:dyDescent="0.2">
      <c r="A25" s="1037" t="s">
        <v>96</v>
      </c>
      <c r="B25" s="330" t="s">
        <v>161</v>
      </c>
      <c r="C25" s="331"/>
      <c r="D25" s="1156"/>
      <c r="E25" s="88"/>
      <c r="F25" s="88"/>
      <c r="G25" s="88"/>
      <c r="H25" s="541">
        <f t="shared" si="1"/>
        <v>0</v>
      </c>
      <c r="I25" s="1087"/>
      <c r="J25" s="541"/>
      <c r="K25" s="541"/>
      <c r="L25" s="541"/>
    </row>
    <row r="26" spans="1:12" s="54" customFormat="1" ht="12.2" customHeight="1" thickBot="1" x14ac:dyDescent="0.25">
      <c r="A26" s="1037" t="s">
        <v>317</v>
      </c>
      <c r="B26" s="335" t="s">
        <v>233</v>
      </c>
      <c r="C26" s="331"/>
      <c r="D26" s="1156"/>
      <c r="E26" s="88"/>
      <c r="F26" s="88"/>
      <c r="G26" s="88"/>
      <c r="H26" s="545">
        <f t="shared" si="1"/>
        <v>0</v>
      </c>
      <c r="I26" s="1091"/>
      <c r="J26" s="545"/>
      <c r="K26" s="545"/>
      <c r="L26" s="545"/>
    </row>
    <row r="27" spans="1:12" s="54" customFormat="1" ht="12.2" customHeight="1" thickBot="1" x14ac:dyDescent="0.25">
      <c r="A27" s="55" t="s">
        <v>14</v>
      </c>
      <c r="B27" s="56" t="s">
        <v>83</v>
      </c>
      <c r="C27" s="130"/>
      <c r="D27" s="1159"/>
      <c r="E27" s="585"/>
      <c r="F27" s="585"/>
      <c r="G27" s="585"/>
      <c r="H27" s="74">
        <f t="shared" si="1"/>
        <v>0</v>
      </c>
      <c r="I27" s="638"/>
      <c r="J27" s="74"/>
      <c r="K27" s="74"/>
      <c r="L27" s="74"/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+C29+C30</f>
        <v>0</v>
      </c>
      <c r="D28" s="1154">
        <f t="shared" ref="D28:L28" si="3">+D29+D30</f>
        <v>0</v>
      </c>
      <c r="E28" s="582">
        <f t="shared" si="3"/>
        <v>0</v>
      </c>
      <c r="F28" s="582">
        <f t="shared" si="3"/>
        <v>0</v>
      </c>
      <c r="G28" s="582">
        <f t="shared" si="3"/>
        <v>0</v>
      </c>
      <c r="H28" s="74">
        <f t="shared" si="1"/>
        <v>0</v>
      </c>
      <c r="I28" s="638">
        <f t="shared" si="3"/>
        <v>0</v>
      </c>
      <c r="J28" s="74">
        <f t="shared" si="3"/>
        <v>0</v>
      </c>
      <c r="K28" s="74">
        <f t="shared" si="3"/>
        <v>0</v>
      </c>
      <c r="L28" s="74">
        <f t="shared" si="3"/>
        <v>0</v>
      </c>
    </row>
    <row r="29" spans="1:12" s="54" customFormat="1" ht="12.2" customHeight="1" x14ac:dyDescent="0.2">
      <c r="A29" s="58" t="s">
        <v>100</v>
      </c>
      <c r="B29" s="59" t="s">
        <v>160</v>
      </c>
      <c r="C29" s="122"/>
      <c r="D29" s="1160"/>
      <c r="E29" s="586"/>
      <c r="F29" s="586"/>
      <c r="G29" s="586"/>
      <c r="H29" s="546">
        <f t="shared" si="1"/>
        <v>0</v>
      </c>
      <c r="I29" s="1092"/>
      <c r="J29" s="546"/>
      <c r="K29" s="546"/>
      <c r="L29" s="546"/>
    </row>
    <row r="30" spans="1:12" s="54" customFormat="1" ht="12.2" customHeight="1" x14ac:dyDescent="0.2">
      <c r="A30" s="58" t="s">
        <v>101</v>
      </c>
      <c r="B30" s="336" t="s">
        <v>163</v>
      </c>
      <c r="C30" s="120"/>
      <c r="D30" s="1161"/>
      <c r="E30" s="107"/>
      <c r="F30" s="107"/>
      <c r="G30" s="339"/>
      <c r="H30" s="534">
        <f t="shared" si="1"/>
        <v>0</v>
      </c>
      <c r="I30" s="630"/>
      <c r="J30" s="534"/>
      <c r="K30" s="534"/>
      <c r="L30" s="534"/>
    </row>
    <row r="31" spans="1:12" s="54" customFormat="1" ht="12.2" customHeight="1" thickBot="1" x14ac:dyDescent="0.25">
      <c r="A31" s="1037" t="s">
        <v>281</v>
      </c>
      <c r="B31" s="102" t="s">
        <v>165</v>
      </c>
      <c r="C31" s="92"/>
      <c r="D31" s="1162"/>
      <c r="E31" s="587"/>
      <c r="F31" s="587"/>
      <c r="G31" s="587"/>
      <c r="H31" s="547">
        <f t="shared" si="1"/>
        <v>0</v>
      </c>
      <c r="I31" s="1093"/>
      <c r="J31" s="547"/>
      <c r="K31" s="547"/>
      <c r="L31" s="547"/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+C33+C34+C35</f>
        <v>0</v>
      </c>
      <c r="D32" s="1154">
        <f t="shared" ref="D32:L32" si="4">+D33+D34+D35</f>
        <v>0</v>
      </c>
      <c r="E32" s="582">
        <f t="shared" si="4"/>
        <v>0</v>
      </c>
      <c r="F32" s="582">
        <f t="shared" si="4"/>
        <v>0</v>
      </c>
      <c r="G32" s="582">
        <f t="shared" si="4"/>
        <v>0</v>
      </c>
      <c r="H32" s="74">
        <f t="shared" si="1"/>
        <v>0</v>
      </c>
      <c r="I32" s="638">
        <f t="shared" si="4"/>
        <v>0</v>
      </c>
      <c r="J32" s="74">
        <f t="shared" si="4"/>
        <v>0</v>
      </c>
      <c r="K32" s="74">
        <f t="shared" si="4"/>
        <v>0</v>
      </c>
      <c r="L32" s="74">
        <f t="shared" si="4"/>
        <v>0</v>
      </c>
    </row>
    <row r="33" spans="1:12" s="54" customFormat="1" ht="12.2" customHeight="1" x14ac:dyDescent="0.2">
      <c r="A33" s="58" t="s">
        <v>89</v>
      </c>
      <c r="B33" s="59" t="s">
        <v>167</v>
      </c>
      <c r="C33" s="122"/>
      <c r="D33" s="1160"/>
      <c r="E33" s="586"/>
      <c r="F33" s="586"/>
      <c r="G33" s="586"/>
      <c r="H33" s="546">
        <f t="shared" si="1"/>
        <v>0</v>
      </c>
      <c r="I33" s="1092"/>
      <c r="J33" s="546"/>
      <c r="K33" s="546"/>
      <c r="L33" s="546"/>
    </row>
    <row r="34" spans="1:12" s="54" customFormat="1" ht="12.2" customHeight="1" x14ac:dyDescent="0.2">
      <c r="A34" s="58" t="s">
        <v>102</v>
      </c>
      <c r="B34" s="336" t="s">
        <v>168</v>
      </c>
      <c r="C34" s="120"/>
      <c r="D34" s="1161"/>
      <c r="E34" s="107"/>
      <c r="F34" s="107"/>
      <c r="G34" s="339"/>
      <c r="H34" s="534">
        <f t="shared" si="1"/>
        <v>0</v>
      </c>
      <c r="I34" s="630"/>
      <c r="J34" s="534"/>
      <c r="K34" s="534"/>
      <c r="L34" s="534"/>
    </row>
    <row r="35" spans="1:12" s="54" customFormat="1" ht="12.2" customHeight="1" thickBot="1" x14ac:dyDescent="0.25">
      <c r="A35" s="1037" t="s">
        <v>103</v>
      </c>
      <c r="B35" s="62" t="s">
        <v>169</v>
      </c>
      <c r="C35" s="92"/>
      <c r="D35" s="1162"/>
      <c r="E35" s="587"/>
      <c r="F35" s="587"/>
      <c r="G35" s="587"/>
      <c r="H35" s="548">
        <f t="shared" si="1"/>
        <v>0</v>
      </c>
      <c r="I35" s="1094"/>
      <c r="J35" s="548"/>
      <c r="K35" s="548"/>
      <c r="L35" s="548"/>
    </row>
    <row r="36" spans="1:12" s="26" customFormat="1" ht="12.2" customHeight="1" thickBot="1" x14ac:dyDescent="0.25">
      <c r="A36" s="55" t="s">
        <v>17</v>
      </c>
      <c r="B36" s="56" t="s">
        <v>170</v>
      </c>
      <c r="C36" s="130"/>
      <c r="D36" s="1159"/>
      <c r="E36" s="585"/>
      <c r="F36" s="585"/>
      <c r="G36" s="585"/>
      <c r="H36" s="74">
        <f t="shared" si="1"/>
        <v>0</v>
      </c>
      <c r="I36" s="638"/>
      <c r="J36" s="74"/>
      <c r="K36" s="74"/>
      <c r="L36" s="74"/>
    </row>
    <row r="37" spans="1:12" s="26" customFormat="1" ht="12.2" customHeight="1" thickBot="1" x14ac:dyDescent="0.25">
      <c r="A37" s="1038" t="s">
        <v>104</v>
      </c>
      <c r="B37" s="337" t="s">
        <v>165</v>
      </c>
      <c r="C37" s="130"/>
      <c r="D37" s="1159"/>
      <c r="E37" s="588"/>
      <c r="F37" s="588"/>
      <c r="G37" s="588"/>
      <c r="H37" s="549">
        <f t="shared" si="1"/>
        <v>0</v>
      </c>
      <c r="I37" s="1095"/>
      <c r="J37" s="549"/>
      <c r="K37" s="549"/>
      <c r="L37" s="549"/>
    </row>
    <row r="38" spans="1:12" s="26" customFormat="1" ht="12.2" customHeight="1" thickBot="1" x14ac:dyDescent="0.25">
      <c r="A38" s="55" t="s">
        <v>18</v>
      </c>
      <c r="B38" s="56" t="s">
        <v>555</v>
      </c>
      <c r="C38" s="130"/>
      <c r="D38" s="1159"/>
      <c r="E38" s="585"/>
      <c r="F38" s="585"/>
      <c r="G38" s="585"/>
      <c r="H38" s="74">
        <f t="shared" si="1"/>
        <v>0</v>
      </c>
      <c r="I38" s="638"/>
      <c r="J38" s="74"/>
      <c r="K38" s="74"/>
      <c r="L38" s="74"/>
    </row>
    <row r="39" spans="1:12" s="26" customFormat="1" ht="12.2" customHeight="1" x14ac:dyDescent="0.2">
      <c r="A39" s="12" t="s">
        <v>107</v>
      </c>
      <c r="B39" s="95" t="s">
        <v>212</v>
      </c>
      <c r="C39" s="131"/>
      <c r="D39" s="1163"/>
      <c r="E39" s="589"/>
      <c r="F39" s="589"/>
      <c r="G39" s="589"/>
      <c r="H39" s="550">
        <f t="shared" si="1"/>
        <v>0</v>
      </c>
      <c r="I39" s="1096"/>
      <c r="J39" s="550"/>
      <c r="K39" s="550"/>
      <c r="L39" s="550"/>
    </row>
    <row r="40" spans="1:12" s="26" customFormat="1" ht="12.2" customHeight="1" x14ac:dyDescent="0.2">
      <c r="A40" s="1003" t="s">
        <v>108</v>
      </c>
      <c r="B40" s="346" t="s">
        <v>213</v>
      </c>
      <c r="C40" s="338"/>
      <c r="D40" s="1164"/>
      <c r="E40" s="590"/>
      <c r="F40" s="590"/>
      <c r="G40" s="590"/>
      <c r="H40" s="551">
        <f t="shared" si="1"/>
        <v>0</v>
      </c>
      <c r="I40" s="1097"/>
      <c r="J40" s="551"/>
      <c r="K40" s="551"/>
      <c r="L40" s="551"/>
    </row>
    <row r="41" spans="1:12" s="26" customFormat="1" ht="12.2" customHeight="1" thickBot="1" x14ac:dyDescent="0.25">
      <c r="A41" s="1003" t="s">
        <v>323</v>
      </c>
      <c r="B41" s="103" t="s">
        <v>165</v>
      </c>
      <c r="C41" s="133"/>
      <c r="D41" s="1165"/>
      <c r="E41" s="591"/>
      <c r="F41" s="591"/>
      <c r="G41" s="591"/>
      <c r="H41" s="552">
        <f t="shared" si="1"/>
        <v>0</v>
      </c>
      <c r="I41" s="1098"/>
      <c r="J41" s="552"/>
      <c r="K41" s="552"/>
      <c r="L41" s="552"/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55034080</v>
      </c>
      <c r="D42" s="1154">
        <f t="shared" ref="D42:L42" si="5">+D10+D22+D27+D28+D32+D36+D38</f>
        <v>55034080</v>
      </c>
      <c r="E42" s="582">
        <f t="shared" si="5"/>
        <v>55034080</v>
      </c>
      <c r="F42" s="582">
        <f t="shared" si="5"/>
        <v>0</v>
      </c>
      <c r="G42" s="582">
        <f t="shared" si="5"/>
        <v>0</v>
      </c>
      <c r="H42" s="74">
        <f t="shared" si="1"/>
        <v>0</v>
      </c>
      <c r="I42" s="638">
        <f t="shared" si="5"/>
        <v>0</v>
      </c>
      <c r="J42" s="74">
        <f t="shared" si="5"/>
        <v>0</v>
      </c>
      <c r="K42" s="74">
        <f t="shared" si="5"/>
        <v>0</v>
      </c>
      <c r="L42" s="74">
        <f t="shared" si="5"/>
        <v>0</v>
      </c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SUM(C44:C47)</f>
        <v>151901964</v>
      </c>
      <c r="D43" s="1154">
        <f t="shared" ref="D43:L43" si="6">SUM(D44:D47)</f>
        <v>153117964</v>
      </c>
      <c r="E43" s="582">
        <f t="shared" si="6"/>
        <v>178054838</v>
      </c>
      <c r="F43" s="582">
        <f t="shared" si="6"/>
        <v>0</v>
      </c>
      <c r="G43" s="582">
        <f t="shared" si="6"/>
        <v>0</v>
      </c>
      <c r="H43" s="74">
        <f t="shared" si="1"/>
        <v>24936874</v>
      </c>
      <c r="I43" s="638">
        <f t="shared" si="6"/>
        <v>0</v>
      </c>
      <c r="J43" s="74">
        <f t="shared" si="6"/>
        <v>0</v>
      </c>
      <c r="K43" s="74">
        <f t="shared" si="6"/>
        <v>0</v>
      </c>
      <c r="L43" s="74">
        <f t="shared" si="6"/>
        <v>0</v>
      </c>
    </row>
    <row r="44" spans="1:12" s="26" customFormat="1" ht="12.2" customHeight="1" x14ac:dyDescent="0.2">
      <c r="A44" s="58" t="s">
        <v>171</v>
      </c>
      <c r="B44" s="59" t="s">
        <v>131</v>
      </c>
      <c r="C44" s="122"/>
      <c r="D44" s="1160"/>
      <c r="E44" s="586"/>
      <c r="F44" s="586"/>
      <c r="G44" s="586"/>
      <c r="H44" s="546">
        <f t="shared" si="1"/>
        <v>0</v>
      </c>
      <c r="I44" s="1092"/>
      <c r="J44" s="546"/>
      <c r="K44" s="546"/>
      <c r="L44" s="546"/>
    </row>
    <row r="45" spans="1:12" s="26" customFormat="1" ht="12.2" customHeight="1" x14ac:dyDescent="0.2">
      <c r="A45" s="71" t="s">
        <v>172</v>
      </c>
      <c r="B45" s="59" t="s">
        <v>186</v>
      </c>
      <c r="C45" s="120"/>
      <c r="D45" s="1161"/>
      <c r="E45" s="91"/>
      <c r="F45" s="91"/>
      <c r="G45" s="91"/>
      <c r="H45" s="553">
        <f t="shared" si="1"/>
        <v>0</v>
      </c>
      <c r="I45" s="1099"/>
      <c r="J45" s="553"/>
      <c r="K45" s="553"/>
      <c r="L45" s="553"/>
    </row>
    <row r="46" spans="1:12" s="26" customFormat="1" ht="12.2" customHeight="1" x14ac:dyDescent="0.2">
      <c r="A46" s="1037" t="s">
        <v>173</v>
      </c>
      <c r="B46" s="336" t="s">
        <v>177</v>
      </c>
      <c r="C46" s="339">
        <f>C70-C42-C44-C63-C65-C68+C38+C32+C28</f>
        <v>151901964</v>
      </c>
      <c r="D46" s="1166">
        <f t="shared" ref="D46:L46" si="7">D70-D42-D63-D65-D68</f>
        <v>153117964</v>
      </c>
      <c r="E46" s="107">
        <f t="shared" si="7"/>
        <v>178054838</v>
      </c>
      <c r="F46" s="107">
        <f t="shared" si="7"/>
        <v>0</v>
      </c>
      <c r="G46" s="107">
        <f t="shared" si="7"/>
        <v>0</v>
      </c>
      <c r="H46" s="534">
        <f t="shared" si="1"/>
        <v>24936874</v>
      </c>
      <c r="I46" s="630">
        <f t="shared" si="7"/>
        <v>0</v>
      </c>
      <c r="J46" s="534">
        <f t="shared" si="7"/>
        <v>0</v>
      </c>
      <c r="K46" s="534">
        <f t="shared" si="7"/>
        <v>0</v>
      </c>
      <c r="L46" s="534">
        <f t="shared" si="7"/>
        <v>0</v>
      </c>
    </row>
    <row r="47" spans="1:12" s="54" customFormat="1" ht="12.2" customHeight="1" thickBot="1" x14ac:dyDescent="0.25">
      <c r="A47" s="58" t="s">
        <v>178</v>
      </c>
      <c r="B47" s="62" t="s">
        <v>179</v>
      </c>
      <c r="C47" s="1034">
        <f>C62</f>
        <v>0</v>
      </c>
      <c r="D47" s="1167">
        <f t="shared" ref="D47:L47" si="8">D62</f>
        <v>0</v>
      </c>
      <c r="E47" s="587">
        <f t="shared" si="8"/>
        <v>0</v>
      </c>
      <c r="F47" s="587">
        <f t="shared" si="8"/>
        <v>0</v>
      </c>
      <c r="G47" s="587">
        <f t="shared" si="8"/>
        <v>0</v>
      </c>
      <c r="H47" s="548">
        <f t="shared" si="1"/>
        <v>0</v>
      </c>
      <c r="I47" s="1094">
        <f t="shared" si="8"/>
        <v>0</v>
      </c>
      <c r="J47" s="548">
        <f t="shared" si="8"/>
        <v>0</v>
      </c>
      <c r="K47" s="548">
        <f t="shared" si="8"/>
        <v>0</v>
      </c>
      <c r="L47" s="548">
        <f t="shared" si="8"/>
        <v>0</v>
      </c>
    </row>
    <row r="48" spans="1:12" s="54" customFormat="1" ht="15" customHeight="1" thickBot="1" x14ac:dyDescent="0.25">
      <c r="A48" s="63" t="s">
        <v>21</v>
      </c>
      <c r="B48" s="524" t="s">
        <v>174</v>
      </c>
      <c r="C48" s="135">
        <f>+C42+C43</f>
        <v>206936044</v>
      </c>
      <c r="D48" s="1168">
        <f t="shared" ref="D48:L48" si="9">+D42+D43</f>
        <v>208152044</v>
      </c>
      <c r="E48" s="592">
        <f t="shared" si="9"/>
        <v>233088918</v>
      </c>
      <c r="F48" s="592">
        <f t="shared" si="9"/>
        <v>0</v>
      </c>
      <c r="G48" s="592">
        <f t="shared" si="9"/>
        <v>0</v>
      </c>
      <c r="H48" s="557">
        <f t="shared" si="1"/>
        <v>24936874</v>
      </c>
      <c r="I48" s="1100">
        <f t="shared" si="9"/>
        <v>0</v>
      </c>
      <c r="J48" s="557">
        <f t="shared" si="9"/>
        <v>0</v>
      </c>
      <c r="K48" s="557">
        <f t="shared" si="9"/>
        <v>0</v>
      </c>
      <c r="L48" s="557">
        <f t="shared" si="9"/>
        <v>0</v>
      </c>
    </row>
    <row r="49" spans="1:12" s="54" customFormat="1" ht="15" customHeight="1" x14ac:dyDescent="0.2">
      <c r="A49" s="64"/>
      <c r="B49" s="65"/>
      <c r="C49" s="66"/>
      <c r="D49" s="1169"/>
      <c r="E49" s="66"/>
      <c r="F49" s="66"/>
      <c r="G49" s="66"/>
      <c r="H49" s="66">
        <f>D49-C49</f>
        <v>0</v>
      </c>
      <c r="I49" s="66"/>
      <c r="J49" s="66"/>
      <c r="K49" s="66"/>
      <c r="L49" s="66"/>
    </row>
    <row r="50" spans="1:12" s="54" customFormat="1" ht="15" customHeight="1" x14ac:dyDescent="0.2">
      <c r="A50" s="64"/>
      <c r="B50" s="65"/>
      <c r="C50" s="66"/>
      <c r="D50" s="1169"/>
      <c r="E50" s="66"/>
      <c r="F50" s="66"/>
      <c r="G50" s="66"/>
      <c r="H50" s="66">
        <f>D50-C50</f>
        <v>0</v>
      </c>
      <c r="I50" s="66"/>
      <c r="J50" s="66"/>
      <c r="K50" s="66"/>
      <c r="L50" s="66"/>
    </row>
    <row r="51" spans="1:12" ht="13.5" thickBot="1" x14ac:dyDescent="0.25">
      <c r="A51" s="1912" t="s">
        <v>362</v>
      </c>
      <c r="B51" s="1912"/>
      <c r="C51" s="1912"/>
      <c r="D51" s="1912"/>
      <c r="E51" s="1912"/>
      <c r="F51" s="1912"/>
      <c r="G51" s="1912"/>
      <c r="H51" s="1912"/>
    </row>
    <row r="52" spans="1:12" s="554" customFormat="1" ht="55.5" customHeight="1" thickBot="1" x14ac:dyDescent="0.25">
      <c r="A52" s="641"/>
      <c r="B52" s="642" t="s">
        <v>38</v>
      </c>
      <c r="C52" s="21" t="str">
        <f>C7</f>
        <v>2023. évi eredeti előirányzat
2/2023. (II.14.)</v>
      </c>
      <c r="D52" s="1170" t="str">
        <f t="shared" ref="D52:L52" si="10">D7</f>
        <v>Módosított előirányzat a 14/2023.  (VI.29.)  rendelet szerint</v>
      </c>
      <c r="E52" s="21" t="str">
        <f t="shared" si="10"/>
        <v>Módosított előirányzat a 18/2023. (IX.26.)  rendelet szerint</v>
      </c>
      <c r="F52" s="21" t="str">
        <f t="shared" si="10"/>
        <v>Módosított előirányzat 2023.09.30-án</v>
      </c>
      <c r="G52" s="21" t="str">
        <f t="shared" si="10"/>
        <v>Módosított előirányzat a …../2023. (II…..)  rendelet szerint</v>
      </c>
      <c r="H52" s="32" t="str">
        <f t="shared" si="10"/>
        <v>Változás a 14/2023. (VI.29.) rendelethez képest</v>
      </c>
      <c r="I52" s="166" t="str">
        <f t="shared" si="10"/>
        <v>2023. évi teljesítés              2023.06.30-ig</v>
      </c>
      <c r="J52" s="21" t="str">
        <f t="shared" si="10"/>
        <v>2023. évi teljesítés              2023.09.30-ig</v>
      </c>
      <c r="K52" s="21" t="str">
        <f t="shared" si="10"/>
        <v>2023. évi teljesítés              2023.12.31-ig</v>
      </c>
      <c r="L52" s="21" t="str">
        <f t="shared" si="10"/>
        <v>Teljesítés %-a</v>
      </c>
    </row>
    <row r="53" spans="1:12" s="31" customFormat="1" ht="12.2" customHeight="1" thickBot="1" x14ac:dyDescent="0.25">
      <c r="A53" s="55" t="s">
        <v>12</v>
      </c>
      <c r="B53" s="56" t="s">
        <v>547</v>
      </c>
      <c r="C53" s="89">
        <f>SUM(C54:C59)-C55</f>
        <v>206936044</v>
      </c>
      <c r="D53" s="1154">
        <f t="shared" ref="D53:L53" si="11">SUM(D54:D59)-D55</f>
        <v>208152044</v>
      </c>
      <c r="E53" s="582">
        <f t="shared" si="11"/>
        <v>233088918</v>
      </c>
      <c r="F53" s="582">
        <f t="shared" si="11"/>
        <v>0</v>
      </c>
      <c r="G53" s="582">
        <f t="shared" si="11"/>
        <v>0</v>
      </c>
      <c r="H53" s="48">
        <f t="shared" ref="H53:H72" si="12">+E53-D53</f>
        <v>24936874</v>
      </c>
      <c r="I53" s="175">
        <f t="shared" si="11"/>
        <v>0</v>
      </c>
      <c r="J53" s="48">
        <f t="shared" si="11"/>
        <v>0</v>
      </c>
      <c r="K53" s="48">
        <f t="shared" si="11"/>
        <v>0</v>
      </c>
      <c r="L53" s="48">
        <f t="shared" si="11"/>
        <v>0</v>
      </c>
    </row>
    <row r="54" spans="1:12" ht="12.2" customHeight="1" x14ac:dyDescent="0.2">
      <c r="A54" s="1037" t="s">
        <v>91</v>
      </c>
      <c r="B54" s="17" t="s">
        <v>68</v>
      </c>
      <c r="C54" s="122">
        <v>93750039</v>
      </c>
      <c r="D54" s="1160">
        <f>93750039+950000</f>
        <v>94700039</v>
      </c>
      <c r="E54" s="586">
        <f>94700039+(150000*19)+2414274+14032232</f>
        <v>113996545</v>
      </c>
      <c r="F54" s="586"/>
      <c r="G54" s="586"/>
      <c r="H54" s="33">
        <f t="shared" si="12"/>
        <v>19296506</v>
      </c>
      <c r="I54" s="177"/>
      <c r="J54" s="33"/>
      <c r="K54" s="33"/>
      <c r="L54" s="33"/>
    </row>
    <row r="55" spans="1:12" ht="12.2" customHeight="1" x14ac:dyDescent="0.2">
      <c r="A55" s="1037" t="s">
        <v>305</v>
      </c>
      <c r="B55" s="335" t="s">
        <v>270</v>
      </c>
      <c r="C55" s="122"/>
      <c r="D55" s="1160"/>
      <c r="E55" s="1391">
        <v>2414274</v>
      </c>
      <c r="F55" s="586"/>
      <c r="G55" s="586"/>
      <c r="H55" s="33">
        <f t="shared" si="12"/>
        <v>2414274</v>
      </c>
      <c r="I55" s="177"/>
      <c r="J55" s="33"/>
      <c r="K55" s="33"/>
      <c r="L55" s="33"/>
    </row>
    <row r="56" spans="1:12" ht="12.2" customHeight="1" x14ac:dyDescent="0.2">
      <c r="A56" s="1037" t="s">
        <v>92</v>
      </c>
      <c r="B56" s="330" t="s">
        <v>87</v>
      </c>
      <c r="C56" s="339">
        <v>12563698</v>
      </c>
      <c r="D56" s="1166">
        <f>12563698+266000</f>
        <v>12829698</v>
      </c>
      <c r="E56" s="107">
        <f>12829698+(19*150000*0.28)+313855+632090</f>
        <v>14573643</v>
      </c>
      <c r="F56" s="107"/>
      <c r="G56" s="107"/>
      <c r="H56" s="324">
        <f t="shared" si="12"/>
        <v>1743945</v>
      </c>
      <c r="I56" s="503"/>
      <c r="J56" s="324"/>
      <c r="K56" s="324"/>
      <c r="L56" s="324"/>
    </row>
    <row r="57" spans="1:12" ht="12.2" customHeight="1" x14ac:dyDescent="0.2">
      <c r="A57" s="1037" t="s">
        <v>93</v>
      </c>
      <c r="B57" s="330" t="s">
        <v>69</v>
      </c>
      <c r="C57" s="339">
        <v>100622307</v>
      </c>
      <c r="D57" s="1166">
        <f>100622307</f>
        <v>100622307</v>
      </c>
      <c r="E57" s="107">
        <f>100622307+3896423</f>
        <v>104518730</v>
      </c>
      <c r="F57" s="107"/>
      <c r="G57" s="107"/>
      <c r="H57" s="324">
        <f t="shared" si="12"/>
        <v>3896423</v>
      </c>
      <c r="I57" s="503"/>
      <c r="J57" s="324"/>
      <c r="K57" s="324"/>
      <c r="L57" s="324"/>
    </row>
    <row r="58" spans="1:12" ht="12.2" customHeight="1" x14ac:dyDescent="0.2">
      <c r="A58" s="1037" t="s">
        <v>90</v>
      </c>
      <c r="B58" s="330" t="s">
        <v>80</v>
      </c>
      <c r="C58" s="339"/>
      <c r="D58" s="1166"/>
      <c r="E58" s="107"/>
      <c r="F58" s="107"/>
      <c r="G58" s="107"/>
      <c r="H58" s="324">
        <f t="shared" si="12"/>
        <v>0</v>
      </c>
      <c r="I58" s="503"/>
      <c r="J58" s="324"/>
      <c r="K58" s="324"/>
      <c r="L58" s="324"/>
    </row>
    <row r="59" spans="1:12" ht="12.2" customHeight="1" x14ac:dyDescent="0.2">
      <c r="A59" s="1037" t="s">
        <v>147</v>
      </c>
      <c r="B59" s="330" t="s">
        <v>88</v>
      </c>
      <c r="C59" s="339"/>
      <c r="D59" s="1166"/>
      <c r="E59" s="107"/>
      <c r="F59" s="107"/>
      <c r="G59" s="107"/>
      <c r="H59" s="324">
        <f t="shared" si="12"/>
        <v>0</v>
      </c>
      <c r="I59" s="503"/>
      <c r="J59" s="324"/>
      <c r="K59" s="324"/>
      <c r="L59" s="324"/>
    </row>
    <row r="60" spans="1:12" ht="12.2" customHeight="1" x14ac:dyDescent="0.2">
      <c r="A60" s="1037" t="s">
        <v>306</v>
      </c>
      <c r="B60" s="521" t="s">
        <v>235</v>
      </c>
      <c r="C60" s="339"/>
      <c r="D60" s="1166"/>
      <c r="E60" s="107"/>
      <c r="F60" s="107"/>
      <c r="G60" s="107"/>
      <c r="H60" s="324">
        <f t="shared" si="12"/>
        <v>0</v>
      </c>
      <c r="I60" s="503"/>
      <c r="J60" s="324"/>
      <c r="K60" s="324"/>
      <c r="L60" s="324"/>
    </row>
    <row r="61" spans="1:12" ht="12.2" customHeight="1" thickBot="1" x14ac:dyDescent="0.25">
      <c r="A61" s="84" t="s">
        <v>307</v>
      </c>
      <c r="B61" s="85" t="s">
        <v>234</v>
      </c>
      <c r="C61" s="92"/>
      <c r="D61" s="1162"/>
      <c r="E61" s="593"/>
      <c r="F61" s="593"/>
      <c r="G61" s="593"/>
      <c r="H61" s="61">
        <f t="shared" si="12"/>
        <v>0</v>
      </c>
      <c r="I61" s="178"/>
      <c r="J61" s="61"/>
      <c r="K61" s="61"/>
      <c r="L61" s="61"/>
    </row>
    <row r="62" spans="1:12" ht="12.2" customHeight="1" thickBot="1" x14ac:dyDescent="0.25">
      <c r="A62" s="55" t="s">
        <v>13</v>
      </c>
      <c r="B62" s="56" t="s">
        <v>548</v>
      </c>
      <c r="C62" s="89">
        <f>SUM(C63:C67)</f>
        <v>0</v>
      </c>
      <c r="D62" s="1154">
        <f t="shared" ref="D62:L62" si="13">SUM(D63:D67)</f>
        <v>0</v>
      </c>
      <c r="E62" s="582">
        <f t="shared" si="13"/>
        <v>0</v>
      </c>
      <c r="F62" s="582">
        <f t="shared" si="13"/>
        <v>0</v>
      </c>
      <c r="G62" s="582">
        <f t="shared" si="13"/>
        <v>0</v>
      </c>
      <c r="H62" s="48">
        <f t="shared" si="12"/>
        <v>0</v>
      </c>
      <c r="I62" s="175">
        <f t="shared" si="13"/>
        <v>0</v>
      </c>
      <c r="J62" s="48">
        <f t="shared" si="13"/>
        <v>0</v>
      </c>
      <c r="K62" s="48">
        <f t="shared" si="13"/>
        <v>0</v>
      </c>
      <c r="L62" s="48">
        <f t="shared" si="13"/>
        <v>0</v>
      </c>
    </row>
    <row r="63" spans="1:12" s="31" customFormat="1" ht="12.2" customHeight="1" x14ac:dyDescent="0.2">
      <c r="A63" s="1037" t="s">
        <v>94</v>
      </c>
      <c r="B63" s="17" t="s">
        <v>119</v>
      </c>
      <c r="C63" s="122"/>
      <c r="D63" s="1160"/>
      <c r="E63" s="586"/>
      <c r="F63" s="586"/>
      <c r="G63" s="586"/>
      <c r="H63" s="33">
        <f t="shared" si="12"/>
        <v>0</v>
      </c>
      <c r="I63" s="177"/>
      <c r="J63" s="33"/>
      <c r="K63" s="33"/>
      <c r="L63" s="33"/>
    </row>
    <row r="64" spans="1:12" s="31" customFormat="1" ht="12.2" customHeight="1" x14ac:dyDescent="0.2">
      <c r="A64" s="1037" t="s">
        <v>316</v>
      </c>
      <c r="B64" s="522" t="s">
        <v>236</v>
      </c>
      <c r="C64" s="122"/>
      <c r="D64" s="1160"/>
      <c r="E64" s="586"/>
      <c r="F64" s="586"/>
      <c r="G64" s="586"/>
      <c r="H64" s="33">
        <f t="shared" si="12"/>
        <v>0</v>
      </c>
      <c r="I64" s="177"/>
      <c r="J64" s="33"/>
      <c r="K64" s="33"/>
      <c r="L64" s="33"/>
    </row>
    <row r="65" spans="1:12" ht="12.2" customHeight="1" x14ac:dyDescent="0.2">
      <c r="A65" s="1037" t="s">
        <v>95</v>
      </c>
      <c r="B65" s="330" t="s">
        <v>2</v>
      </c>
      <c r="C65" s="339"/>
      <c r="D65" s="1166"/>
      <c r="E65" s="107"/>
      <c r="F65" s="107"/>
      <c r="G65" s="107"/>
      <c r="H65" s="324">
        <f t="shared" si="12"/>
        <v>0</v>
      </c>
      <c r="I65" s="503"/>
      <c r="J65" s="324"/>
      <c r="K65" s="324"/>
      <c r="L65" s="324"/>
    </row>
    <row r="66" spans="1:12" ht="12.2" customHeight="1" x14ac:dyDescent="0.2">
      <c r="A66" s="1037" t="s">
        <v>342</v>
      </c>
      <c r="B66" s="523" t="s">
        <v>237</v>
      </c>
      <c r="C66" s="339"/>
      <c r="D66" s="1166"/>
      <c r="E66" s="107"/>
      <c r="F66" s="107"/>
      <c r="G66" s="107"/>
      <c r="H66" s="324">
        <f t="shared" si="12"/>
        <v>0</v>
      </c>
      <c r="I66" s="503"/>
      <c r="J66" s="324"/>
      <c r="K66" s="324"/>
      <c r="L66" s="324"/>
    </row>
    <row r="67" spans="1:12" ht="12.2" customHeight="1" x14ac:dyDescent="0.2">
      <c r="A67" s="1037" t="s">
        <v>96</v>
      </c>
      <c r="B67" s="17" t="s">
        <v>175</v>
      </c>
      <c r="C67" s="339"/>
      <c r="D67" s="1166"/>
      <c r="E67" s="107"/>
      <c r="F67" s="107"/>
      <c r="G67" s="107"/>
      <c r="H67" s="324">
        <f t="shared" si="12"/>
        <v>0</v>
      </c>
      <c r="I67" s="503"/>
      <c r="J67" s="324"/>
      <c r="K67" s="324"/>
      <c r="L67" s="324"/>
    </row>
    <row r="68" spans="1:12" ht="12.2" customHeight="1" x14ac:dyDescent="0.2">
      <c r="A68" s="1037" t="s">
        <v>317</v>
      </c>
      <c r="B68" s="521" t="s">
        <v>239</v>
      </c>
      <c r="C68" s="339"/>
      <c r="D68" s="1166"/>
      <c r="E68" s="107"/>
      <c r="F68" s="107"/>
      <c r="G68" s="107"/>
      <c r="H68" s="324">
        <f t="shared" si="12"/>
        <v>0</v>
      </c>
      <c r="I68" s="503"/>
      <c r="J68" s="324"/>
      <c r="K68" s="324"/>
      <c r="L68" s="324"/>
    </row>
    <row r="69" spans="1:12" ht="12.2" customHeight="1" thickBot="1" x14ac:dyDescent="0.25">
      <c r="A69" s="84" t="s">
        <v>318</v>
      </c>
      <c r="B69" s="85" t="s">
        <v>238</v>
      </c>
      <c r="C69" s="92"/>
      <c r="D69" s="1166"/>
      <c r="E69" s="107"/>
      <c r="F69" s="107"/>
      <c r="G69" s="107"/>
      <c r="H69" s="324">
        <f t="shared" si="12"/>
        <v>0</v>
      </c>
      <c r="I69" s="503"/>
      <c r="J69" s="324"/>
      <c r="K69" s="324"/>
      <c r="L69" s="324"/>
    </row>
    <row r="70" spans="1:12" ht="15" customHeight="1" thickBot="1" x14ac:dyDescent="0.25">
      <c r="A70" s="55" t="s">
        <v>14</v>
      </c>
      <c r="B70" s="67" t="s">
        <v>176</v>
      </c>
      <c r="C70" s="135">
        <f>+C53+C62</f>
        <v>206936044</v>
      </c>
      <c r="D70" s="1168">
        <f t="shared" ref="D70:L70" si="14">+D53+D62</f>
        <v>208152044</v>
      </c>
      <c r="E70" s="592">
        <f t="shared" si="14"/>
        <v>233088918</v>
      </c>
      <c r="F70" s="592">
        <f t="shared" si="14"/>
        <v>0</v>
      </c>
      <c r="G70" s="592">
        <f t="shared" si="14"/>
        <v>0</v>
      </c>
      <c r="H70" s="68">
        <f t="shared" si="12"/>
        <v>24936874</v>
      </c>
      <c r="I70" s="176">
        <f t="shared" si="14"/>
        <v>0</v>
      </c>
      <c r="J70" s="68">
        <f t="shared" si="14"/>
        <v>0</v>
      </c>
      <c r="K70" s="68">
        <f t="shared" si="14"/>
        <v>0</v>
      </c>
      <c r="L70" s="68">
        <f t="shared" si="14"/>
        <v>0</v>
      </c>
    </row>
    <row r="71" spans="1:12" ht="13.5" thickBot="1" x14ac:dyDescent="0.25">
      <c r="C71" s="27"/>
      <c r="D71" s="1171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634" t="s">
        <v>292</v>
      </c>
      <c r="B72" s="636"/>
      <c r="C72" s="136">
        <v>19</v>
      </c>
      <c r="D72" s="1172">
        <v>19</v>
      </c>
      <c r="E72" s="520">
        <v>19</v>
      </c>
      <c r="F72" s="520"/>
      <c r="G72" s="520"/>
      <c r="H72" s="174">
        <f t="shared" si="12"/>
        <v>0</v>
      </c>
      <c r="I72" s="174"/>
      <c r="J72" s="174"/>
      <c r="K72" s="174"/>
      <c r="L72" s="174"/>
    </row>
    <row r="73" spans="1:12" ht="14.25" hidden="1" customHeight="1" thickBot="1" x14ac:dyDescent="0.25">
      <c r="A73" s="69" t="s">
        <v>291</v>
      </c>
      <c r="B73" s="70"/>
      <c r="C73" s="609"/>
      <c r="D73" s="1173"/>
      <c r="E73" s="607"/>
      <c r="F73" s="607"/>
      <c r="G73" s="607"/>
      <c r="H73" s="609"/>
      <c r="I73" s="609"/>
      <c r="J73" s="609"/>
      <c r="K73" s="609"/>
      <c r="L73" s="609"/>
    </row>
    <row r="74" spans="1:12" x14ac:dyDescent="0.2">
      <c r="D74" s="1174"/>
      <c r="E74" s="163"/>
      <c r="F74" s="163"/>
      <c r="G74" s="163"/>
      <c r="H74" s="163"/>
      <c r="I74" s="163"/>
      <c r="J74" s="163"/>
      <c r="K74" s="163"/>
      <c r="L74" s="163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4"/>
  <sheetViews>
    <sheetView view="pageBreakPreview" zoomScale="124" zoomScaleNormal="100" zoomScaleSheetLayoutView="124" workbookViewId="0">
      <selection activeCell="A2" sqref="A2:H2"/>
    </sheetView>
  </sheetViews>
  <sheetFormatPr defaultRowHeight="12.75" x14ac:dyDescent="0.2"/>
  <cols>
    <col min="1" max="1" width="12" style="988" customWidth="1"/>
    <col min="2" max="2" width="67" style="25" customWidth="1"/>
    <col min="3" max="3" width="15.5" style="25" customWidth="1"/>
    <col min="4" max="5" width="17" style="25" customWidth="1"/>
    <col min="6" max="7" width="17" style="25" hidden="1" customWidth="1"/>
    <col min="8" max="8" width="15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535" customFormat="1" ht="12.75" customHeight="1" x14ac:dyDescent="0.2">
      <c r="A1" s="1774" t="s">
        <v>807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728</v>
      </c>
      <c r="B2" s="1774"/>
      <c r="C2" s="1774"/>
      <c r="D2" s="1774"/>
      <c r="E2" s="1774"/>
      <c r="F2" s="1774"/>
      <c r="G2" s="1774"/>
      <c r="H2" s="1774"/>
    </row>
    <row r="3" spans="1:12" s="24" customFormat="1" ht="21.2" customHeight="1" thickBot="1" x14ac:dyDescent="0.25">
      <c r="A3" s="170"/>
      <c r="C3" s="982"/>
      <c r="D3" s="982"/>
      <c r="E3" s="982"/>
      <c r="F3" s="982"/>
      <c r="G3" s="982"/>
      <c r="H3" s="982"/>
      <c r="I3" s="982"/>
      <c r="J3" s="982"/>
      <c r="K3" s="982"/>
      <c r="L3" s="982"/>
    </row>
    <row r="4" spans="1:12" s="38" customFormat="1" ht="38.25" customHeight="1" x14ac:dyDescent="0.2">
      <c r="A4" s="36" t="s">
        <v>137</v>
      </c>
      <c r="B4" s="37" t="s">
        <v>133</v>
      </c>
      <c r="C4" s="1806" t="s">
        <v>138</v>
      </c>
      <c r="D4" s="1807"/>
      <c r="E4" s="1807"/>
      <c r="F4" s="1807"/>
      <c r="G4" s="1807"/>
      <c r="H4" s="1808" t="s">
        <v>138</v>
      </c>
    </row>
    <row r="5" spans="1:12" s="38" customFormat="1" ht="36.75" thickBot="1" x14ac:dyDescent="0.25">
      <c r="A5" s="39" t="s">
        <v>139</v>
      </c>
      <c r="B5" s="40" t="s">
        <v>404</v>
      </c>
      <c r="C5" s="1809" t="s">
        <v>141</v>
      </c>
      <c r="D5" s="1810"/>
      <c r="E5" s="1810"/>
      <c r="F5" s="1810"/>
      <c r="G5" s="1810"/>
      <c r="H5" s="1811" t="s">
        <v>141</v>
      </c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2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91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82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/>
      <c r="D10" s="127"/>
      <c r="E10" s="582"/>
      <c r="F10" s="582"/>
      <c r="G10" s="582"/>
      <c r="H10" s="595">
        <f>E10-D10</f>
        <v>0</v>
      </c>
      <c r="I10" s="1085"/>
      <c r="J10" s="595"/>
      <c r="K10" s="595"/>
      <c r="L10" s="595"/>
    </row>
    <row r="11" spans="1:12" s="26" customFormat="1" ht="12.2" customHeight="1" x14ac:dyDescent="0.2">
      <c r="A11" s="49" t="s">
        <v>91</v>
      </c>
      <c r="B11" s="50" t="s">
        <v>143</v>
      </c>
      <c r="C11" s="128"/>
      <c r="D11" s="192"/>
      <c r="E11" s="583"/>
      <c r="F11" s="583"/>
      <c r="G11" s="583"/>
      <c r="H11" s="540">
        <f t="shared" ref="H11:H48" si="0">E11-D11</f>
        <v>0</v>
      </c>
      <c r="I11" s="1086"/>
      <c r="J11" s="540"/>
      <c r="K11" s="540"/>
      <c r="L11" s="540"/>
    </row>
    <row r="12" spans="1:12" s="26" customFormat="1" ht="12.2" customHeight="1" x14ac:dyDescent="0.2">
      <c r="A12" s="1037" t="s">
        <v>92</v>
      </c>
      <c r="B12" s="330" t="s">
        <v>144</v>
      </c>
      <c r="C12" s="331"/>
      <c r="D12" s="340"/>
      <c r="E12" s="88"/>
      <c r="F12" s="88"/>
      <c r="G12" s="88"/>
      <c r="H12" s="541">
        <f t="shared" si="0"/>
        <v>0</v>
      </c>
      <c r="I12" s="1087"/>
      <c r="J12" s="541"/>
      <c r="K12" s="541"/>
      <c r="L12" s="541"/>
    </row>
    <row r="13" spans="1:12" s="26" customFormat="1" ht="12.2" customHeight="1" x14ac:dyDescent="0.2">
      <c r="A13" s="1037" t="s">
        <v>93</v>
      </c>
      <c r="B13" s="330" t="s">
        <v>145</v>
      </c>
      <c r="C13" s="331"/>
      <c r="D13" s="340"/>
      <c r="E13" s="88"/>
      <c r="F13" s="88"/>
      <c r="G13" s="88"/>
      <c r="H13" s="541">
        <f t="shared" si="0"/>
        <v>0</v>
      </c>
      <c r="I13" s="1087"/>
      <c r="J13" s="541"/>
      <c r="K13" s="541"/>
      <c r="L13" s="541"/>
    </row>
    <row r="14" spans="1:12" s="26" customFormat="1" ht="12.2" customHeight="1" x14ac:dyDescent="0.2">
      <c r="A14" s="1037" t="s">
        <v>90</v>
      </c>
      <c r="B14" s="330" t="s">
        <v>146</v>
      </c>
      <c r="C14" s="331"/>
      <c r="D14" s="340"/>
      <c r="E14" s="88"/>
      <c r="F14" s="88"/>
      <c r="G14" s="88"/>
      <c r="H14" s="541">
        <f t="shared" si="0"/>
        <v>0</v>
      </c>
      <c r="I14" s="1087"/>
      <c r="J14" s="541"/>
      <c r="K14" s="541"/>
      <c r="L14" s="541"/>
    </row>
    <row r="15" spans="1:12" s="26" customFormat="1" ht="12.2" customHeight="1" x14ac:dyDescent="0.2">
      <c r="A15" s="1037" t="s">
        <v>147</v>
      </c>
      <c r="B15" s="330" t="s">
        <v>148</v>
      </c>
      <c r="C15" s="331"/>
      <c r="D15" s="340"/>
      <c r="E15" s="88"/>
      <c r="F15" s="88"/>
      <c r="G15" s="88"/>
      <c r="H15" s="541">
        <f t="shared" si="0"/>
        <v>0</v>
      </c>
      <c r="I15" s="1087"/>
      <c r="J15" s="541"/>
      <c r="K15" s="541"/>
      <c r="L15" s="541"/>
    </row>
    <row r="16" spans="1:12" s="26" customFormat="1" ht="12.2" customHeight="1" x14ac:dyDescent="0.2">
      <c r="A16" s="1037" t="s">
        <v>149</v>
      </c>
      <c r="B16" s="330" t="s">
        <v>150</v>
      </c>
      <c r="C16" s="331"/>
      <c r="D16" s="340"/>
      <c r="E16" s="88"/>
      <c r="F16" s="88"/>
      <c r="G16" s="88"/>
      <c r="H16" s="541">
        <f t="shared" si="0"/>
        <v>0</v>
      </c>
      <c r="I16" s="1087"/>
      <c r="J16" s="541"/>
      <c r="K16" s="541"/>
      <c r="L16" s="541"/>
    </row>
    <row r="17" spans="1:12" s="26" customFormat="1" ht="12.2" customHeight="1" x14ac:dyDescent="0.2">
      <c r="A17" s="1037" t="s">
        <v>151</v>
      </c>
      <c r="B17" s="52" t="s">
        <v>152</v>
      </c>
      <c r="C17" s="331"/>
      <c r="D17" s="340"/>
      <c r="E17" s="88"/>
      <c r="F17" s="88"/>
      <c r="G17" s="88"/>
      <c r="H17" s="541">
        <f t="shared" si="0"/>
        <v>0</v>
      </c>
      <c r="I17" s="1087"/>
      <c r="J17" s="541"/>
      <c r="K17" s="541"/>
      <c r="L17" s="541"/>
    </row>
    <row r="18" spans="1:12" s="26" customFormat="1" ht="12.2" customHeight="1" x14ac:dyDescent="0.2">
      <c r="A18" s="1037" t="s">
        <v>153</v>
      </c>
      <c r="B18" s="345" t="s">
        <v>302</v>
      </c>
      <c r="C18" s="121"/>
      <c r="D18" s="188"/>
      <c r="E18" s="90"/>
      <c r="F18" s="90"/>
      <c r="G18" s="90"/>
      <c r="H18" s="542">
        <f t="shared" si="0"/>
        <v>0</v>
      </c>
      <c r="I18" s="1088"/>
      <c r="J18" s="542"/>
      <c r="K18" s="542"/>
      <c r="L18" s="542"/>
    </row>
    <row r="19" spans="1:12" s="54" customFormat="1" ht="12.2" customHeight="1" x14ac:dyDescent="0.2">
      <c r="A19" s="1037" t="s">
        <v>154</v>
      </c>
      <c r="B19" s="330" t="s">
        <v>155</v>
      </c>
      <c r="C19" s="331"/>
      <c r="D19" s="340"/>
      <c r="E19" s="88"/>
      <c r="F19" s="88"/>
      <c r="G19" s="88"/>
      <c r="H19" s="541">
        <f t="shared" si="0"/>
        <v>0</v>
      </c>
      <c r="I19" s="1087"/>
      <c r="J19" s="541"/>
      <c r="K19" s="541"/>
      <c r="L19" s="541"/>
    </row>
    <row r="20" spans="1:12" s="54" customFormat="1" ht="12.2" customHeight="1" x14ac:dyDescent="0.2">
      <c r="A20" s="1037" t="s">
        <v>156</v>
      </c>
      <c r="B20" s="345" t="s">
        <v>275</v>
      </c>
      <c r="C20" s="333"/>
      <c r="D20" s="341"/>
      <c r="E20" s="88"/>
      <c r="F20" s="88"/>
      <c r="G20" s="331"/>
      <c r="H20" s="543">
        <f t="shared" si="0"/>
        <v>0</v>
      </c>
      <c r="I20" s="1089"/>
      <c r="J20" s="543"/>
      <c r="K20" s="543"/>
      <c r="L20" s="543"/>
    </row>
    <row r="21" spans="1:12" s="54" customFormat="1" ht="12.2" customHeight="1" thickBot="1" x14ac:dyDescent="0.25">
      <c r="A21" s="1037" t="s">
        <v>276</v>
      </c>
      <c r="B21" s="52" t="s">
        <v>157</v>
      </c>
      <c r="C21" s="333"/>
      <c r="D21" s="341"/>
      <c r="E21" s="90"/>
      <c r="F21" s="90"/>
      <c r="G21" s="90"/>
      <c r="H21" s="544">
        <f t="shared" si="0"/>
        <v>0</v>
      </c>
      <c r="I21" s="1090"/>
      <c r="J21" s="544"/>
      <c r="K21" s="544"/>
      <c r="L21" s="544"/>
    </row>
    <row r="22" spans="1:12" s="26" customFormat="1" ht="12.2" customHeight="1" thickBot="1" x14ac:dyDescent="0.25">
      <c r="A22" s="43" t="s">
        <v>13</v>
      </c>
      <c r="B22" s="47" t="s">
        <v>158</v>
      </c>
      <c r="C22" s="89"/>
      <c r="D22" s="127"/>
      <c r="E22" s="582"/>
      <c r="F22" s="582"/>
      <c r="G22" s="582"/>
      <c r="H22" s="48">
        <f t="shared" si="0"/>
        <v>0</v>
      </c>
      <c r="I22" s="175"/>
      <c r="J22" s="48"/>
      <c r="K22" s="48"/>
      <c r="L22" s="48"/>
    </row>
    <row r="23" spans="1:12" s="54" customFormat="1" ht="12.2" customHeight="1" x14ac:dyDescent="0.2">
      <c r="A23" s="1037" t="s">
        <v>94</v>
      </c>
      <c r="B23" s="17" t="s">
        <v>159</v>
      </c>
      <c r="C23" s="331"/>
      <c r="D23" s="340"/>
      <c r="E23" s="584"/>
      <c r="F23" s="584"/>
      <c r="G23" s="584"/>
      <c r="H23" s="75">
        <f t="shared" si="0"/>
        <v>0</v>
      </c>
      <c r="I23" s="637"/>
      <c r="J23" s="75"/>
      <c r="K23" s="75"/>
      <c r="L23" s="75"/>
    </row>
    <row r="24" spans="1:12" s="54" customFormat="1" ht="12.2" customHeight="1" x14ac:dyDescent="0.2">
      <c r="A24" s="1037" t="s">
        <v>95</v>
      </c>
      <c r="B24" s="330" t="s">
        <v>160</v>
      </c>
      <c r="C24" s="331"/>
      <c r="D24" s="340"/>
      <c r="E24" s="88"/>
      <c r="F24" s="88"/>
      <c r="G24" s="88"/>
      <c r="H24" s="541">
        <f t="shared" si="0"/>
        <v>0</v>
      </c>
      <c r="I24" s="1087"/>
      <c r="J24" s="541"/>
      <c r="K24" s="541"/>
      <c r="L24" s="541"/>
    </row>
    <row r="25" spans="1:12" s="54" customFormat="1" ht="12.2" customHeight="1" x14ac:dyDescent="0.2">
      <c r="A25" s="1037" t="s">
        <v>96</v>
      </c>
      <c r="B25" s="330" t="s">
        <v>161</v>
      </c>
      <c r="C25" s="331"/>
      <c r="D25" s="340"/>
      <c r="E25" s="88"/>
      <c r="F25" s="88"/>
      <c r="G25" s="88"/>
      <c r="H25" s="541">
        <f t="shared" si="0"/>
        <v>0</v>
      </c>
      <c r="I25" s="1087"/>
      <c r="J25" s="541"/>
      <c r="K25" s="541"/>
      <c r="L25" s="541"/>
    </row>
    <row r="26" spans="1:12" s="54" customFormat="1" ht="12.2" customHeight="1" thickBot="1" x14ac:dyDescent="0.25">
      <c r="A26" s="1037" t="s">
        <v>317</v>
      </c>
      <c r="B26" s="335" t="s">
        <v>233</v>
      </c>
      <c r="C26" s="331"/>
      <c r="D26" s="340"/>
      <c r="E26" s="88"/>
      <c r="F26" s="88"/>
      <c r="G26" s="88"/>
      <c r="H26" s="545">
        <f t="shared" si="0"/>
        <v>0</v>
      </c>
      <c r="I26" s="1091"/>
      <c r="J26" s="545"/>
      <c r="K26" s="545"/>
      <c r="L26" s="545"/>
    </row>
    <row r="27" spans="1:12" s="54" customFormat="1" ht="12.2" customHeight="1" thickBot="1" x14ac:dyDescent="0.25">
      <c r="A27" s="55" t="s">
        <v>14</v>
      </c>
      <c r="B27" s="56" t="s">
        <v>83</v>
      </c>
      <c r="C27" s="130"/>
      <c r="D27" s="129"/>
      <c r="E27" s="585"/>
      <c r="F27" s="585"/>
      <c r="G27" s="585"/>
      <c r="H27" s="74">
        <f t="shared" si="0"/>
        <v>0</v>
      </c>
      <c r="I27" s="638"/>
      <c r="J27" s="74"/>
      <c r="K27" s="74"/>
      <c r="L27" s="74"/>
    </row>
    <row r="28" spans="1:12" s="54" customFormat="1" ht="12.2" customHeight="1" thickBot="1" x14ac:dyDescent="0.25">
      <c r="A28" s="55" t="s">
        <v>15</v>
      </c>
      <c r="B28" s="56" t="s">
        <v>162</v>
      </c>
      <c r="C28" s="89"/>
      <c r="D28" s="127"/>
      <c r="E28" s="582"/>
      <c r="F28" s="582"/>
      <c r="G28" s="582"/>
      <c r="H28" s="74">
        <f t="shared" si="0"/>
        <v>0</v>
      </c>
      <c r="I28" s="638"/>
      <c r="J28" s="74"/>
      <c r="K28" s="74"/>
      <c r="L28" s="74"/>
    </row>
    <row r="29" spans="1:12" s="54" customFormat="1" ht="12.2" customHeight="1" x14ac:dyDescent="0.2">
      <c r="A29" s="58" t="s">
        <v>100</v>
      </c>
      <c r="B29" s="59" t="s">
        <v>160</v>
      </c>
      <c r="C29" s="122"/>
      <c r="D29" s="189"/>
      <c r="E29" s="586"/>
      <c r="F29" s="586"/>
      <c r="G29" s="586"/>
      <c r="H29" s="546">
        <f t="shared" si="0"/>
        <v>0</v>
      </c>
      <c r="I29" s="1092"/>
      <c r="J29" s="546"/>
      <c r="K29" s="546"/>
      <c r="L29" s="546"/>
    </row>
    <row r="30" spans="1:12" s="54" customFormat="1" ht="12.2" customHeight="1" x14ac:dyDescent="0.2">
      <c r="A30" s="58" t="s">
        <v>101</v>
      </c>
      <c r="B30" s="336" t="s">
        <v>163</v>
      </c>
      <c r="C30" s="120"/>
      <c r="D30" s="193"/>
      <c r="E30" s="107"/>
      <c r="F30" s="107"/>
      <c r="G30" s="339"/>
      <c r="H30" s="534">
        <f t="shared" si="0"/>
        <v>0</v>
      </c>
      <c r="I30" s="630"/>
      <c r="J30" s="534"/>
      <c r="K30" s="534"/>
      <c r="L30" s="534"/>
    </row>
    <row r="31" spans="1:12" s="54" customFormat="1" ht="12.2" customHeight="1" thickBot="1" x14ac:dyDescent="0.25">
      <c r="A31" s="1037" t="s">
        <v>281</v>
      </c>
      <c r="B31" s="102" t="s">
        <v>165</v>
      </c>
      <c r="C31" s="92"/>
      <c r="D31" s="190"/>
      <c r="E31" s="587"/>
      <c r="F31" s="587"/>
      <c r="G31" s="587"/>
      <c r="H31" s="547">
        <f t="shared" si="0"/>
        <v>0</v>
      </c>
      <c r="I31" s="1093"/>
      <c r="J31" s="547"/>
      <c r="K31" s="547"/>
      <c r="L31" s="547"/>
    </row>
    <row r="32" spans="1:12" s="54" customFormat="1" ht="12.2" customHeight="1" thickBot="1" x14ac:dyDescent="0.25">
      <c r="A32" s="55" t="s">
        <v>16</v>
      </c>
      <c r="B32" s="56" t="s">
        <v>166</v>
      </c>
      <c r="C32" s="89"/>
      <c r="D32" s="127"/>
      <c r="E32" s="582"/>
      <c r="F32" s="582"/>
      <c r="G32" s="582"/>
      <c r="H32" s="74">
        <f t="shared" si="0"/>
        <v>0</v>
      </c>
      <c r="I32" s="638"/>
      <c r="J32" s="74"/>
      <c r="K32" s="74"/>
      <c r="L32" s="74"/>
    </row>
    <row r="33" spans="1:12" s="54" customFormat="1" ht="12.2" customHeight="1" x14ac:dyDescent="0.2">
      <c r="A33" s="58" t="s">
        <v>89</v>
      </c>
      <c r="B33" s="59" t="s">
        <v>167</v>
      </c>
      <c r="C33" s="122"/>
      <c r="D33" s="189"/>
      <c r="E33" s="586"/>
      <c r="F33" s="586"/>
      <c r="G33" s="586"/>
      <c r="H33" s="546">
        <f t="shared" si="0"/>
        <v>0</v>
      </c>
      <c r="I33" s="1092"/>
      <c r="J33" s="546"/>
      <c r="K33" s="546"/>
      <c r="L33" s="546"/>
    </row>
    <row r="34" spans="1:12" s="54" customFormat="1" ht="12.2" customHeight="1" x14ac:dyDescent="0.2">
      <c r="A34" s="58" t="s">
        <v>102</v>
      </c>
      <c r="B34" s="336" t="s">
        <v>168</v>
      </c>
      <c r="C34" s="120"/>
      <c r="D34" s="193"/>
      <c r="E34" s="107"/>
      <c r="F34" s="107"/>
      <c r="G34" s="339"/>
      <c r="H34" s="534">
        <f t="shared" si="0"/>
        <v>0</v>
      </c>
      <c r="I34" s="630"/>
      <c r="J34" s="534"/>
      <c r="K34" s="534"/>
      <c r="L34" s="534"/>
    </row>
    <row r="35" spans="1:12" s="54" customFormat="1" ht="12.2" customHeight="1" thickBot="1" x14ac:dyDescent="0.25">
      <c r="A35" s="1037" t="s">
        <v>103</v>
      </c>
      <c r="B35" s="62" t="s">
        <v>169</v>
      </c>
      <c r="C35" s="92"/>
      <c r="D35" s="190"/>
      <c r="E35" s="587"/>
      <c r="F35" s="587"/>
      <c r="G35" s="587"/>
      <c r="H35" s="548">
        <f t="shared" si="0"/>
        <v>0</v>
      </c>
      <c r="I35" s="1094"/>
      <c r="J35" s="548"/>
      <c r="K35" s="548"/>
      <c r="L35" s="548"/>
    </row>
    <row r="36" spans="1:12" s="26" customFormat="1" ht="12.2" customHeight="1" thickBot="1" x14ac:dyDescent="0.25">
      <c r="A36" s="55" t="s">
        <v>17</v>
      </c>
      <c r="B36" s="56" t="s">
        <v>170</v>
      </c>
      <c r="C36" s="130"/>
      <c r="D36" s="129"/>
      <c r="E36" s="585"/>
      <c r="F36" s="585"/>
      <c r="G36" s="585"/>
      <c r="H36" s="74">
        <f t="shared" si="0"/>
        <v>0</v>
      </c>
      <c r="I36" s="638"/>
      <c r="J36" s="74"/>
      <c r="K36" s="74"/>
      <c r="L36" s="74"/>
    </row>
    <row r="37" spans="1:12" s="26" customFormat="1" ht="12.2" customHeight="1" thickBot="1" x14ac:dyDescent="0.25">
      <c r="A37" s="1038" t="s">
        <v>104</v>
      </c>
      <c r="B37" s="337" t="s">
        <v>165</v>
      </c>
      <c r="C37" s="130"/>
      <c r="D37" s="129"/>
      <c r="E37" s="588"/>
      <c r="F37" s="588"/>
      <c r="G37" s="588"/>
      <c r="H37" s="549">
        <f t="shared" si="0"/>
        <v>0</v>
      </c>
      <c r="I37" s="1095"/>
      <c r="J37" s="549"/>
      <c r="K37" s="549"/>
      <c r="L37" s="549"/>
    </row>
    <row r="38" spans="1:12" s="26" customFormat="1" ht="12.2" customHeight="1" thickBot="1" x14ac:dyDescent="0.25">
      <c r="A38" s="55" t="s">
        <v>18</v>
      </c>
      <c r="B38" s="56" t="s">
        <v>555</v>
      </c>
      <c r="C38" s="130"/>
      <c r="D38" s="129"/>
      <c r="E38" s="585"/>
      <c r="F38" s="585"/>
      <c r="G38" s="585"/>
      <c r="H38" s="74">
        <f t="shared" si="0"/>
        <v>0</v>
      </c>
      <c r="I38" s="638"/>
      <c r="J38" s="74"/>
      <c r="K38" s="74"/>
      <c r="L38" s="74"/>
    </row>
    <row r="39" spans="1:12" s="26" customFormat="1" ht="12.2" customHeight="1" x14ac:dyDescent="0.2">
      <c r="A39" s="12" t="s">
        <v>107</v>
      </c>
      <c r="B39" s="95" t="s">
        <v>212</v>
      </c>
      <c r="C39" s="131"/>
      <c r="D39" s="194"/>
      <c r="E39" s="589"/>
      <c r="F39" s="589"/>
      <c r="G39" s="589"/>
      <c r="H39" s="550">
        <f t="shared" si="0"/>
        <v>0</v>
      </c>
      <c r="I39" s="1096"/>
      <c r="J39" s="550"/>
      <c r="K39" s="550"/>
      <c r="L39" s="550"/>
    </row>
    <row r="40" spans="1:12" s="26" customFormat="1" ht="12.2" customHeight="1" x14ac:dyDescent="0.2">
      <c r="A40" s="1003" t="s">
        <v>108</v>
      </c>
      <c r="B40" s="346" t="s">
        <v>213</v>
      </c>
      <c r="C40" s="338"/>
      <c r="D40" s="342"/>
      <c r="E40" s="590"/>
      <c r="F40" s="590"/>
      <c r="G40" s="590"/>
      <c r="H40" s="551">
        <f t="shared" si="0"/>
        <v>0</v>
      </c>
      <c r="I40" s="1097"/>
      <c r="J40" s="551"/>
      <c r="K40" s="551"/>
      <c r="L40" s="551"/>
    </row>
    <row r="41" spans="1:12" s="26" customFormat="1" ht="12.2" customHeight="1" thickBot="1" x14ac:dyDescent="0.25">
      <c r="A41" s="1003" t="s">
        <v>323</v>
      </c>
      <c r="B41" s="103" t="s">
        <v>165</v>
      </c>
      <c r="C41" s="133"/>
      <c r="D41" s="132"/>
      <c r="E41" s="591"/>
      <c r="F41" s="591"/>
      <c r="G41" s="591"/>
      <c r="H41" s="552">
        <f t="shared" si="0"/>
        <v>0</v>
      </c>
      <c r="I41" s="1098"/>
      <c r="J41" s="552"/>
      <c r="K41" s="552"/>
      <c r="L41" s="552"/>
    </row>
    <row r="42" spans="1:12" s="26" customFormat="1" ht="12.2" customHeight="1" thickBot="1" x14ac:dyDescent="0.25">
      <c r="A42" s="43" t="s">
        <v>19</v>
      </c>
      <c r="B42" s="56" t="s">
        <v>546</v>
      </c>
      <c r="C42" s="89"/>
      <c r="D42" s="127"/>
      <c r="E42" s="582"/>
      <c r="F42" s="582"/>
      <c r="G42" s="582"/>
      <c r="H42" s="74">
        <f t="shared" si="0"/>
        <v>0</v>
      </c>
      <c r="I42" s="638"/>
      <c r="J42" s="74"/>
      <c r="K42" s="74"/>
      <c r="L42" s="74"/>
    </row>
    <row r="43" spans="1:12" s="26" customFormat="1" ht="12.2" customHeight="1" thickBot="1" x14ac:dyDescent="0.25">
      <c r="A43" s="63" t="s">
        <v>20</v>
      </c>
      <c r="B43" s="56" t="s">
        <v>180</v>
      </c>
      <c r="C43" s="89"/>
      <c r="D43" s="127"/>
      <c r="E43" s="582"/>
      <c r="F43" s="582"/>
      <c r="G43" s="582"/>
      <c r="H43" s="74">
        <f t="shared" si="0"/>
        <v>0</v>
      </c>
      <c r="I43" s="638"/>
      <c r="J43" s="74"/>
      <c r="K43" s="74"/>
      <c r="L43" s="74"/>
    </row>
    <row r="44" spans="1:12" s="26" customFormat="1" ht="12.2" customHeight="1" x14ac:dyDescent="0.2">
      <c r="A44" s="58" t="s">
        <v>171</v>
      </c>
      <c r="B44" s="59" t="s">
        <v>131</v>
      </c>
      <c r="C44" s="122"/>
      <c r="D44" s="189"/>
      <c r="E44" s="586"/>
      <c r="F44" s="586"/>
      <c r="G44" s="586"/>
      <c r="H44" s="546">
        <f t="shared" si="0"/>
        <v>0</v>
      </c>
      <c r="I44" s="1092"/>
      <c r="J44" s="546"/>
      <c r="K44" s="546"/>
      <c r="L44" s="546"/>
    </row>
    <row r="45" spans="1:12" s="26" customFormat="1" ht="12.2" customHeight="1" x14ac:dyDescent="0.2">
      <c r="A45" s="71" t="s">
        <v>172</v>
      </c>
      <c r="B45" s="59" t="s">
        <v>186</v>
      </c>
      <c r="C45" s="120"/>
      <c r="D45" s="193"/>
      <c r="E45" s="91"/>
      <c r="F45" s="91"/>
      <c r="G45" s="91"/>
      <c r="H45" s="553">
        <f t="shared" si="0"/>
        <v>0</v>
      </c>
      <c r="I45" s="1099"/>
      <c r="J45" s="553"/>
      <c r="K45" s="553"/>
      <c r="L45" s="553"/>
    </row>
    <row r="46" spans="1:12" s="26" customFormat="1" ht="12.2" customHeight="1" x14ac:dyDescent="0.2">
      <c r="A46" s="1037" t="s">
        <v>173</v>
      </c>
      <c r="B46" s="336" t="s">
        <v>177</v>
      </c>
      <c r="C46" s="339"/>
      <c r="D46" s="323"/>
      <c r="E46" s="107"/>
      <c r="F46" s="107"/>
      <c r="G46" s="107"/>
      <c r="H46" s="534">
        <f t="shared" si="0"/>
        <v>0</v>
      </c>
      <c r="I46" s="630"/>
      <c r="J46" s="534"/>
      <c r="K46" s="534"/>
      <c r="L46" s="534"/>
    </row>
    <row r="47" spans="1:12" s="54" customFormat="1" ht="12.2" customHeight="1" thickBot="1" x14ac:dyDescent="0.25">
      <c r="A47" s="58" t="s">
        <v>178</v>
      </c>
      <c r="B47" s="62" t="s">
        <v>179</v>
      </c>
      <c r="C47" s="1034"/>
      <c r="D47" s="195"/>
      <c r="E47" s="587"/>
      <c r="F47" s="587"/>
      <c r="G47" s="587"/>
      <c r="H47" s="548">
        <f t="shared" si="0"/>
        <v>0</v>
      </c>
      <c r="I47" s="1094"/>
      <c r="J47" s="548"/>
      <c r="K47" s="548"/>
      <c r="L47" s="548"/>
    </row>
    <row r="48" spans="1:12" s="54" customFormat="1" ht="15" customHeight="1" thickBot="1" x14ac:dyDescent="0.25">
      <c r="A48" s="63" t="s">
        <v>21</v>
      </c>
      <c r="B48" s="524" t="s">
        <v>174</v>
      </c>
      <c r="C48" s="135"/>
      <c r="D48" s="134"/>
      <c r="E48" s="592"/>
      <c r="F48" s="592"/>
      <c r="G48" s="592"/>
      <c r="H48" s="557">
        <f t="shared" si="0"/>
        <v>0</v>
      </c>
      <c r="I48" s="1100"/>
      <c r="J48" s="557"/>
      <c r="K48" s="557"/>
      <c r="L48" s="557"/>
    </row>
    <row r="49" spans="1:12" s="54" customFormat="1" ht="15" customHeight="1" x14ac:dyDescent="0.2">
      <c r="A49" s="64"/>
      <c r="B49" s="65"/>
      <c r="C49" s="66"/>
      <c r="D49" s="66"/>
      <c r="E49" s="66"/>
      <c r="F49" s="66"/>
      <c r="G49" s="66"/>
      <c r="H49" s="66"/>
      <c r="I49" s="66"/>
      <c r="J49" s="66"/>
      <c r="K49" s="66"/>
      <c r="L49" s="66"/>
    </row>
    <row r="50" spans="1:12" s="54" customFormat="1" ht="15" customHeight="1" x14ac:dyDescent="0.2">
      <c r="A50" s="64"/>
      <c r="B50" s="65"/>
      <c r="C50" s="66"/>
      <c r="D50" s="66"/>
      <c r="E50" s="66"/>
      <c r="F50" s="66"/>
      <c r="G50" s="66"/>
      <c r="H50" s="66"/>
      <c r="I50" s="66"/>
      <c r="J50" s="66"/>
      <c r="K50" s="66"/>
      <c r="L50" s="66"/>
    </row>
    <row r="51" spans="1:12" ht="13.5" thickBot="1" x14ac:dyDescent="0.25">
      <c r="A51" s="1912" t="s">
        <v>362</v>
      </c>
      <c r="B51" s="1912"/>
      <c r="C51" s="1912"/>
      <c r="D51" s="1912"/>
      <c r="E51" s="1912"/>
      <c r="F51" s="1912"/>
      <c r="G51" s="1912"/>
      <c r="H51" s="1912"/>
    </row>
    <row r="52" spans="1:12" s="554" customFormat="1" ht="55.5" customHeight="1" thickBot="1" x14ac:dyDescent="0.25">
      <c r="A52" s="641"/>
      <c r="B52" s="642" t="s">
        <v>38</v>
      </c>
      <c r="C52" s="21" t="str">
        <f>C7</f>
        <v>2023. évi eredeti előirányzat
2/2023. (II.14.)</v>
      </c>
      <c r="D52" s="166" t="str">
        <f t="shared" ref="D52:L52" si="1">D7</f>
        <v>Módosított előirányzat a 14/2023.  (VI.29.)  rendelet szerint</v>
      </c>
      <c r="E52" s="21" t="str">
        <f t="shared" si="1"/>
        <v>Módosított előirányzat a 18/2023. (IX.26.)  rendelet szerint</v>
      </c>
      <c r="F52" s="21" t="str">
        <f t="shared" si="1"/>
        <v>Módosított előirányzat 2023.09.30-án</v>
      </c>
      <c r="G52" s="21" t="str">
        <f t="shared" si="1"/>
        <v>Módosított előirányzat a …../2023. (II…..)  rendelet szerint</v>
      </c>
      <c r="H52" s="32" t="str">
        <f t="shared" si="1"/>
        <v>Változás a 14/2023. (VI.29.) rendelethez képest</v>
      </c>
      <c r="I52" s="166" t="str">
        <f t="shared" si="1"/>
        <v>2023. évi teljesítés              2023.06.30-ig</v>
      </c>
      <c r="J52" s="21" t="str">
        <f t="shared" si="1"/>
        <v>2023. évi teljesítés              2023.09.30-ig</v>
      </c>
      <c r="K52" s="21" t="str">
        <f t="shared" si="1"/>
        <v>2023. évi teljesítés              2023.12.31-ig</v>
      </c>
      <c r="L52" s="21" t="str">
        <f t="shared" si="1"/>
        <v>Teljesítés %-a</v>
      </c>
    </row>
    <row r="53" spans="1:12" s="31" customFormat="1" ht="12.2" customHeight="1" thickBot="1" x14ac:dyDescent="0.25">
      <c r="A53" s="55" t="s">
        <v>12</v>
      </c>
      <c r="B53" s="56" t="s">
        <v>547</v>
      </c>
      <c r="C53" s="89"/>
      <c r="D53" s="127"/>
      <c r="E53" s="582"/>
      <c r="F53" s="582"/>
      <c r="G53" s="582"/>
      <c r="H53" s="48">
        <f t="shared" ref="H53:H72" si="2">E53-D53</f>
        <v>0</v>
      </c>
      <c r="I53" s="175"/>
      <c r="J53" s="48"/>
      <c r="K53" s="48"/>
      <c r="L53" s="48"/>
    </row>
    <row r="54" spans="1:12" ht="12.2" customHeight="1" x14ac:dyDescent="0.2">
      <c r="A54" s="1037" t="s">
        <v>91</v>
      </c>
      <c r="B54" s="17" t="s">
        <v>68</v>
      </c>
      <c r="C54" s="122"/>
      <c r="D54" s="189"/>
      <c r="E54" s="586"/>
      <c r="F54" s="586"/>
      <c r="G54" s="586"/>
      <c r="H54" s="33">
        <f t="shared" si="2"/>
        <v>0</v>
      </c>
      <c r="I54" s="177"/>
      <c r="J54" s="33"/>
      <c r="K54" s="33"/>
      <c r="L54" s="33"/>
    </row>
    <row r="55" spans="1:12" ht="12.2" customHeight="1" x14ac:dyDescent="0.2">
      <c r="A55" s="1037" t="s">
        <v>305</v>
      </c>
      <c r="B55" s="335" t="s">
        <v>270</v>
      </c>
      <c r="C55" s="122"/>
      <c r="D55" s="189"/>
      <c r="E55" s="586"/>
      <c r="F55" s="586"/>
      <c r="G55" s="586"/>
      <c r="H55" s="33">
        <f t="shared" si="2"/>
        <v>0</v>
      </c>
      <c r="I55" s="177"/>
      <c r="J55" s="33"/>
      <c r="K55" s="33"/>
      <c r="L55" s="33"/>
    </row>
    <row r="56" spans="1:12" ht="12.2" customHeight="1" x14ac:dyDescent="0.2">
      <c r="A56" s="1037" t="s">
        <v>92</v>
      </c>
      <c r="B56" s="330" t="s">
        <v>87</v>
      </c>
      <c r="C56" s="339"/>
      <c r="D56" s="323"/>
      <c r="E56" s="107"/>
      <c r="F56" s="107"/>
      <c r="G56" s="107"/>
      <c r="H56" s="324">
        <f t="shared" si="2"/>
        <v>0</v>
      </c>
      <c r="I56" s="503"/>
      <c r="J56" s="324"/>
      <c r="K56" s="324"/>
      <c r="L56" s="324"/>
    </row>
    <row r="57" spans="1:12" ht="12.2" customHeight="1" x14ac:dyDescent="0.2">
      <c r="A57" s="1037" t="s">
        <v>93</v>
      </c>
      <c r="B57" s="330" t="s">
        <v>69</v>
      </c>
      <c r="C57" s="339"/>
      <c r="D57" s="323"/>
      <c r="E57" s="107"/>
      <c r="F57" s="107"/>
      <c r="G57" s="107"/>
      <c r="H57" s="324">
        <f t="shared" si="2"/>
        <v>0</v>
      </c>
      <c r="I57" s="503"/>
      <c r="J57" s="324"/>
      <c r="K57" s="324"/>
      <c r="L57" s="324"/>
    </row>
    <row r="58" spans="1:12" ht="12.2" customHeight="1" x14ac:dyDescent="0.2">
      <c r="A58" s="1037" t="s">
        <v>90</v>
      </c>
      <c r="B58" s="330" t="s">
        <v>80</v>
      </c>
      <c r="C58" s="339"/>
      <c r="D58" s="323"/>
      <c r="E58" s="107"/>
      <c r="F58" s="107"/>
      <c r="G58" s="107"/>
      <c r="H58" s="324">
        <f t="shared" si="2"/>
        <v>0</v>
      </c>
      <c r="I58" s="503"/>
      <c r="J58" s="324"/>
      <c r="K58" s="324"/>
      <c r="L58" s="324"/>
    </row>
    <row r="59" spans="1:12" ht="12.2" customHeight="1" x14ac:dyDescent="0.2">
      <c r="A59" s="1037" t="s">
        <v>147</v>
      </c>
      <c r="B59" s="330" t="s">
        <v>88</v>
      </c>
      <c r="C59" s="339"/>
      <c r="D59" s="323"/>
      <c r="E59" s="107"/>
      <c r="F59" s="107"/>
      <c r="G59" s="107"/>
      <c r="H59" s="324">
        <f t="shared" si="2"/>
        <v>0</v>
      </c>
      <c r="I59" s="503"/>
      <c r="J59" s="324"/>
      <c r="K59" s="324"/>
      <c r="L59" s="324"/>
    </row>
    <row r="60" spans="1:12" ht="12.2" customHeight="1" x14ac:dyDescent="0.2">
      <c r="A60" s="1037" t="s">
        <v>306</v>
      </c>
      <c r="B60" s="521" t="s">
        <v>235</v>
      </c>
      <c r="C60" s="339"/>
      <c r="D60" s="323"/>
      <c r="E60" s="107"/>
      <c r="F60" s="107"/>
      <c r="G60" s="107"/>
      <c r="H60" s="324">
        <f t="shared" si="2"/>
        <v>0</v>
      </c>
      <c r="I60" s="503"/>
      <c r="J60" s="324"/>
      <c r="K60" s="324"/>
      <c r="L60" s="324"/>
    </row>
    <row r="61" spans="1:12" ht="12.2" customHeight="1" thickBot="1" x14ac:dyDescent="0.25">
      <c r="A61" s="84" t="s">
        <v>307</v>
      </c>
      <c r="B61" s="85" t="s">
        <v>234</v>
      </c>
      <c r="C61" s="92"/>
      <c r="D61" s="190"/>
      <c r="E61" s="593"/>
      <c r="F61" s="593"/>
      <c r="G61" s="593"/>
      <c r="H61" s="61">
        <f t="shared" si="2"/>
        <v>0</v>
      </c>
      <c r="I61" s="178"/>
      <c r="J61" s="61"/>
      <c r="K61" s="61"/>
      <c r="L61" s="61"/>
    </row>
    <row r="62" spans="1:12" ht="12.2" customHeight="1" thickBot="1" x14ac:dyDescent="0.25">
      <c r="A62" s="55" t="s">
        <v>13</v>
      </c>
      <c r="B62" s="56" t="s">
        <v>548</v>
      </c>
      <c r="C62" s="89"/>
      <c r="D62" s="127"/>
      <c r="E62" s="582"/>
      <c r="F62" s="582"/>
      <c r="G62" s="582"/>
      <c r="H62" s="48">
        <f t="shared" si="2"/>
        <v>0</v>
      </c>
      <c r="I62" s="175"/>
      <c r="J62" s="48"/>
      <c r="K62" s="48"/>
      <c r="L62" s="48"/>
    </row>
    <row r="63" spans="1:12" s="31" customFormat="1" ht="12.2" customHeight="1" x14ac:dyDescent="0.2">
      <c r="A63" s="1037" t="s">
        <v>94</v>
      </c>
      <c r="B63" s="17" t="s">
        <v>119</v>
      </c>
      <c r="C63" s="122"/>
      <c r="D63" s="189"/>
      <c r="E63" s="586"/>
      <c r="F63" s="586"/>
      <c r="G63" s="586"/>
      <c r="H63" s="33">
        <f t="shared" si="2"/>
        <v>0</v>
      </c>
      <c r="I63" s="177"/>
      <c r="J63" s="33"/>
      <c r="K63" s="33"/>
      <c r="L63" s="33"/>
    </row>
    <row r="64" spans="1:12" s="31" customFormat="1" ht="12.2" customHeight="1" x14ac:dyDescent="0.2">
      <c r="A64" s="1037" t="s">
        <v>316</v>
      </c>
      <c r="B64" s="522" t="s">
        <v>236</v>
      </c>
      <c r="C64" s="122"/>
      <c r="D64" s="189"/>
      <c r="E64" s="586"/>
      <c r="F64" s="586"/>
      <c r="G64" s="586"/>
      <c r="H64" s="33">
        <f t="shared" si="2"/>
        <v>0</v>
      </c>
      <c r="I64" s="177"/>
      <c r="J64" s="33"/>
      <c r="K64" s="33"/>
      <c r="L64" s="33"/>
    </row>
    <row r="65" spans="1:12" ht="12.2" customHeight="1" x14ac:dyDescent="0.2">
      <c r="A65" s="1037" t="s">
        <v>95</v>
      </c>
      <c r="B65" s="330" t="s">
        <v>2</v>
      </c>
      <c r="C65" s="339"/>
      <c r="D65" s="323"/>
      <c r="E65" s="107"/>
      <c r="F65" s="107"/>
      <c r="G65" s="107"/>
      <c r="H65" s="324">
        <f t="shared" si="2"/>
        <v>0</v>
      </c>
      <c r="I65" s="503"/>
      <c r="J65" s="324"/>
      <c r="K65" s="324"/>
      <c r="L65" s="324"/>
    </row>
    <row r="66" spans="1:12" ht="12.2" customHeight="1" x14ac:dyDescent="0.2">
      <c r="A66" s="1037" t="s">
        <v>342</v>
      </c>
      <c r="B66" s="523" t="s">
        <v>237</v>
      </c>
      <c r="C66" s="339"/>
      <c r="D66" s="323"/>
      <c r="E66" s="107"/>
      <c r="F66" s="107"/>
      <c r="G66" s="107"/>
      <c r="H66" s="324">
        <f t="shared" si="2"/>
        <v>0</v>
      </c>
      <c r="I66" s="503"/>
      <c r="J66" s="324"/>
      <c r="K66" s="324"/>
      <c r="L66" s="324"/>
    </row>
    <row r="67" spans="1:12" ht="12.2" customHeight="1" x14ac:dyDescent="0.2">
      <c r="A67" s="1037" t="s">
        <v>96</v>
      </c>
      <c r="B67" s="17" t="s">
        <v>175</v>
      </c>
      <c r="C67" s="339"/>
      <c r="D67" s="323"/>
      <c r="E67" s="107"/>
      <c r="F67" s="107"/>
      <c r="G67" s="107"/>
      <c r="H67" s="324">
        <f t="shared" si="2"/>
        <v>0</v>
      </c>
      <c r="I67" s="503"/>
      <c r="J67" s="324"/>
      <c r="K67" s="324"/>
      <c r="L67" s="324"/>
    </row>
    <row r="68" spans="1:12" ht="12.2" customHeight="1" x14ac:dyDescent="0.2">
      <c r="A68" s="1037" t="s">
        <v>317</v>
      </c>
      <c r="B68" s="521" t="s">
        <v>239</v>
      </c>
      <c r="C68" s="339"/>
      <c r="D68" s="323"/>
      <c r="E68" s="107"/>
      <c r="F68" s="107"/>
      <c r="G68" s="107"/>
      <c r="H68" s="324">
        <f t="shared" si="2"/>
        <v>0</v>
      </c>
      <c r="I68" s="503"/>
      <c r="J68" s="324"/>
      <c r="K68" s="324"/>
      <c r="L68" s="324"/>
    </row>
    <row r="69" spans="1:12" ht="12.2" customHeight="1" thickBot="1" x14ac:dyDescent="0.25">
      <c r="A69" s="84" t="s">
        <v>318</v>
      </c>
      <c r="B69" s="85" t="s">
        <v>238</v>
      </c>
      <c r="C69" s="92"/>
      <c r="D69" s="323"/>
      <c r="E69" s="107"/>
      <c r="F69" s="107"/>
      <c r="G69" s="107"/>
      <c r="H69" s="324">
        <f t="shared" si="2"/>
        <v>0</v>
      </c>
      <c r="I69" s="503"/>
      <c r="J69" s="324"/>
      <c r="K69" s="324"/>
      <c r="L69" s="324"/>
    </row>
    <row r="70" spans="1:12" ht="15" customHeight="1" thickBot="1" x14ac:dyDescent="0.25">
      <c r="A70" s="55" t="s">
        <v>14</v>
      </c>
      <c r="B70" s="67" t="s">
        <v>176</v>
      </c>
      <c r="C70" s="135"/>
      <c r="D70" s="134"/>
      <c r="E70" s="592"/>
      <c r="F70" s="592"/>
      <c r="G70" s="592"/>
      <c r="H70" s="68">
        <f>E70-D70</f>
        <v>0</v>
      </c>
      <c r="I70" s="176"/>
      <c r="J70" s="68"/>
      <c r="K70" s="68"/>
      <c r="L70" s="68"/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634" t="s">
        <v>292</v>
      </c>
      <c r="B72" s="636"/>
      <c r="C72" s="136"/>
      <c r="D72" s="635"/>
      <c r="E72" s="520"/>
      <c r="F72" s="520"/>
      <c r="G72" s="520"/>
      <c r="H72" s="174">
        <f t="shared" si="2"/>
        <v>0</v>
      </c>
      <c r="I72" s="174"/>
      <c r="J72" s="174"/>
      <c r="K72" s="174"/>
      <c r="L72" s="174"/>
    </row>
    <row r="73" spans="1:12" ht="14.25" hidden="1" customHeight="1" thickBot="1" x14ac:dyDescent="0.25">
      <c r="A73" s="69" t="s">
        <v>291</v>
      </c>
      <c r="B73" s="70"/>
      <c r="C73" s="609"/>
      <c r="D73" s="639"/>
      <c r="E73" s="607"/>
      <c r="F73" s="607"/>
      <c r="G73" s="607"/>
      <c r="H73" s="609">
        <f t="shared" ref="H73" si="3">D73-C73</f>
        <v>0</v>
      </c>
      <c r="I73" s="609"/>
      <c r="J73" s="609"/>
      <c r="K73" s="609"/>
      <c r="L73" s="609"/>
    </row>
    <row r="74" spans="1:12" x14ac:dyDescent="0.2">
      <c r="D74" s="163"/>
      <c r="E74" s="163"/>
      <c r="F74" s="163"/>
      <c r="G74" s="163"/>
      <c r="H74" s="163" t="s">
        <v>734</v>
      </c>
      <c r="I74" s="163"/>
      <c r="J74" s="163"/>
      <c r="K74" s="163"/>
      <c r="L74" s="163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4"/>
  <sheetViews>
    <sheetView view="pageBreakPreview" zoomScale="106" zoomScaleNormal="112" zoomScaleSheetLayoutView="106" workbookViewId="0">
      <selection activeCell="A2" sqref="A2:H2"/>
    </sheetView>
  </sheetViews>
  <sheetFormatPr defaultRowHeight="12.75" x14ac:dyDescent="0.2"/>
  <cols>
    <col min="1" max="1" width="12" style="988" customWidth="1"/>
    <col min="2" max="2" width="67" style="25" customWidth="1"/>
    <col min="3" max="3" width="16" style="25" customWidth="1"/>
    <col min="4" max="5" width="17" style="25" customWidth="1"/>
    <col min="6" max="7" width="17" style="25" hidden="1" customWidth="1"/>
    <col min="8" max="8" width="16" style="25" customWidth="1"/>
    <col min="9" max="12" width="14.83203125" style="25" hidden="1" customWidth="1"/>
    <col min="13" max="13" width="0" style="25" hidden="1" customWidth="1"/>
    <col min="14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535" customFormat="1" ht="12.75" customHeight="1" x14ac:dyDescent="0.2">
      <c r="A1" s="1774" t="s">
        <v>808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743</v>
      </c>
      <c r="B2" s="1774"/>
      <c r="C2" s="1774"/>
      <c r="D2" s="1774"/>
      <c r="E2" s="1774"/>
      <c r="F2" s="1774"/>
      <c r="G2" s="1774"/>
      <c r="H2" s="1774"/>
    </row>
    <row r="3" spans="1:12" s="24" customFormat="1" ht="21.2" customHeight="1" thickBot="1" x14ac:dyDescent="0.25">
      <c r="A3" s="170"/>
      <c r="C3" s="982"/>
      <c r="D3" s="982"/>
      <c r="E3" s="982"/>
      <c r="F3" s="982"/>
      <c r="G3" s="982"/>
      <c r="H3" s="982"/>
      <c r="I3" s="982"/>
      <c r="J3" s="982"/>
      <c r="K3" s="982"/>
      <c r="L3" s="982"/>
    </row>
    <row r="4" spans="1:12" s="38" customFormat="1" ht="38.25" customHeight="1" x14ac:dyDescent="0.2">
      <c r="A4" s="36" t="s">
        <v>137</v>
      </c>
      <c r="B4" s="37" t="s">
        <v>85</v>
      </c>
      <c r="C4" s="1806" t="s">
        <v>184</v>
      </c>
      <c r="D4" s="1807"/>
      <c r="E4" s="1807"/>
      <c r="F4" s="1807"/>
      <c r="G4" s="1807"/>
      <c r="H4" s="1808" t="s">
        <v>184</v>
      </c>
    </row>
    <row r="5" spans="1:12" s="38" customFormat="1" ht="36.75" thickBot="1" x14ac:dyDescent="0.25">
      <c r="A5" s="39" t="s">
        <v>139</v>
      </c>
      <c r="B5" s="40" t="s">
        <v>402</v>
      </c>
      <c r="C5" s="1809" t="s">
        <v>141</v>
      </c>
      <c r="D5" s="1810"/>
      <c r="E5" s="1810"/>
      <c r="F5" s="1810"/>
      <c r="G5" s="1810"/>
      <c r="H5" s="1811" t="s">
        <v>141</v>
      </c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2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91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82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0</v>
      </c>
      <c r="D10" s="127">
        <f t="shared" ref="D10:L10" si="0">SUM(D11:D21)</f>
        <v>0</v>
      </c>
      <c r="E10" s="582">
        <f t="shared" si="0"/>
        <v>0</v>
      </c>
      <c r="F10" s="582">
        <f t="shared" si="0"/>
        <v>11396470</v>
      </c>
      <c r="G10" s="582">
        <f t="shared" si="0"/>
        <v>0</v>
      </c>
      <c r="H10" s="595">
        <f>+E10-D10</f>
        <v>0</v>
      </c>
      <c r="I10" s="1085">
        <f t="shared" si="0"/>
        <v>0</v>
      </c>
      <c r="J10" s="595">
        <f t="shared" si="0"/>
        <v>10501500</v>
      </c>
      <c r="K10" s="595">
        <f t="shared" si="0"/>
        <v>0</v>
      </c>
      <c r="L10" s="595" t="e">
        <f t="shared" si="0"/>
        <v>#VALUE!</v>
      </c>
    </row>
    <row r="11" spans="1:12" s="26" customFormat="1" ht="12.2" customHeight="1" x14ac:dyDescent="0.2">
      <c r="A11" s="49" t="s">
        <v>91</v>
      </c>
      <c r="B11" s="50" t="s">
        <v>143</v>
      </c>
      <c r="C11" s="128">
        <f>'8.Humán'!C11-'31._Humán_önként'!C11</f>
        <v>0</v>
      </c>
      <c r="D11" s="192">
        <f>'8.Humán'!D11-'31._Humán_önként'!D11</f>
        <v>0</v>
      </c>
      <c r="E11" s="583">
        <f>'8.Humán'!E11-'31._Humán_önként'!E11</f>
        <v>0</v>
      </c>
      <c r="F11" s="583">
        <f>'8.Humán'!F11-'31._Humán_önként'!F11</f>
        <v>0</v>
      </c>
      <c r="G11" s="583">
        <f>'8.Humán'!G11-'31._Humán_önként'!G11</f>
        <v>0</v>
      </c>
      <c r="H11" s="540">
        <f t="shared" ref="H11:H47" si="1">+E11-D11</f>
        <v>0</v>
      </c>
      <c r="I11" s="1086">
        <f>'8.Humán'!I11-'31._Humán_önként'!I11</f>
        <v>0</v>
      </c>
      <c r="J11" s="540">
        <f>'8.Humán'!J11-'31._Humán_önként'!J11</f>
        <v>0</v>
      </c>
      <c r="K11" s="540">
        <f>'8.Humán'!K11-'31._Humán_önként'!K11</f>
        <v>0</v>
      </c>
      <c r="L11" s="540" t="e">
        <f>'8.Humán'!L11-'31._Humán_önként'!L11</f>
        <v>#VALUE!</v>
      </c>
    </row>
    <row r="12" spans="1:12" s="26" customFormat="1" ht="12.2" customHeight="1" x14ac:dyDescent="0.2">
      <c r="A12" s="1037" t="s">
        <v>92</v>
      </c>
      <c r="B12" s="330" t="s">
        <v>144</v>
      </c>
      <c r="C12" s="331">
        <f>'8.Humán'!C12-'31._Humán_önként'!C12</f>
        <v>0</v>
      </c>
      <c r="D12" s="340">
        <f>'8.Humán'!D12-'31._Humán_önként'!D12</f>
        <v>0</v>
      </c>
      <c r="E12" s="88">
        <f>'8.Humán'!E12-'31._Humán_önként'!E12</f>
        <v>0</v>
      </c>
      <c r="F12" s="88">
        <f>'8.Humán'!F12-'31._Humán_önként'!F12</f>
        <v>811280</v>
      </c>
      <c r="G12" s="88">
        <f>'8.Humán'!G12-'31._Humán_önként'!G12</f>
        <v>0</v>
      </c>
      <c r="H12" s="541">
        <f t="shared" si="1"/>
        <v>0</v>
      </c>
      <c r="I12" s="1087">
        <f>'8.Humán'!I12-'31._Humán_önként'!I12</f>
        <v>0</v>
      </c>
      <c r="J12" s="541">
        <f>'8.Humán'!J12-'31._Humán_önként'!J12</f>
        <v>1197258</v>
      </c>
      <c r="K12" s="541">
        <f>'8.Humán'!K12-'31._Humán_önként'!K12</f>
        <v>0</v>
      </c>
      <c r="L12" s="541">
        <f>'8.Humán'!L12-'31._Humán_önként'!L12</f>
        <v>147.57642244354599</v>
      </c>
    </row>
    <row r="13" spans="1:12" s="26" customFormat="1" ht="12.2" customHeight="1" x14ac:dyDescent="0.2">
      <c r="A13" s="1037" t="s">
        <v>93</v>
      </c>
      <c r="B13" s="330" t="s">
        <v>145</v>
      </c>
      <c r="C13" s="331">
        <f>'8.Humán'!C13-'31._Humán_önként'!C13</f>
        <v>0</v>
      </c>
      <c r="D13" s="340">
        <f>'8.Humán'!D13-'31._Humán_önként'!D13</f>
        <v>0</v>
      </c>
      <c r="E13" s="88">
        <f>'8.Humán'!E13-'31._Humán_önként'!E13</f>
        <v>0</v>
      </c>
      <c r="F13" s="88">
        <f>'8.Humán'!F13-'31._Humán_önként'!F13</f>
        <v>0</v>
      </c>
      <c r="G13" s="88">
        <f>'8.Humán'!G13-'31._Humán_önként'!G13</f>
        <v>0</v>
      </c>
      <c r="H13" s="541">
        <f t="shared" si="1"/>
        <v>0</v>
      </c>
      <c r="I13" s="1087">
        <f>'8.Humán'!I13-'31._Humán_önként'!I13</f>
        <v>0</v>
      </c>
      <c r="J13" s="541">
        <f>'8.Humán'!J13-'31._Humán_önként'!J13</f>
        <v>0</v>
      </c>
      <c r="K13" s="541">
        <f>'8.Humán'!K13-'31._Humán_önként'!K13</f>
        <v>0</v>
      </c>
      <c r="L13" s="541" t="e">
        <f>'8.Humán'!L13-'31._Humán_önként'!L13</f>
        <v>#VALUE!</v>
      </c>
    </row>
    <row r="14" spans="1:12" s="26" customFormat="1" ht="12.2" customHeight="1" x14ac:dyDescent="0.2">
      <c r="A14" s="1037" t="s">
        <v>90</v>
      </c>
      <c r="B14" s="330" t="s">
        <v>146</v>
      </c>
      <c r="C14" s="331">
        <f>'8.Humán'!C14-'31._Humán_önként'!C14</f>
        <v>0</v>
      </c>
      <c r="D14" s="340">
        <f>'8.Humán'!D14-'31._Humán_önként'!D14</f>
        <v>0</v>
      </c>
      <c r="E14" s="88">
        <f>'8.Humán'!E14-'31._Humán_önként'!E14</f>
        <v>0</v>
      </c>
      <c r="F14" s="88">
        <f>'8.Humán'!F14-'31._Humán_önként'!F14</f>
        <v>0</v>
      </c>
      <c r="G14" s="88">
        <f>'8.Humán'!G14-'31._Humán_önként'!G14</f>
        <v>0</v>
      </c>
      <c r="H14" s="541">
        <f t="shared" si="1"/>
        <v>0</v>
      </c>
      <c r="I14" s="1087">
        <f>'8.Humán'!I14-'31._Humán_önként'!I14</f>
        <v>0</v>
      </c>
      <c r="J14" s="541">
        <f>'8.Humán'!J14-'31._Humán_önként'!J14</f>
        <v>0</v>
      </c>
      <c r="K14" s="541">
        <f>'8.Humán'!K14-'31._Humán_önként'!K14</f>
        <v>0</v>
      </c>
      <c r="L14" s="541" t="e">
        <f>'8.Humán'!L14-'31._Humán_önként'!L14</f>
        <v>#VALUE!</v>
      </c>
    </row>
    <row r="15" spans="1:12" s="26" customFormat="1" ht="12.2" customHeight="1" x14ac:dyDescent="0.2">
      <c r="A15" s="1037" t="s">
        <v>147</v>
      </c>
      <c r="B15" s="330" t="s">
        <v>148</v>
      </c>
      <c r="C15" s="331">
        <f>'8.Humán'!C15-'31._Humán_önként'!C15</f>
        <v>0</v>
      </c>
      <c r="D15" s="340">
        <f>'8.Humán'!D15-'31._Humán_önként'!D15</f>
        <v>0</v>
      </c>
      <c r="E15" s="88">
        <f>'8.Humán'!E15-'31._Humán_önként'!E15</f>
        <v>0</v>
      </c>
      <c r="F15" s="88">
        <f>'8.Humán'!F15-'31._Humán_önként'!F15</f>
        <v>0</v>
      </c>
      <c r="G15" s="88">
        <f>'8.Humán'!G15-'31._Humán_önként'!G15</f>
        <v>0</v>
      </c>
      <c r="H15" s="541">
        <f t="shared" si="1"/>
        <v>0</v>
      </c>
      <c r="I15" s="1087">
        <f>'8.Humán'!I15-'31._Humán_önként'!I15</f>
        <v>0</v>
      </c>
      <c r="J15" s="541">
        <f>'8.Humán'!J15-'31._Humán_önként'!J15</f>
        <v>0</v>
      </c>
      <c r="K15" s="541">
        <f>'8.Humán'!K15-'31._Humán_önként'!K15</f>
        <v>0</v>
      </c>
      <c r="L15" s="541" t="e">
        <f>'8.Humán'!L15-'31._Humán_önként'!L15</f>
        <v>#VALUE!</v>
      </c>
    </row>
    <row r="16" spans="1:12" s="26" customFormat="1" ht="12.2" customHeight="1" x14ac:dyDescent="0.2">
      <c r="A16" s="1037" t="s">
        <v>149</v>
      </c>
      <c r="B16" s="330" t="s">
        <v>150</v>
      </c>
      <c r="C16" s="331">
        <f>'8.Humán'!C16-'31._Humán_önként'!C16</f>
        <v>0</v>
      </c>
      <c r="D16" s="340">
        <f>'8.Humán'!D16-'31._Humán_önként'!D16</f>
        <v>0</v>
      </c>
      <c r="E16" s="88">
        <f>'8.Humán'!E16-'31._Humán_önként'!E16</f>
        <v>0</v>
      </c>
      <c r="F16" s="88">
        <f>'8.Humán'!F16-'31._Humán_önként'!F16</f>
        <v>218720</v>
      </c>
      <c r="G16" s="88">
        <f>'8.Humán'!G16-'31._Humán_önként'!G16</f>
        <v>0</v>
      </c>
      <c r="H16" s="541">
        <f t="shared" si="1"/>
        <v>0</v>
      </c>
      <c r="I16" s="1087">
        <f>'8.Humán'!I16-'31._Humán_önként'!I16</f>
        <v>0</v>
      </c>
      <c r="J16" s="541">
        <f>'8.Humán'!J16-'31._Humán_önként'!J16</f>
        <v>323242</v>
      </c>
      <c r="K16" s="541">
        <f>'8.Humán'!K16-'31._Humán_önként'!K16</f>
        <v>0</v>
      </c>
      <c r="L16" s="541">
        <f>'8.Humán'!L16-'31._Humán_önként'!L16</f>
        <v>147.78803950256034</v>
      </c>
    </row>
    <row r="17" spans="1:12" s="26" customFormat="1" ht="12.2" customHeight="1" x14ac:dyDescent="0.2">
      <c r="A17" s="1037" t="s">
        <v>151</v>
      </c>
      <c r="B17" s="52" t="s">
        <v>152</v>
      </c>
      <c r="C17" s="331">
        <f>'8.Humán'!C17-'31._Humán_önként'!C17</f>
        <v>0</v>
      </c>
      <c r="D17" s="340">
        <f>'8.Humán'!D17-'31._Humán_önként'!D17</f>
        <v>0</v>
      </c>
      <c r="E17" s="88">
        <f>'8.Humán'!E17-'31._Humán_önként'!E17</f>
        <v>0</v>
      </c>
      <c r="F17" s="88">
        <f>'8.Humán'!F17-'31._Humán_önként'!F17</f>
        <v>0</v>
      </c>
      <c r="G17" s="88">
        <f>'8.Humán'!G17-'31._Humán_önként'!G17</f>
        <v>0</v>
      </c>
      <c r="H17" s="541">
        <f t="shared" si="1"/>
        <v>0</v>
      </c>
      <c r="I17" s="1087">
        <f>'8.Humán'!I17-'31._Humán_önként'!I17</f>
        <v>0</v>
      </c>
      <c r="J17" s="541">
        <f>'8.Humán'!J17-'31._Humán_önként'!J17</f>
        <v>0</v>
      </c>
      <c r="K17" s="541">
        <f>'8.Humán'!K17-'31._Humán_önként'!K17</f>
        <v>0</v>
      </c>
      <c r="L17" s="541" t="e">
        <f>'8.Humán'!L17-'31._Humán_önként'!L17</f>
        <v>#VALUE!</v>
      </c>
    </row>
    <row r="18" spans="1:12" s="26" customFormat="1" ht="12.2" customHeight="1" x14ac:dyDescent="0.2">
      <c r="A18" s="1037" t="s">
        <v>153</v>
      </c>
      <c r="B18" s="345" t="s">
        <v>302</v>
      </c>
      <c r="C18" s="121">
        <f>'8.Humán'!C18-'31._Humán_önként'!C18</f>
        <v>0</v>
      </c>
      <c r="D18" s="188">
        <f>'8.Humán'!D18-'31._Humán_önként'!D18</f>
        <v>0</v>
      </c>
      <c r="E18" s="90">
        <f>'8.Humán'!E18-'31._Humán_önként'!E18</f>
        <v>0</v>
      </c>
      <c r="F18" s="90">
        <f>'8.Humán'!F18-'31._Humán_önként'!F18</f>
        <v>0</v>
      </c>
      <c r="G18" s="90">
        <f>'8.Humán'!G18-'31._Humán_önként'!G18</f>
        <v>0</v>
      </c>
      <c r="H18" s="542">
        <f t="shared" si="1"/>
        <v>0</v>
      </c>
      <c r="I18" s="1088">
        <f>'8.Humán'!I18-'31._Humán_önként'!I18</f>
        <v>0</v>
      </c>
      <c r="J18" s="542">
        <f>'8.Humán'!J18-'31._Humán_önként'!J18</f>
        <v>0</v>
      </c>
      <c r="K18" s="542">
        <f>'8.Humán'!K18-'31._Humán_önként'!K18</f>
        <v>0</v>
      </c>
      <c r="L18" s="542" t="e">
        <f>'8.Humán'!L18-'31._Humán_önként'!L18</f>
        <v>#VALUE!</v>
      </c>
    </row>
    <row r="19" spans="1:12" s="54" customFormat="1" ht="12.2" customHeight="1" x14ac:dyDescent="0.2">
      <c r="A19" s="1037" t="s">
        <v>154</v>
      </c>
      <c r="B19" s="330" t="s">
        <v>155</v>
      </c>
      <c r="C19" s="331">
        <f>'8.Humán'!C19-'31._Humán_önként'!C19</f>
        <v>0</v>
      </c>
      <c r="D19" s="340">
        <f>'8.Humán'!D19-'31._Humán_önként'!D19</f>
        <v>0</v>
      </c>
      <c r="E19" s="88">
        <f>'8.Humán'!E19-'31._Humán_önként'!E19</f>
        <v>0</v>
      </c>
      <c r="F19" s="88">
        <f>'8.Humán'!F19-'31._Humán_önként'!F19</f>
        <v>0</v>
      </c>
      <c r="G19" s="88">
        <f>'8.Humán'!G19-'31._Humán_önként'!G19</f>
        <v>0</v>
      </c>
      <c r="H19" s="541">
        <f t="shared" si="1"/>
        <v>0</v>
      </c>
      <c r="I19" s="1087">
        <f>'8.Humán'!I19-'31._Humán_önként'!I19</f>
        <v>0</v>
      </c>
      <c r="J19" s="541">
        <f>'8.Humán'!J19-'31._Humán_önként'!J19</f>
        <v>0</v>
      </c>
      <c r="K19" s="541">
        <f>'8.Humán'!K19-'31._Humán_önként'!K19</f>
        <v>0</v>
      </c>
      <c r="L19" s="541" t="e">
        <f>'8.Humán'!L19-'31._Humán_önként'!L19</f>
        <v>#VALUE!</v>
      </c>
    </row>
    <row r="20" spans="1:12" s="54" customFormat="1" ht="12.2" customHeight="1" x14ac:dyDescent="0.2">
      <c r="A20" s="1037" t="s">
        <v>156</v>
      </c>
      <c r="B20" s="345" t="s">
        <v>275</v>
      </c>
      <c r="C20" s="333">
        <f>'8.Humán'!C20-'31._Humán_önként'!C20</f>
        <v>0</v>
      </c>
      <c r="D20" s="341">
        <f>'8.Humán'!D20-'31._Humán_önként'!D20</f>
        <v>0</v>
      </c>
      <c r="E20" s="88">
        <f>'8.Humán'!E20-'31._Humán_önként'!E20</f>
        <v>0</v>
      </c>
      <c r="F20" s="88">
        <f>'8.Humán'!F20-'31._Humán_önként'!F20</f>
        <v>0</v>
      </c>
      <c r="G20" s="331">
        <f>'8.Humán'!G20-'31._Humán_önként'!G20</f>
        <v>0</v>
      </c>
      <c r="H20" s="543">
        <f t="shared" si="1"/>
        <v>0</v>
      </c>
      <c r="I20" s="1089">
        <f>'8.Humán'!I20-'31._Humán_önként'!I20</f>
        <v>0</v>
      </c>
      <c r="J20" s="543">
        <f>'8.Humán'!J20-'31._Humán_önként'!J20</f>
        <v>0</v>
      </c>
      <c r="K20" s="543">
        <f>'8.Humán'!K20-'31._Humán_önként'!K20</f>
        <v>0</v>
      </c>
      <c r="L20" s="543" t="e">
        <f>'8.Humán'!L20-'31._Humán_önként'!L20</f>
        <v>#VALUE!</v>
      </c>
    </row>
    <row r="21" spans="1:12" s="54" customFormat="1" ht="12.2" customHeight="1" thickBot="1" x14ac:dyDescent="0.25">
      <c r="A21" s="1037" t="s">
        <v>276</v>
      </c>
      <c r="B21" s="52" t="s">
        <v>157</v>
      </c>
      <c r="C21" s="333">
        <f>'8.Humán'!C21-'31._Humán_önként'!C21</f>
        <v>0</v>
      </c>
      <c r="D21" s="341">
        <f>'8.Humán'!D21-'31._Humán_önként'!D21</f>
        <v>0</v>
      </c>
      <c r="E21" s="90">
        <f>'8.Humán'!E21-'31._Humán_önként'!E21</f>
        <v>0</v>
      </c>
      <c r="F21" s="90">
        <f>'8.Humán'!F21-'31._Humán_önként'!F21</f>
        <v>10366470</v>
      </c>
      <c r="G21" s="90">
        <f>'8.Humán'!G21-'31._Humán_önként'!G21</f>
        <v>0</v>
      </c>
      <c r="H21" s="544">
        <f t="shared" si="1"/>
        <v>0</v>
      </c>
      <c r="I21" s="1090">
        <f>'8.Humán'!I21-'31._Humán_önként'!I21</f>
        <v>0</v>
      </c>
      <c r="J21" s="544">
        <f>'8.Humán'!J21-'31._Humán_önként'!J21</f>
        <v>8981000</v>
      </c>
      <c r="K21" s="544">
        <f>'8.Humán'!K21-'31._Humán_önként'!K21</f>
        <v>0</v>
      </c>
      <c r="L21" s="544">
        <f>'8.Humán'!L21-'31._Humán_önként'!L21</f>
        <v>86.635084073942238</v>
      </c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SUM(C23:C25)</f>
        <v>0</v>
      </c>
      <c r="D22" s="127">
        <f t="shared" ref="D22:L22" si="2">SUM(D23:D25)</f>
        <v>0</v>
      </c>
      <c r="E22" s="582">
        <f t="shared" si="2"/>
        <v>414285</v>
      </c>
      <c r="F22" s="582">
        <f t="shared" si="2"/>
        <v>1617285</v>
      </c>
      <c r="G22" s="582">
        <f t="shared" si="2"/>
        <v>0</v>
      </c>
      <c r="H22" s="48">
        <f t="shared" si="1"/>
        <v>414285</v>
      </c>
      <c r="I22" s="175">
        <f t="shared" si="2"/>
        <v>0</v>
      </c>
      <c r="J22" s="48">
        <f t="shared" si="2"/>
        <v>1617285</v>
      </c>
      <c r="K22" s="48">
        <f t="shared" si="2"/>
        <v>0</v>
      </c>
      <c r="L22" s="48" t="e">
        <f t="shared" si="2"/>
        <v>#VALUE!</v>
      </c>
    </row>
    <row r="23" spans="1:12" s="54" customFormat="1" ht="12.2" customHeight="1" x14ac:dyDescent="0.2">
      <c r="A23" s="1037" t="s">
        <v>94</v>
      </c>
      <c r="B23" s="17" t="s">
        <v>159</v>
      </c>
      <c r="C23" s="331">
        <f>'8.Humán'!C23-'31._Humán_önként'!C23</f>
        <v>0</v>
      </c>
      <c r="D23" s="340">
        <f>'8.Humán'!D23-'31._Humán_önként'!D23</f>
        <v>0</v>
      </c>
      <c r="E23" s="584">
        <f>'8.Humán'!E23-'31._Humán_önként'!E23</f>
        <v>0</v>
      </c>
      <c r="F23" s="584">
        <f>'8.Humán'!F23-'31._Humán_önként'!F23</f>
        <v>0</v>
      </c>
      <c r="G23" s="584">
        <f>'8.Humán'!G23-'31._Humán_önként'!G23</f>
        <v>0</v>
      </c>
      <c r="H23" s="75">
        <f t="shared" si="1"/>
        <v>0</v>
      </c>
      <c r="I23" s="637">
        <f>'8.Humán'!I23-'31._Humán_önként'!I23</f>
        <v>0</v>
      </c>
      <c r="J23" s="75">
        <f>'8.Humán'!J23-'31._Humán_önként'!J23</f>
        <v>0</v>
      </c>
      <c r="K23" s="75">
        <f>'8.Humán'!K23-'31._Humán_önként'!K23</f>
        <v>0</v>
      </c>
      <c r="L23" s="75" t="e">
        <f>'8.Humán'!L23-'31._Humán_önként'!L23</f>
        <v>#VALUE!</v>
      </c>
    </row>
    <row r="24" spans="1:12" s="54" customFormat="1" ht="12.2" customHeight="1" x14ac:dyDescent="0.2">
      <c r="A24" s="1037" t="s">
        <v>95</v>
      </c>
      <c r="B24" s="330" t="s">
        <v>160</v>
      </c>
      <c r="C24" s="331">
        <f>'8.Humán'!C24-'31._Humán_önként'!C24</f>
        <v>0</v>
      </c>
      <c r="D24" s="340">
        <f>'8.Humán'!D24-'31._Humán_önként'!D24</f>
        <v>0</v>
      </c>
      <c r="E24" s="88">
        <f>'8.Humán'!E24-'31._Humán_önként'!E24</f>
        <v>0</v>
      </c>
      <c r="F24" s="88">
        <f>'8.Humán'!F24-'31._Humán_önként'!F24</f>
        <v>0</v>
      </c>
      <c r="G24" s="88">
        <f>'8.Humán'!G24-'31._Humán_önként'!G24</f>
        <v>0</v>
      </c>
      <c r="H24" s="541">
        <f t="shared" si="1"/>
        <v>0</v>
      </c>
      <c r="I24" s="1087">
        <f>'8.Humán'!I24-'31._Humán_önként'!I24</f>
        <v>0</v>
      </c>
      <c r="J24" s="541">
        <f>'8.Humán'!J24-'31._Humán_önként'!J24</f>
        <v>0</v>
      </c>
      <c r="K24" s="541">
        <f>'8.Humán'!K24-'31._Humán_önként'!K24</f>
        <v>0</v>
      </c>
      <c r="L24" s="541" t="e">
        <f>'8.Humán'!L24-'31._Humán_önként'!L24</f>
        <v>#VALUE!</v>
      </c>
    </row>
    <row r="25" spans="1:12" s="54" customFormat="1" ht="12.2" customHeight="1" x14ac:dyDescent="0.2">
      <c r="A25" s="1037" t="s">
        <v>96</v>
      </c>
      <c r="B25" s="330" t="s">
        <v>161</v>
      </c>
      <c r="C25" s="331">
        <f>'8.Humán'!C25-'31._Humán_önként'!C25</f>
        <v>0</v>
      </c>
      <c r="D25" s="340">
        <f>'8.Humán'!D25-'31._Humán_önként'!D25</f>
        <v>0</v>
      </c>
      <c r="E25" s="88">
        <f>'8.Humán'!E25-'31._Humán_önként'!E25</f>
        <v>414285</v>
      </c>
      <c r="F25" s="88">
        <f>'8.Humán'!F25-'31._Humán_önként'!F25</f>
        <v>1617285</v>
      </c>
      <c r="G25" s="88">
        <f>'8.Humán'!G25-'31._Humán_önként'!G25</f>
        <v>0</v>
      </c>
      <c r="H25" s="541">
        <f t="shared" si="1"/>
        <v>414285</v>
      </c>
      <c r="I25" s="1087">
        <f>'8.Humán'!I25-'31._Humán_önként'!I25</f>
        <v>0</v>
      </c>
      <c r="J25" s="541">
        <f>'8.Humán'!J25-'31._Humán_önként'!J25</f>
        <v>1617285</v>
      </c>
      <c r="K25" s="541">
        <f>'8.Humán'!K25-'31._Humán_önként'!K25</f>
        <v>0</v>
      </c>
      <c r="L25" s="541">
        <f>'8.Humán'!L25-'31._Humán_önként'!L25</f>
        <v>100</v>
      </c>
    </row>
    <row r="26" spans="1:12" s="54" customFormat="1" ht="12.2" customHeight="1" thickBot="1" x14ac:dyDescent="0.25">
      <c r="A26" s="1037" t="s">
        <v>317</v>
      </c>
      <c r="B26" s="335" t="s">
        <v>233</v>
      </c>
      <c r="C26" s="331">
        <f>'8.Humán'!C26-'31._Humán_önként'!C26</f>
        <v>0</v>
      </c>
      <c r="D26" s="340">
        <f>'8.Humán'!D26-'31._Humán_önként'!D26</f>
        <v>0</v>
      </c>
      <c r="E26" s="88">
        <f>'8.Humán'!E26-'31._Humán_önként'!E26</f>
        <v>0</v>
      </c>
      <c r="F26" s="88">
        <f>'8.Humán'!F26-'31._Humán_önként'!F26</f>
        <v>0</v>
      </c>
      <c r="G26" s="88">
        <f>'8.Humán'!G26-'31._Humán_önként'!G26</f>
        <v>0</v>
      </c>
      <c r="H26" s="545">
        <f t="shared" si="1"/>
        <v>0</v>
      </c>
      <c r="I26" s="1091">
        <f>'8.Humán'!I26-'31._Humán_önként'!I26</f>
        <v>0</v>
      </c>
      <c r="J26" s="545">
        <f>'8.Humán'!J26-'31._Humán_önként'!J26</f>
        <v>0</v>
      </c>
      <c r="K26" s="545">
        <f>'8.Humán'!K26-'31._Humán_önként'!K26</f>
        <v>0</v>
      </c>
      <c r="L26" s="545" t="e">
        <f>'8.Humán'!L26-'31._Humán_önként'!L26</f>
        <v>#VALUE!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30">
        <f>'8.Humán'!C27-'31._Humán_önként'!C27</f>
        <v>0</v>
      </c>
      <c r="D27" s="129">
        <f>'8.Humán'!D27-'31._Humán_önként'!D27</f>
        <v>0</v>
      </c>
      <c r="E27" s="585">
        <f>'8.Humán'!E27-'31._Humán_önként'!E27</f>
        <v>0</v>
      </c>
      <c r="F27" s="585">
        <f>'8.Humán'!F27-'31._Humán_önként'!F27</f>
        <v>0</v>
      </c>
      <c r="G27" s="585">
        <f>'8.Humán'!G27-'31._Humán_önként'!G27</f>
        <v>0</v>
      </c>
      <c r="H27" s="74">
        <f t="shared" si="1"/>
        <v>0</v>
      </c>
      <c r="I27" s="638">
        <f>'8.Humán'!I27-'31._Humán_önként'!I27</f>
        <v>0</v>
      </c>
      <c r="J27" s="74">
        <f>'8.Humán'!J27-'31._Humán_önként'!J27</f>
        <v>0</v>
      </c>
      <c r="K27" s="74">
        <f>'8.Humán'!K27-'31._Humán_önként'!K27</f>
        <v>0</v>
      </c>
      <c r="L27" s="74" t="e">
        <f>'8.Humán'!L27-'31._Humán_önként'!L27</f>
        <v>#VALUE!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+C29+C30</f>
        <v>0</v>
      </c>
      <c r="D28" s="127">
        <f t="shared" ref="D28:L28" si="3">+D29+D30</f>
        <v>0</v>
      </c>
      <c r="E28" s="582">
        <f t="shared" si="3"/>
        <v>0</v>
      </c>
      <c r="F28" s="582">
        <f t="shared" si="3"/>
        <v>0</v>
      </c>
      <c r="G28" s="582">
        <f t="shared" si="3"/>
        <v>0</v>
      </c>
      <c r="H28" s="74">
        <f t="shared" si="1"/>
        <v>0</v>
      </c>
      <c r="I28" s="638">
        <f t="shared" si="3"/>
        <v>0</v>
      </c>
      <c r="J28" s="74">
        <f t="shared" si="3"/>
        <v>0</v>
      </c>
      <c r="K28" s="74">
        <f t="shared" si="3"/>
        <v>0</v>
      </c>
      <c r="L28" s="74" t="e">
        <f t="shared" si="3"/>
        <v>#VALUE!</v>
      </c>
    </row>
    <row r="29" spans="1:12" s="54" customFormat="1" ht="12.2" customHeight="1" x14ac:dyDescent="0.2">
      <c r="A29" s="58" t="s">
        <v>100</v>
      </c>
      <c r="B29" s="59" t="s">
        <v>160</v>
      </c>
      <c r="C29" s="122">
        <f>'8.Humán'!C29-'31._Humán_önként'!C29</f>
        <v>0</v>
      </c>
      <c r="D29" s="189">
        <f>'8.Humán'!D29-'31._Humán_önként'!D29</f>
        <v>0</v>
      </c>
      <c r="E29" s="586">
        <f>'8.Humán'!E29-'31._Humán_önként'!E29</f>
        <v>0</v>
      </c>
      <c r="F29" s="586">
        <f>'8.Humán'!F29-'31._Humán_önként'!F29</f>
        <v>0</v>
      </c>
      <c r="G29" s="586">
        <f>'8.Humán'!G29-'31._Humán_önként'!G29</f>
        <v>0</v>
      </c>
      <c r="H29" s="546">
        <f t="shared" si="1"/>
        <v>0</v>
      </c>
      <c r="I29" s="1092">
        <f>'8.Humán'!I29-'31._Humán_önként'!I29</f>
        <v>0</v>
      </c>
      <c r="J29" s="546">
        <f>'8.Humán'!J29-'31._Humán_önként'!J29</f>
        <v>0</v>
      </c>
      <c r="K29" s="546">
        <f>'8.Humán'!K29-'31._Humán_önként'!K29</f>
        <v>0</v>
      </c>
      <c r="L29" s="546" t="e">
        <f>'8.Humán'!L29-'31._Humán_önként'!L29</f>
        <v>#VALUE!</v>
      </c>
    </row>
    <row r="30" spans="1:12" s="54" customFormat="1" ht="12.2" customHeight="1" x14ac:dyDescent="0.2">
      <c r="A30" s="58" t="s">
        <v>101</v>
      </c>
      <c r="B30" s="336" t="s">
        <v>163</v>
      </c>
      <c r="C30" s="120">
        <f>'8.Humán'!C30-'31._Humán_önként'!C30</f>
        <v>0</v>
      </c>
      <c r="D30" s="193">
        <f>'8.Humán'!D30-'31._Humán_önként'!D30</f>
        <v>0</v>
      </c>
      <c r="E30" s="107">
        <f>'8.Humán'!E30-'31._Humán_önként'!E30</f>
        <v>0</v>
      </c>
      <c r="F30" s="107">
        <f>'8.Humán'!F30-'31._Humán_önként'!F30</f>
        <v>0</v>
      </c>
      <c r="G30" s="339">
        <f>'8.Humán'!G30-'31._Humán_önként'!G30</f>
        <v>0</v>
      </c>
      <c r="H30" s="534">
        <f t="shared" si="1"/>
        <v>0</v>
      </c>
      <c r="I30" s="630">
        <f>'8.Humán'!I30-'31._Humán_önként'!I30</f>
        <v>0</v>
      </c>
      <c r="J30" s="534">
        <f>'8.Humán'!J30-'31._Humán_önként'!J30</f>
        <v>0</v>
      </c>
      <c r="K30" s="534">
        <f>'8.Humán'!K30-'31._Humán_önként'!K30</f>
        <v>0</v>
      </c>
      <c r="L30" s="534" t="e">
        <f>'8.Humán'!L30-'31._Humán_önként'!L30</f>
        <v>#VALUE!</v>
      </c>
    </row>
    <row r="31" spans="1:12" s="54" customFormat="1" ht="12.2" customHeight="1" thickBot="1" x14ac:dyDescent="0.25">
      <c r="A31" s="1037" t="s">
        <v>281</v>
      </c>
      <c r="B31" s="102" t="s">
        <v>165</v>
      </c>
      <c r="C31" s="92">
        <f>'8.Humán'!C31-'31._Humán_önként'!C31</f>
        <v>0</v>
      </c>
      <c r="D31" s="190">
        <f>'8.Humán'!D31-'31._Humán_önként'!D31</f>
        <v>0</v>
      </c>
      <c r="E31" s="587">
        <f>'8.Humán'!E31-'31._Humán_önként'!E31</f>
        <v>0</v>
      </c>
      <c r="F31" s="587">
        <f>'8.Humán'!F31-'31._Humán_önként'!F31</f>
        <v>0</v>
      </c>
      <c r="G31" s="587">
        <f>'8.Humán'!G31-'31._Humán_önként'!G31</f>
        <v>0</v>
      </c>
      <c r="H31" s="547">
        <f t="shared" si="1"/>
        <v>0</v>
      </c>
      <c r="I31" s="1093">
        <f>'8.Humán'!I31-'31._Humán_önként'!I31</f>
        <v>0</v>
      </c>
      <c r="J31" s="547">
        <f>'8.Humán'!J31-'31._Humán_önként'!J31</f>
        <v>0</v>
      </c>
      <c r="K31" s="547">
        <f>'8.Humán'!K31-'31._Humán_önként'!K31</f>
        <v>0</v>
      </c>
      <c r="L31" s="547" t="e">
        <f>'8.Humán'!L31-'31._Humán_önként'!L31</f>
        <v>#VALUE!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+C33+C34+C35</f>
        <v>0</v>
      </c>
      <c r="D32" s="127">
        <f t="shared" ref="D32:L32" si="4">+D33+D34+D35</f>
        <v>0</v>
      </c>
      <c r="E32" s="582">
        <f t="shared" si="4"/>
        <v>0</v>
      </c>
      <c r="F32" s="582">
        <f t="shared" si="4"/>
        <v>0</v>
      </c>
      <c r="G32" s="582">
        <f t="shared" si="4"/>
        <v>0</v>
      </c>
      <c r="H32" s="74">
        <f t="shared" si="1"/>
        <v>0</v>
      </c>
      <c r="I32" s="638">
        <f t="shared" si="4"/>
        <v>0</v>
      </c>
      <c r="J32" s="74">
        <f t="shared" si="4"/>
        <v>0</v>
      </c>
      <c r="K32" s="74">
        <f t="shared" si="4"/>
        <v>0</v>
      </c>
      <c r="L32" s="74" t="e">
        <f t="shared" si="4"/>
        <v>#VALUE!</v>
      </c>
    </row>
    <row r="33" spans="1:12" s="54" customFormat="1" ht="12.2" customHeight="1" x14ac:dyDescent="0.2">
      <c r="A33" s="58" t="s">
        <v>89</v>
      </c>
      <c r="B33" s="59" t="s">
        <v>167</v>
      </c>
      <c r="C33" s="122">
        <f>'8.Humán'!C33-'31._Humán_önként'!C33</f>
        <v>0</v>
      </c>
      <c r="D33" s="189">
        <f>'8.Humán'!D33-'31._Humán_önként'!D33</f>
        <v>0</v>
      </c>
      <c r="E33" s="586">
        <f>'8.Humán'!E33-'31._Humán_önként'!E33</f>
        <v>0</v>
      </c>
      <c r="F33" s="586">
        <f>'8.Humán'!F33-'31._Humán_önként'!F33</f>
        <v>0</v>
      </c>
      <c r="G33" s="586">
        <f>'8.Humán'!G33-'31._Humán_önként'!G33</f>
        <v>0</v>
      </c>
      <c r="H33" s="546">
        <f t="shared" si="1"/>
        <v>0</v>
      </c>
      <c r="I33" s="1092">
        <f>'8.Humán'!I33-'31._Humán_önként'!I33</f>
        <v>0</v>
      </c>
      <c r="J33" s="546">
        <f>'8.Humán'!J33-'31._Humán_önként'!J33</f>
        <v>0</v>
      </c>
      <c r="K33" s="546">
        <f>'8.Humán'!K33-'31._Humán_önként'!K33</f>
        <v>0</v>
      </c>
      <c r="L33" s="546" t="e">
        <f>'8.Humán'!L33-'31._Humán_önként'!L33</f>
        <v>#VALUE!</v>
      </c>
    </row>
    <row r="34" spans="1:12" s="54" customFormat="1" ht="12.2" customHeight="1" x14ac:dyDescent="0.2">
      <c r="A34" s="58" t="s">
        <v>102</v>
      </c>
      <c r="B34" s="336" t="s">
        <v>168</v>
      </c>
      <c r="C34" s="120">
        <f>'8.Humán'!C34-'31._Humán_önként'!C34</f>
        <v>0</v>
      </c>
      <c r="D34" s="193">
        <f>'8.Humán'!D34-'31._Humán_önként'!D34</f>
        <v>0</v>
      </c>
      <c r="E34" s="107">
        <f>'8.Humán'!E34-'31._Humán_önként'!E34</f>
        <v>0</v>
      </c>
      <c r="F34" s="107">
        <f>'8.Humán'!F34-'31._Humán_önként'!F34</f>
        <v>0</v>
      </c>
      <c r="G34" s="339">
        <f>'8.Humán'!G34-'31._Humán_önként'!G34</f>
        <v>0</v>
      </c>
      <c r="H34" s="534">
        <f t="shared" si="1"/>
        <v>0</v>
      </c>
      <c r="I34" s="630">
        <f>'8.Humán'!I34-'31._Humán_önként'!I34</f>
        <v>0</v>
      </c>
      <c r="J34" s="534">
        <f>'8.Humán'!J34-'31._Humán_önként'!J34</f>
        <v>0</v>
      </c>
      <c r="K34" s="534">
        <f>'8.Humán'!K34-'31._Humán_önként'!K34</f>
        <v>0</v>
      </c>
      <c r="L34" s="534" t="e">
        <f>'8.Humán'!L34-'31._Humán_önként'!L34</f>
        <v>#VALUE!</v>
      </c>
    </row>
    <row r="35" spans="1:12" s="54" customFormat="1" ht="12.2" customHeight="1" thickBot="1" x14ac:dyDescent="0.25">
      <c r="A35" s="1037" t="s">
        <v>103</v>
      </c>
      <c r="B35" s="62" t="s">
        <v>169</v>
      </c>
      <c r="C35" s="92">
        <f>'8.Humán'!C35-'31._Humán_önként'!C35</f>
        <v>0</v>
      </c>
      <c r="D35" s="190">
        <f>'8.Humán'!D35-'31._Humán_önként'!D35</f>
        <v>0</v>
      </c>
      <c r="E35" s="587">
        <f>'8.Humán'!E35-'31._Humán_önként'!E35</f>
        <v>0</v>
      </c>
      <c r="F35" s="587">
        <f>'8.Humán'!F35-'31._Humán_önként'!F35</f>
        <v>0</v>
      </c>
      <c r="G35" s="587">
        <f>'8.Humán'!G35-'31._Humán_önként'!G35</f>
        <v>0</v>
      </c>
      <c r="H35" s="548">
        <f t="shared" si="1"/>
        <v>0</v>
      </c>
      <c r="I35" s="1094">
        <f>'8.Humán'!I35-'31._Humán_önként'!I35</f>
        <v>0</v>
      </c>
      <c r="J35" s="548">
        <f>'8.Humán'!J35-'31._Humán_önként'!J35</f>
        <v>0</v>
      </c>
      <c r="K35" s="548">
        <f>'8.Humán'!K35-'31._Humán_önként'!K35</f>
        <v>0</v>
      </c>
      <c r="L35" s="548" t="e">
        <f>'8.Humán'!L35-'31._Humán_önként'!L35</f>
        <v>#VALUE!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30">
        <f>'8.Humán'!C36-'31._Humán_önként'!C36</f>
        <v>0</v>
      </c>
      <c r="D36" s="129">
        <f>'8.Humán'!D36-'31._Humán_önként'!D36</f>
        <v>0</v>
      </c>
      <c r="E36" s="585">
        <f>'8.Humán'!E36-'31._Humán_önként'!E36</f>
        <v>0</v>
      </c>
      <c r="F36" s="585">
        <f>'8.Humán'!F36-'31._Humán_önként'!F36</f>
        <v>0</v>
      </c>
      <c r="G36" s="585">
        <f>'8.Humán'!G36-'31._Humán_önként'!G36</f>
        <v>0</v>
      </c>
      <c r="H36" s="74">
        <f t="shared" si="1"/>
        <v>0</v>
      </c>
      <c r="I36" s="638">
        <f>'8.Humán'!I36-'31._Humán_önként'!I36</f>
        <v>0</v>
      </c>
      <c r="J36" s="74">
        <f>'8.Humán'!J36-'31._Humán_önként'!J36</f>
        <v>0</v>
      </c>
      <c r="K36" s="74">
        <f>'8.Humán'!K36-'31._Humán_önként'!K36</f>
        <v>0</v>
      </c>
      <c r="L36" s="74" t="e">
        <f>'8.Humán'!L36-'31._Humán_önként'!L36</f>
        <v>#VALUE!</v>
      </c>
    </row>
    <row r="37" spans="1:12" s="26" customFormat="1" ht="12.2" customHeight="1" thickBot="1" x14ac:dyDescent="0.25">
      <c r="A37" s="1038" t="s">
        <v>104</v>
      </c>
      <c r="B37" s="337" t="s">
        <v>165</v>
      </c>
      <c r="C37" s="130">
        <f>'8.Humán'!C37-'31._Humán_önként'!C37</f>
        <v>0</v>
      </c>
      <c r="D37" s="129">
        <f>'8.Humán'!D37-'31._Humán_önként'!D37</f>
        <v>0</v>
      </c>
      <c r="E37" s="588">
        <f>'8.Humán'!E37-'31._Humán_önként'!E37</f>
        <v>0</v>
      </c>
      <c r="F37" s="588">
        <f>'8.Humán'!F37-'31._Humán_önként'!F37</f>
        <v>0</v>
      </c>
      <c r="G37" s="588">
        <f>'8.Humán'!G37-'31._Humán_önként'!G37</f>
        <v>0</v>
      </c>
      <c r="H37" s="549">
        <f t="shared" si="1"/>
        <v>0</v>
      </c>
      <c r="I37" s="1095">
        <f>'8.Humán'!I37-'31._Humán_önként'!I37</f>
        <v>0</v>
      </c>
      <c r="J37" s="549">
        <f>'8.Humán'!J37-'31._Humán_önként'!J37</f>
        <v>0</v>
      </c>
      <c r="K37" s="549">
        <f>'8.Humán'!K37-'31._Humán_önként'!K37</f>
        <v>0</v>
      </c>
      <c r="L37" s="549" t="e">
        <f>'8.Humán'!L37-'31._Humán_önként'!L37</f>
        <v>#VALUE!</v>
      </c>
    </row>
    <row r="38" spans="1:12" s="26" customFormat="1" ht="12.2" customHeight="1" thickBot="1" x14ac:dyDescent="0.25">
      <c r="A38" s="55" t="s">
        <v>18</v>
      </c>
      <c r="B38" s="56" t="s">
        <v>555</v>
      </c>
      <c r="C38" s="130">
        <f>'8.Humán'!C38-'31._Humán_önként'!C38</f>
        <v>0</v>
      </c>
      <c r="D38" s="129">
        <f>'8.Humán'!D38-'31._Humán_önként'!D38</f>
        <v>0</v>
      </c>
      <c r="E38" s="585">
        <f>'8.Humán'!E38-'31._Humán_önként'!E38</f>
        <v>0</v>
      </c>
      <c r="F38" s="585">
        <f>'8.Humán'!F38-'31._Humán_önként'!F38</f>
        <v>0</v>
      </c>
      <c r="G38" s="585">
        <f>'8.Humán'!G38-'31._Humán_önként'!G38</f>
        <v>0</v>
      </c>
      <c r="H38" s="74">
        <f t="shared" si="1"/>
        <v>0</v>
      </c>
      <c r="I38" s="638">
        <f>'8.Humán'!I38-'31._Humán_önként'!I38</f>
        <v>0</v>
      </c>
      <c r="J38" s="74">
        <f>'8.Humán'!J38-'31._Humán_önként'!J38</f>
        <v>0</v>
      </c>
      <c r="K38" s="74">
        <f>'8.Humán'!K38-'31._Humán_önként'!K38</f>
        <v>0</v>
      </c>
      <c r="L38" s="74" t="e">
        <f>'8.Humán'!L38-'31._Humán_önként'!L38</f>
        <v>#VALUE!</v>
      </c>
    </row>
    <row r="39" spans="1:12" s="26" customFormat="1" ht="12.2" customHeight="1" x14ac:dyDescent="0.2">
      <c r="A39" s="12" t="s">
        <v>107</v>
      </c>
      <c r="B39" s="95" t="s">
        <v>212</v>
      </c>
      <c r="C39" s="131">
        <f>'8.Humán'!C39-'31._Humán_önként'!C39</f>
        <v>0</v>
      </c>
      <c r="D39" s="194">
        <f>'8.Humán'!D39-'31._Humán_önként'!D39</f>
        <v>0</v>
      </c>
      <c r="E39" s="589">
        <f>'8.Humán'!E39-'31._Humán_önként'!E39</f>
        <v>0</v>
      </c>
      <c r="F39" s="589">
        <f>'8.Humán'!F39-'31._Humán_önként'!F39</f>
        <v>0</v>
      </c>
      <c r="G39" s="589">
        <f>'8.Humán'!G39-'31._Humán_önként'!G39</f>
        <v>0</v>
      </c>
      <c r="H39" s="550">
        <f t="shared" si="1"/>
        <v>0</v>
      </c>
      <c r="I39" s="1096">
        <f>'8.Humán'!I39-'31._Humán_önként'!I39</f>
        <v>0</v>
      </c>
      <c r="J39" s="550">
        <f>'8.Humán'!J39-'31._Humán_önként'!J39</f>
        <v>0</v>
      </c>
      <c r="K39" s="550">
        <f>'8.Humán'!K39-'31._Humán_önként'!K39</f>
        <v>0</v>
      </c>
      <c r="L39" s="550" t="e">
        <f>'8.Humán'!L39-'31._Humán_önként'!L39</f>
        <v>#VALUE!</v>
      </c>
    </row>
    <row r="40" spans="1:12" s="26" customFormat="1" ht="12.2" customHeight="1" x14ac:dyDescent="0.2">
      <c r="A40" s="1003" t="s">
        <v>108</v>
      </c>
      <c r="B40" s="346" t="s">
        <v>213</v>
      </c>
      <c r="C40" s="338">
        <f>'8.Humán'!C40-'31._Humán_önként'!C40</f>
        <v>0</v>
      </c>
      <c r="D40" s="342">
        <f>'8.Humán'!D40-'31._Humán_önként'!D40</f>
        <v>0</v>
      </c>
      <c r="E40" s="590">
        <f>'8.Humán'!E40-'31._Humán_önként'!E40</f>
        <v>0</v>
      </c>
      <c r="F40" s="590">
        <f>'8.Humán'!F40-'31._Humán_önként'!F40</f>
        <v>0</v>
      </c>
      <c r="G40" s="590">
        <f>'8.Humán'!G40-'31._Humán_önként'!G40</f>
        <v>0</v>
      </c>
      <c r="H40" s="551">
        <f t="shared" si="1"/>
        <v>0</v>
      </c>
      <c r="I40" s="1097">
        <f>'8.Humán'!I40-'31._Humán_önként'!I40</f>
        <v>0</v>
      </c>
      <c r="J40" s="551">
        <f>'8.Humán'!J40-'31._Humán_önként'!J40</f>
        <v>0</v>
      </c>
      <c r="K40" s="551">
        <f>'8.Humán'!K40-'31._Humán_önként'!K40</f>
        <v>0</v>
      </c>
      <c r="L40" s="551" t="e">
        <f>'8.Humán'!L40-'31._Humán_önként'!L40</f>
        <v>#VALUE!</v>
      </c>
    </row>
    <row r="41" spans="1:12" s="26" customFormat="1" ht="12.2" customHeight="1" thickBot="1" x14ac:dyDescent="0.25">
      <c r="A41" s="1003" t="s">
        <v>323</v>
      </c>
      <c r="B41" s="103" t="s">
        <v>165</v>
      </c>
      <c r="C41" s="133">
        <f>'8.Humán'!C41-'31._Humán_önként'!C41</f>
        <v>0</v>
      </c>
      <c r="D41" s="132">
        <f>'8.Humán'!D41-'31._Humán_önként'!D41</f>
        <v>0</v>
      </c>
      <c r="E41" s="591">
        <f>'8.Humán'!E41-'31._Humán_önként'!E41</f>
        <v>0</v>
      </c>
      <c r="F41" s="591">
        <f>'8.Humán'!F41-'31._Humán_önként'!F41</f>
        <v>0</v>
      </c>
      <c r="G41" s="591">
        <f>'8.Humán'!G41-'31._Humán_önként'!G41</f>
        <v>0</v>
      </c>
      <c r="H41" s="552">
        <f t="shared" si="1"/>
        <v>0</v>
      </c>
      <c r="I41" s="1098">
        <f>'8.Humán'!I41-'31._Humán_önként'!I41</f>
        <v>0</v>
      </c>
      <c r="J41" s="552">
        <f>'8.Humán'!J41-'31._Humán_önként'!J41</f>
        <v>0</v>
      </c>
      <c r="K41" s="552">
        <f>'8.Humán'!K41-'31._Humán_önként'!K41</f>
        <v>0</v>
      </c>
      <c r="L41" s="552" t="e">
        <f>'8.Humán'!L41-'31._Humán_önként'!L41</f>
        <v>#VALUE!</v>
      </c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0</v>
      </c>
      <c r="D42" s="127">
        <f t="shared" ref="D42:L42" si="5">+D10+D22+D27+D28+D32+D36+D38</f>
        <v>0</v>
      </c>
      <c r="E42" s="582">
        <f t="shared" si="5"/>
        <v>414285</v>
      </c>
      <c r="F42" s="582">
        <f t="shared" si="5"/>
        <v>13013755</v>
      </c>
      <c r="G42" s="582">
        <f t="shared" si="5"/>
        <v>0</v>
      </c>
      <c r="H42" s="74">
        <f t="shared" si="1"/>
        <v>414285</v>
      </c>
      <c r="I42" s="638">
        <f t="shared" si="5"/>
        <v>0</v>
      </c>
      <c r="J42" s="74">
        <f t="shared" si="5"/>
        <v>12118785</v>
      </c>
      <c r="K42" s="74">
        <f t="shared" si="5"/>
        <v>0</v>
      </c>
      <c r="L42" s="74" t="e">
        <f t="shared" si="5"/>
        <v>#VALUE!</v>
      </c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SUM(C44:C47)</f>
        <v>397012765</v>
      </c>
      <c r="D43" s="127">
        <f t="shared" ref="D43:L43" si="6">SUM(D44:D47)</f>
        <v>402445870</v>
      </c>
      <c r="E43" s="582">
        <f t="shared" si="6"/>
        <v>515794972</v>
      </c>
      <c r="F43" s="582">
        <f t="shared" si="6"/>
        <v>779551635</v>
      </c>
      <c r="G43" s="582">
        <f t="shared" si="6"/>
        <v>0</v>
      </c>
      <c r="H43" s="74">
        <f t="shared" si="1"/>
        <v>113349102</v>
      </c>
      <c r="I43" s="638">
        <f t="shared" si="6"/>
        <v>332580</v>
      </c>
      <c r="J43" s="74">
        <f t="shared" si="6"/>
        <v>532078292</v>
      </c>
      <c r="K43" s="74" t="e">
        <f t="shared" si="6"/>
        <v>#VALUE!</v>
      </c>
      <c r="L43" s="74" t="e">
        <f t="shared" si="6"/>
        <v>#VALUE!</v>
      </c>
    </row>
    <row r="44" spans="1:12" s="26" customFormat="1" ht="12.2" customHeight="1" x14ac:dyDescent="0.2">
      <c r="A44" s="58" t="s">
        <v>171</v>
      </c>
      <c r="B44" s="59" t="s">
        <v>131</v>
      </c>
      <c r="C44" s="122">
        <f>'8.Humán'!C44-'31._Humán_önként'!C44</f>
        <v>0</v>
      </c>
      <c r="D44" s="189">
        <f>'8.Humán'!D44-'31._Humán_önként'!D44</f>
        <v>6117361</v>
      </c>
      <c r="E44" s="586">
        <f>'8.Humán'!E44-'31._Humán_önként'!E44</f>
        <v>6117361</v>
      </c>
      <c r="F44" s="586">
        <f>'8.Humán'!F44-'31._Humán_önként'!F44</f>
        <v>6117361</v>
      </c>
      <c r="G44" s="586">
        <f>'8.Humán'!G44-'31._Humán_önként'!G44</f>
        <v>0</v>
      </c>
      <c r="H44" s="546">
        <f t="shared" si="1"/>
        <v>0</v>
      </c>
      <c r="I44" s="1092">
        <f>'8.Humán'!I44-'31._Humán_önként'!I44</f>
        <v>0</v>
      </c>
      <c r="J44" s="546">
        <f>'8.Humán'!J44-'31._Humán_önként'!J44</f>
        <v>6117361</v>
      </c>
      <c r="K44" s="546">
        <f>'8.Humán'!K44-'31._Humán_önként'!K44</f>
        <v>0</v>
      </c>
      <c r="L44" s="546">
        <f>'8.Humán'!L44-'31._Humán_önként'!L44</f>
        <v>100</v>
      </c>
    </row>
    <row r="45" spans="1:12" s="26" customFormat="1" ht="12.2" customHeight="1" x14ac:dyDescent="0.2">
      <c r="A45" s="71" t="s">
        <v>172</v>
      </c>
      <c r="B45" s="59" t="s">
        <v>186</v>
      </c>
      <c r="C45" s="120">
        <f>'8.Humán'!C45-'31._Humán_önként'!C45</f>
        <v>0</v>
      </c>
      <c r="D45" s="193">
        <f>'8.Humán'!D45-'31._Humán_önként'!D45</f>
        <v>0</v>
      </c>
      <c r="E45" s="91">
        <f>'8.Humán'!E45-'31._Humán_önként'!E45</f>
        <v>0</v>
      </c>
      <c r="F45" s="91">
        <f>'8.Humán'!F45-'31._Humán_önként'!F45</f>
        <v>0</v>
      </c>
      <c r="G45" s="91">
        <f>'8.Humán'!G45-'31._Humán_önként'!G45</f>
        <v>0</v>
      </c>
      <c r="H45" s="553">
        <f t="shared" si="1"/>
        <v>0</v>
      </c>
      <c r="I45" s="1099">
        <f>'8.Humán'!I45-'31._Humán_önként'!I45</f>
        <v>0</v>
      </c>
      <c r="J45" s="553">
        <f>'8.Humán'!J45-'31._Humán_önként'!J45</f>
        <v>0</v>
      </c>
      <c r="K45" s="553">
        <f>'8.Humán'!K45-'31._Humán_önként'!K45</f>
        <v>0</v>
      </c>
      <c r="L45" s="553" t="e">
        <f>'8.Humán'!L45-'31._Humán_önként'!L45</f>
        <v>#VALUE!</v>
      </c>
    </row>
    <row r="46" spans="1:12" s="26" customFormat="1" ht="12.2" customHeight="1" x14ac:dyDescent="0.2">
      <c r="A46" s="1037" t="s">
        <v>173</v>
      </c>
      <c r="B46" s="336" t="s">
        <v>177</v>
      </c>
      <c r="C46" s="339">
        <f>'8.Humán'!C46-'31._Humán_önként'!C46</f>
        <v>397012765</v>
      </c>
      <c r="D46" s="323">
        <f>'8.Humán'!D46-'31._Humán_önként'!D46</f>
        <v>396328509</v>
      </c>
      <c r="E46" s="107">
        <f>'8.Humán'!E46-'31._Humán_önként'!E46</f>
        <v>509677611</v>
      </c>
      <c r="F46" s="107">
        <f>'8.Humán'!F46-'31._Humán_önként'!F46</f>
        <v>771934274</v>
      </c>
      <c r="G46" s="107">
        <f>'8.Humán'!G46-'31._Humán_önként'!G46</f>
        <v>0</v>
      </c>
      <c r="H46" s="534">
        <f t="shared" si="1"/>
        <v>113349102</v>
      </c>
      <c r="I46" s="630">
        <f>'8.Humán'!I46-'31._Humán_önként'!I46</f>
        <v>0</v>
      </c>
      <c r="J46" s="534">
        <f>'8.Humán'!J46-'31._Humán_önként'!J46</f>
        <v>525628351</v>
      </c>
      <c r="K46" s="534" t="e">
        <f>'8.Humán'!K46-'31._Humán_önként'!K46</f>
        <v>#VALUE!</v>
      </c>
      <c r="L46" s="534">
        <f>'8.Humán'!L46-'31._Humán_önként'!L46</f>
        <v>68.092371164750219</v>
      </c>
    </row>
    <row r="47" spans="1:12" s="54" customFormat="1" ht="12.2" customHeight="1" thickBot="1" x14ac:dyDescent="0.25">
      <c r="A47" s="58" t="s">
        <v>178</v>
      </c>
      <c r="B47" s="62" t="s">
        <v>179</v>
      </c>
      <c r="C47" s="1034">
        <f>'8.Humán'!C47-'31._Humán_önként'!C47</f>
        <v>0</v>
      </c>
      <c r="D47" s="195">
        <f>'8.Humán'!D47-'31._Humán_önként'!D47</f>
        <v>0</v>
      </c>
      <c r="E47" s="587">
        <f>'8.Humán'!E47-'31._Humán_önként'!E47</f>
        <v>0</v>
      </c>
      <c r="F47" s="587">
        <f>'8.Humán'!F47-'31._Humán_önként'!F47</f>
        <v>1500000</v>
      </c>
      <c r="G47" s="587">
        <f>'8.Humán'!G47-'31._Humán_önként'!G47</f>
        <v>0</v>
      </c>
      <c r="H47" s="548">
        <f t="shared" si="1"/>
        <v>0</v>
      </c>
      <c r="I47" s="1094">
        <f>'8.Humán'!I47-'31._Humán_önként'!I47</f>
        <v>332580</v>
      </c>
      <c r="J47" s="548">
        <f>'8.Humán'!J47-'31._Humán_önként'!J47</f>
        <v>332580</v>
      </c>
      <c r="K47" s="548">
        <f>'8.Humán'!K47-'31._Humán_önként'!K47</f>
        <v>22.172000000000001</v>
      </c>
      <c r="L47" s="548">
        <f>'8.Humán'!L47-'31._Humán_önként'!L47</f>
        <v>22.172000000000001</v>
      </c>
    </row>
    <row r="48" spans="1:12" s="54" customFormat="1" ht="15" customHeight="1" thickBot="1" x14ac:dyDescent="0.25">
      <c r="A48" s="63" t="s">
        <v>21</v>
      </c>
      <c r="B48" s="524" t="s">
        <v>174</v>
      </c>
      <c r="C48" s="135">
        <f>+C42+C43</f>
        <v>397012765</v>
      </c>
      <c r="D48" s="134">
        <f t="shared" ref="D48:L48" si="7">+D42+D43</f>
        <v>402445870</v>
      </c>
      <c r="E48" s="592">
        <f t="shared" si="7"/>
        <v>516209257</v>
      </c>
      <c r="F48" s="592">
        <f t="shared" si="7"/>
        <v>792565390</v>
      </c>
      <c r="G48" s="592">
        <f t="shared" si="7"/>
        <v>0</v>
      </c>
      <c r="H48" s="557">
        <f>+E48-D48</f>
        <v>113763387</v>
      </c>
      <c r="I48" s="1100">
        <f t="shared" si="7"/>
        <v>332580</v>
      </c>
      <c r="J48" s="557">
        <f t="shared" si="7"/>
        <v>544197077</v>
      </c>
      <c r="K48" s="557" t="e">
        <f t="shared" si="7"/>
        <v>#VALUE!</v>
      </c>
      <c r="L48" s="557" t="e">
        <f t="shared" si="7"/>
        <v>#VALUE!</v>
      </c>
    </row>
    <row r="49" spans="1:12" s="54" customFormat="1" ht="15" customHeight="1" x14ac:dyDescent="0.2">
      <c r="A49" s="64"/>
      <c r="B49" s="65"/>
      <c r="C49" s="66"/>
      <c r="D49" s="66"/>
      <c r="E49" s="66"/>
      <c r="F49" s="66"/>
      <c r="G49" s="66"/>
      <c r="H49" s="66"/>
      <c r="I49" s="66"/>
      <c r="J49" s="66"/>
      <c r="K49" s="66"/>
      <c r="L49" s="66"/>
    </row>
    <row r="50" spans="1:12" s="54" customFormat="1" ht="15" customHeight="1" x14ac:dyDescent="0.2">
      <c r="A50" s="64"/>
      <c r="B50" s="65"/>
      <c r="C50" s="66"/>
      <c r="D50" s="66"/>
      <c r="E50" s="66"/>
      <c r="F50" s="66"/>
      <c r="G50" s="66"/>
      <c r="H50" s="66"/>
      <c r="I50" s="66"/>
      <c r="J50" s="66"/>
      <c r="K50" s="66"/>
      <c r="L50" s="66"/>
    </row>
    <row r="51" spans="1:12" ht="13.5" thickBot="1" x14ac:dyDescent="0.25">
      <c r="A51" s="1912" t="s">
        <v>362</v>
      </c>
      <c r="B51" s="1912"/>
      <c r="C51" s="1912"/>
      <c r="D51" s="1912"/>
      <c r="E51" s="1912"/>
      <c r="F51" s="1912"/>
      <c r="G51" s="1912"/>
      <c r="H51" s="1912"/>
    </row>
    <row r="52" spans="1:12" s="554" customFormat="1" ht="55.5" customHeight="1" thickBot="1" x14ac:dyDescent="0.25">
      <c r="A52" s="641"/>
      <c r="B52" s="642" t="s">
        <v>38</v>
      </c>
      <c r="C52" s="21" t="str">
        <f>C7</f>
        <v>2023. évi eredeti előirányzat
2/2023. (II.14.)</v>
      </c>
      <c r="D52" s="166" t="str">
        <f t="shared" ref="D52:L52" si="8">D7</f>
        <v>Módosított előirányzat a 14/2023.  (VI.29.)  rendelet szerint</v>
      </c>
      <c r="E52" s="21" t="str">
        <f t="shared" si="8"/>
        <v>Módosított előirányzat a 18/2023. (IX.26.)  rendelet szerint</v>
      </c>
      <c r="F52" s="21" t="str">
        <f t="shared" si="8"/>
        <v>Módosított előirányzat 2023.09.30-án</v>
      </c>
      <c r="G52" s="21" t="str">
        <f t="shared" si="8"/>
        <v>Módosított előirányzat a …../2023. (II…..)  rendelet szerint</v>
      </c>
      <c r="H52" s="32" t="str">
        <f t="shared" si="8"/>
        <v>Változás a 14/2023. (VI.29.) rendelethez képest</v>
      </c>
      <c r="I52" s="166" t="str">
        <f t="shared" si="8"/>
        <v>2023. évi teljesítés              2023.06.30-ig</v>
      </c>
      <c r="J52" s="21" t="str">
        <f t="shared" si="8"/>
        <v>2023. évi teljesítés              2023.09.30-ig</v>
      </c>
      <c r="K52" s="21" t="str">
        <f t="shared" si="8"/>
        <v>2023. évi teljesítés              2023.12.31-ig</v>
      </c>
      <c r="L52" s="21" t="str">
        <f t="shared" si="8"/>
        <v>Teljesítés %-a</v>
      </c>
    </row>
    <row r="53" spans="1:12" s="31" customFormat="1" ht="12.2" customHeight="1" thickBot="1" x14ac:dyDescent="0.25">
      <c r="A53" s="55" t="s">
        <v>12</v>
      </c>
      <c r="B53" s="56" t="s">
        <v>547</v>
      </c>
      <c r="C53" s="89">
        <f>SUM(C54:C59)-C55</f>
        <v>397012765</v>
      </c>
      <c r="D53" s="127">
        <f t="shared" ref="D53:L53" si="9">SUM(D54:D59)-D55</f>
        <v>402445870</v>
      </c>
      <c r="E53" s="582">
        <f t="shared" si="9"/>
        <v>516209257</v>
      </c>
      <c r="F53" s="582">
        <f t="shared" si="9"/>
        <v>791065390</v>
      </c>
      <c r="G53" s="582">
        <f t="shared" si="9"/>
        <v>0</v>
      </c>
      <c r="H53" s="48">
        <f t="shared" ref="H53:H72" si="10">+E53-D53</f>
        <v>113763387</v>
      </c>
      <c r="I53" s="175">
        <f t="shared" si="9"/>
        <v>0</v>
      </c>
      <c r="J53" s="48">
        <f t="shared" si="9"/>
        <v>535726968</v>
      </c>
      <c r="K53" s="48">
        <f t="shared" si="9"/>
        <v>0</v>
      </c>
      <c r="L53" s="48" t="e">
        <f t="shared" si="9"/>
        <v>#VALUE!</v>
      </c>
    </row>
    <row r="54" spans="1:12" ht="12.2" customHeight="1" x14ac:dyDescent="0.2">
      <c r="A54" s="1037" t="s">
        <v>91</v>
      </c>
      <c r="B54" s="17" t="s">
        <v>68</v>
      </c>
      <c r="C54" s="122">
        <f>'8.Humán'!C54-'31._Humán_önként'!C54</f>
        <v>323425182</v>
      </c>
      <c r="D54" s="189">
        <f>'8.Humán'!D54-'31._Humán_önként'!D54</f>
        <v>326975182</v>
      </c>
      <c r="E54" s="586">
        <f>'8.Humán'!E54-'31._Humán_önként'!E54</f>
        <v>421547950</v>
      </c>
      <c r="F54" s="586">
        <f>'8.Humán'!F54-'31._Humán_önként'!F54</f>
        <v>618864285</v>
      </c>
      <c r="G54" s="586">
        <f>'8.Humán'!G54-'31._Humán_önként'!G54</f>
        <v>0</v>
      </c>
      <c r="H54" s="33">
        <f t="shared" si="10"/>
        <v>94572768</v>
      </c>
      <c r="I54" s="177">
        <f>'8.Humán'!I54-'31._Humán_önként'!I54</f>
        <v>0</v>
      </c>
      <c r="J54" s="33">
        <f>'8.Humán'!J54-'31._Humán_önként'!J54</f>
        <v>425963655</v>
      </c>
      <c r="K54" s="33">
        <f>'8.Humán'!K54-'31._Humán_önként'!K54</f>
        <v>0</v>
      </c>
      <c r="L54" s="33">
        <f>'8.Humán'!L54-'31._Humán_önként'!L54</f>
        <v>68.829897818388403</v>
      </c>
    </row>
    <row r="55" spans="1:12" ht="12.2" customHeight="1" x14ac:dyDescent="0.2">
      <c r="A55" s="1037" t="s">
        <v>305</v>
      </c>
      <c r="B55" s="335" t="s">
        <v>270</v>
      </c>
      <c r="C55" s="122">
        <f>'8.Humán'!C55-'31._Humán_önként'!C55</f>
        <v>0</v>
      </c>
      <c r="D55" s="189">
        <f>'8.Humán'!D55-'31._Humán_önként'!D55</f>
        <v>0</v>
      </c>
      <c r="E55" s="586">
        <f>'8.Humán'!E55-'31._Humán_önként'!E55</f>
        <v>14905683</v>
      </c>
      <c r="F55" s="586">
        <f>'8.Humán'!F55-'31._Humán_önként'!F55</f>
        <v>22000000</v>
      </c>
      <c r="G55" s="586">
        <f>'8.Humán'!G55-'31._Humán_önként'!G55</f>
        <v>0</v>
      </c>
      <c r="H55" s="33">
        <f t="shared" si="10"/>
        <v>14905683</v>
      </c>
      <c r="I55" s="177">
        <f>'8.Humán'!I55-'31._Humán_önként'!I55</f>
        <v>0</v>
      </c>
      <c r="J55" s="33">
        <f>'8.Humán'!J55-'31._Humán_önként'!J55</f>
        <v>0</v>
      </c>
      <c r="K55" s="33">
        <f>'8.Humán'!K55-'31._Humán_önként'!K55</f>
        <v>0</v>
      </c>
      <c r="L55" s="33">
        <f>'8.Humán'!L55-'31._Humán_önként'!L55</f>
        <v>0</v>
      </c>
    </row>
    <row r="56" spans="1:12" ht="12.2" customHeight="1" x14ac:dyDescent="0.2">
      <c r="A56" s="1037" t="s">
        <v>92</v>
      </c>
      <c r="B56" s="330" t="s">
        <v>87</v>
      </c>
      <c r="C56" s="339">
        <f>'8.Humán'!C56-'31._Humán_önként'!C56</f>
        <v>51354226</v>
      </c>
      <c r="D56" s="323">
        <f>'8.Humán'!D56-'31._Humán_önként'!D56</f>
        <v>52348226</v>
      </c>
      <c r="E56" s="107">
        <f>'8.Humán'!E56-'31._Humán_önként'!E56</f>
        <v>71388845</v>
      </c>
      <c r="F56" s="107">
        <f>'8.Humán'!F56-'31._Humán_önként'!F56</f>
        <v>98852000</v>
      </c>
      <c r="G56" s="107">
        <f>'8.Humán'!G56-'31._Humán_önként'!G56</f>
        <v>0</v>
      </c>
      <c r="H56" s="324">
        <f t="shared" si="10"/>
        <v>19040619</v>
      </c>
      <c r="I56" s="503">
        <f>'8.Humán'!I56-'31._Humán_önként'!I56</f>
        <v>0</v>
      </c>
      <c r="J56" s="324">
        <f>'8.Humán'!J56-'31._Humán_önként'!J56</f>
        <v>68074224</v>
      </c>
      <c r="K56" s="324">
        <f>'8.Humán'!K56-'31._Humán_önként'!K56</f>
        <v>0</v>
      </c>
      <c r="L56" s="324">
        <f>'8.Humán'!L56-'31._Humán_önként'!L56</f>
        <v>68.864791809978556</v>
      </c>
    </row>
    <row r="57" spans="1:12" ht="12.2" customHeight="1" x14ac:dyDescent="0.2">
      <c r="A57" s="1037" t="s">
        <v>93</v>
      </c>
      <c r="B57" s="330" t="s">
        <v>69</v>
      </c>
      <c r="C57" s="339">
        <f>'8.Humán'!C57-'31._Humán_önként'!C57</f>
        <v>22233357</v>
      </c>
      <c r="D57" s="323">
        <f>'8.Humán'!D57-'31._Humán_önként'!D57</f>
        <v>23122462</v>
      </c>
      <c r="E57" s="107">
        <f>'8.Humán'!E57-'31._Humán_önként'!E57</f>
        <v>23272462</v>
      </c>
      <c r="F57" s="107">
        <f>'8.Humán'!F57-'31._Humán_önként'!F57</f>
        <v>73349105</v>
      </c>
      <c r="G57" s="107">
        <f>'8.Humán'!G57-'31._Humán_önként'!G57</f>
        <v>0</v>
      </c>
      <c r="H57" s="324">
        <f t="shared" si="10"/>
        <v>150000</v>
      </c>
      <c r="I57" s="503">
        <f>'8.Humán'!I57-'31._Humán_önként'!I57</f>
        <v>0</v>
      </c>
      <c r="J57" s="324">
        <f>'8.Humán'!J57-'31._Humán_önként'!J57</f>
        <v>41689089</v>
      </c>
      <c r="K57" s="324">
        <f>'8.Humán'!K57-'31._Humán_önként'!K57</f>
        <v>0</v>
      </c>
      <c r="L57" s="324">
        <f>'8.Humán'!L57-'31._Humán_önként'!L57</f>
        <v>56.836533997245098</v>
      </c>
    </row>
    <row r="58" spans="1:12" ht="12.2" customHeight="1" x14ac:dyDescent="0.2">
      <c r="A58" s="1037" t="s">
        <v>90</v>
      </c>
      <c r="B58" s="330" t="s">
        <v>80</v>
      </c>
      <c r="C58" s="339">
        <f>'8.Humán'!C58-'31._Humán_önként'!C58</f>
        <v>0</v>
      </c>
      <c r="D58" s="323">
        <f>'8.Humán'!D58-'31._Humán_önként'!D58</f>
        <v>0</v>
      </c>
      <c r="E58" s="107">
        <f>'8.Humán'!E58-'31._Humán_önként'!E58</f>
        <v>0</v>
      </c>
      <c r="F58" s="107">
        <f>'8.Humán'!F58-'31._Humán_önként'!F58</f>
        <v>0</v>
      </c>
      <c r="G58" s="107">
        <f>'8.Humán'!G58-'31._Humán_önként'!G58</f>
        <v>0</v>
      </c>
      <c r="H58" s="324">
        <f t="shared" si="10"/>
        <v>0</v>
      </c>
      <c r="I58" s="503">
        <f>'8.Humán'!I58-'31._Humán_önként'!I58</f>
        <v>0</v>
      </c>
      <c r="J58" s="324">
        <f>'8.Humán'!J58-'31._Humán_önként'!J58</f>
        <v>0</v>
      </c>
      <c r="K58" s="324">
        <f>'8.Humán'!K58-'31._Humán_önként'!K58</f>
        <v>0</v>
      </c>
      <c r="L58" s="324" t="e">
        <f>'8.Humán'!L58-'31._Humán_önként'!L58</f>
        <v>#VALUE!</v>
      </c>
    </row>
    <row r="59" spans="1:12" ht="12.2" customHeight="1" x14ac:dyDescent="0.2">
      <c r="A59" s="1037" t="s">
        <v>147</v>
      </c>
      <c r="B59" s="330" t="s">
        <v>88</v>
      </c>
      <c r="C59" s="339">
        <f>'8.Humán'!C59-'31._Humán_önként'!C59</f>
        <v>0</v>
      </c>
      <c r="D59" s="323">
        <f>'8.Humán'!D59-'31._Humán_önként'!D59</f>
        <v>0</v>
      </c>
      <c r="E59" s="107">
        <f>'8.Humán'!E59-'31._Humán_önként'!E59</f>
        <v>0</v>
      </c>
      <c r="F59" s="107">
        <f>'8.Humán'!F59-'31._Humán_önként'!F59</f>
        <v>0</v>
      </c>
      <c r="G59" s="107">
        <f>'8.Humán'!G59-'31._Humán_önként'!G59</f>
        <v>0</v>
      </c>
      <c r="H59" s="324">
        <f t="shared" si="10"/>
        <v>0</v>
      </c>
      <c r="I59" s="503">
        <f>'8.Humán'!I59-'31._Humán_önként'!I59</f>
        <v>0</v>
      </c>
      <c r="J59" s="324">
        <f>'8.Humán'!J59-'31._Humán_önként'!J59</f>
        <v>0</v>
      </c>
      <c r="K59" s="324">
        <f>'8.Humán'!K59-'31._Humán_önként'!K59</f>
        <v>0</v>
      </c>
      <c r="L59" s="324" t="e">
        <f>'8.Humán'!L59-'31._Humán_önként'!L59</f>
        <v>#VALUE!</v>
      </c>
    </row>
    <row r="60" spans="1:12" ht="12.2" customHeight="1" x14ac:dyDescent="0.2">
      <c r="A60" s="1037" t="s">
        <v>306</v>
      </c>
      <c r="B60" s="521" t="s">
        <v>235</v>
      </c>
      <c r="C60" s="339">
        <f>'8.Humán'!C60-'31._Humán_önként'!C60</f>
        <v>0</v>
      </c>
      <c r="D60" s="323">
        <f>'8.Humán'!D60-'31._Humán_önként'!D60</f>
        <v>0</v>
      </c>
      <c r="E60" s="107">
        <f>'8.Humán'!E60-'31._Humán_önként'!E60</f>
        <v>0</v>
      </c>
      <c r="F60" s="107">
        <f>'8.Humán'!F60-'31._Humán_önként'!F60</f>
        <v>0</v>
      </c>
      <c r="G60" s="107">
        <f>'8.Humán'!G60-'31._Humán_önként'!G60</f>
        <v>0</v>
      </c>
      <c r="H60" s="324">
        <f t="shared" si="10"/>
        <v>0</v>
      </c>
      <c r="I60" s="503">
        <f>'8.Humán'!I60-'31._Humán_önként'!I60</f>
        <v>0</v>
      </c>
      <c r="J60" s="324">
        <f>'8.Humán'!J60-'31._Humán_önként'!J60</f>
        <v>0</v>
      </c>
      <c r="K60" s="324">
        <f>'8.Humán'!K60-'31._Humán_önként'!K60</f>
        <v>0</v>
      </c>
      <c r="L60" s="324" t="e">
        <f>'8.Humán'!L60-'31._Humán_önként'!L60</f>
        <v>#VALUE!</v>
      </c>
    </row>
    <row r="61" spans="1:12" ht="12.2" customHeight="1" thickBot="1" x14ac:dyDescent="0.25">
      <c r="A61" s="84" t="s">
        <v>307</v>
      </c>
      <c r="B61" s="85" t="s">
        <v>234</v>
      </c>
      <c r="C61" s="92">
        <f>'8.Humán'!C61-'31._Humán_önként'!C61</f>
        <v>0</v>
      </c>
      <c r="D61" s="190">
        <f>'8.Humán'!D61-'31._Humán_önként'!D61</f>
        <v>0</v>
      </c>
      <c r="E61" s="593">
        <f>'8.Humán'!E61-'31._Humán_önként'!E61</f>
        <v>0</v>
      </c>
      <c r="F61" s="593">
        <f>'8.Humán'!F61-'31._Humán_önként'!F61</f>
        <v>0</v>
      </c>
      <c r="G61" s="593">
        <f>'8.Humán'!G61-'31._Humán_önként'!G61</f>
        <v>0</v>
      </c>
      <c r="H61" s="61">
        <f t="shared" si="10"/>
        <v>0</v>
      </c>
      <c r="I61" s="178">
        <f>'8.Humán'!I61-'31._Humán_önként'!I61</f>
        <v>0</v>
      </c>
      <c r="J61" s="61">
        <f>'8.Humán'!J61-'31._Humán_önként'!J61</f>
        <v>0</v>
      </c>
      <c r="K61" s="61">
        <f>'8.Humán'!K61-'31._Humán_önként'!K61</f>
        <v>0</v>
      </c>
      <c r="L61" s="61" t="e">
        <f>'8.Humán'!L61-'31._Humán_önként'!L61</f>
        <v>#VALUE!</v>
      </c>
    </row>
    <row r="62" spans="1:12" ht="12.2" customHeight="1" thickBot="1" x14ac:dyDescent="0.25">
      <c r="A62" s="55" t="s">
        <v>13</v>
      </c>
      <c r="B62" s="56" t="s">
        <v>548</v>
      </c>
      <c r="C62" s="89">
        <f>SUM(C63:C67)</f>
        <v>0</v>
      </c>
      <c r="D62" s="127">
        <f t="shared" ref="D62:L62" si="11">SUM(D63:D67)</f>
        <v>0</v>
      </c>
      <c r="E62" s="582">
        <f t="shared" si="11"/>
        <v>0</v>
      </c>
      <c r="F62" s="582">
        <f t="shared" si="11"/>
        <v>1500000</v>
      </c>
      <c r="G62" s="582">
        <f t="shared" si="11"/>
        <v>0</v>
      </c>
      <c r="H62" s="48">
        <f t="shared" si="10"/>
        <v>0</v>
      </c>
      <c r="I62" s="175">
        <f t="shared" si="11"/>
        <v>332580</v>
      </c>
      <c r="J62" s="48">
        <f t="shared" si="11"/>
        <v>332580</v>
      </c>
      <c r="K62" s="48" t="e">
        <f t="shared" si="11"/>
        <v>#VALUE!</v>
      </c>
      <c r="L62" s="48" t="e">
        <f t="shared" si="11"/>
        <v>#VALUE!</v>
      </c>
    </row>
    <row r="63" spans="1:12" s="31" customFormat="1" ht="12.2" customHeight="1" x14ac:dyDescent="0.2">
      <c r="A63" s="1037" t="s">
        <v>94</v>
      </c>
      <c r="B63" s="17" t="s">
        <v>119</v>
      </c>
      <c r="C63" s="122">
        <f>'8.Humán'!C63-'31._Humán_önként'!C63</f>
        <v>0</v>
      </c>
      <c r="D63" s="189">
        <f>'8.Humán'!D63-'31._Humán_önként'!D63</f>
        <v>0</v>
      </c>
      <c r="E63" s="586">
        <f>'8.Humán'!E63-'31._Humán_önként'!E63</f>
        <v>0</v>
      </c>
      <c r="F63" s="586">
        <f>'8.Humán'!F63-'31._Humán_önként'!F63</f>
        <v>1500000</v>
      </c>
      <c r="G63" s="586">
        <f>'8.Humán'!G63-'31._Humán_önként'!G63</f>
        <v>0</v>
      </c>
      <c r="H63" s="33">
        <f t="shared" si="10"/>
        <v>0</v>
      </c>
      <c r="I63" s="177">
        <f>'8.Humán'!I63-'31._Humán_önként'!I63</f>
        <v>332580</v>
      </c>
      <c r="J63" s="33">
        <f>'8.Humán'!J63-'31._Humán_önként'!J63</f>
        <v>332580</v>
      </c>
      <c r="K63" s="33">
        <f>'8.Humán'!K63-'31._Humán_önként'!K63</f>
        <v>22.172000000000001</v>
      </c>
      <c r="L63" s="33">
        <f>'8.Humán'!L63-'31._Humán_önként'!L63</f>
        <v>22.172000000000001</v>
      </c>
    </row>
    <row r="64" spans="1:12" s="31" customFormat="1" ht="12.2" customHeight="1" x14ac:dyDescent="0.2">
      <c r="A64" s="1037" t="s">
        <v>316</v>
      </c>
      <c r="B64" s="522" t="s">
        <v>236</v>
      </c>
      <c r="C64" s="122">
        <f>'8.Humán'!C64-'31._Humán_önként'!C64</f>
        <v>0</v>
      </c>
      <c r="D64" s="189">
        <f>'8.Humán'!D64-'31._Humán_önként'!D64</f>
        <v>0</v>
      </c>
      <c r="E64" s="586">
        <f>'8.Humán'!E64-'31._Humán_önként'!E64</f>
        <v>0</v>
      </c>
      <c r="F64" s="586">
        <f>'8.Humán'!F64-'31._Humán_önként'!F64</f>
        <v>0</v>
      </c>
      <c r="G64" s="586">
        <f>'8.Humán'!G64-'31._Humán_önként'!G64</f>
        <v>0</v>
      </c>
      <c r="H64" s="33">
        <f t="shared" si="10"/>
        <v>0</v>
      </c>
      <c r="I64" s="177">
        <f>'8.Humán'!I64-'31._Humán_önként'!I64</f>
        <v>0</v>
      </c>
      <c r="J64" s="33">
        <f>'8.Humán'!J64-'31._Humán_önként'!J64</f>
        <v>0</v>
      </c>
      <c r="K64" s="33">
        <f>'8.Humán'!K64-'31._Humán_önként'!K64</f>
        <v>0</v>
      </c>
      <c r="L64" s="33" t="e">
        <f>'8.Humán'!L64-'31._Humán_önként'!L64</f>
        <v>#VALUE!</v>
      </c>
    </row>
    <row r="65" spans="1:12" ht="12.2" customHeight="1" x14ac:dyDescent="0.2">
      <c r="A65" s="1037" t="s">
        <v>95</v>
      </c>
      <c r="B65" s="330" t="s">
        <v>2</v>
      </c>
      <c r="C65" s="339">
        <f>'8.Humán'!C65-'31._Humán_önként'!C65</f>
        <v>0</v>
      </c>
      <c r="D65" s="323">
        <f>'8.Humán'!D65-'31._Humán_önként'!D65</f>
        <v>0</v>
      </c>
      <c r="E65" s="107">
        <f>'8.Humán'!E65-'31._Humán_önként'!E65</f>
        <v>0</v>
      </c>
      <c r="F65" s="107">
        <f>'8.Humán'!F65-'31._Humán_önként'!F65</f>
        <v>0</v>
      </c>
      <c r="G65" s="107">
        <f>'8.Humán'!G65-'31._Humán_önként'!G65</f>
        <v>0</v>
      </c>
      <c r="H65" s="324">
        <f t="shared" si="10"/>
        <v>0</v>
      </c>
      <c r="I65" s="503">
        <f>'8.Humán'!I65-'31._Humán_önként'!I65</f>
        <v>0</v>
      </c>
      <c r="J65" s="324">
        <f>'8.Humán'!J65-'31._Humán_önként'!J65</f>
        <v>0</v>
      </c>
      <c r="K65" s="324" t="e">
        <f>'8.Humán'!K65-'31._Humán_önként'!K65</f>
        <v>#VALUE!</v>
      </c>
      <c r="L65" s="324" t="e">
        <f>'8.Humán'!L65-'31._Humán_önként'!L65</f>
        <v>#VALUE!</v>
      </c>
    </row>
    <row r="66" spans="1:12" ht="12.2" customHeight="1" x14ac:dyDescent="0.2">
      <c r="A66" s="1037" t="s">
        <v>342</v>
      </c>
      <c r="B66" s="523" t="s">
        <v>237</v>
      </c>
      <c r="C66" s="339">
        <f>'8.Humán'!C66-'31._Humán_önként'!C66</f>
        <v>0</v>
      </c>
      <c r="D66" s="323">
        <f>'8.Humán'!D66-'31._Humán_önként'!D66</f>
        <v>0</v>
      </c>
      <c r="E66" s="107">
        <f>'8.Humán'!E66-'31._Humán_önként'!E66</f>
        <v>0</v>
      </c>
      <c r="F66" s="107">
        <f>'8.Humán'!F66-'31._Humán_önként'!F66</f>
        <v>0</v>
      </c>
      <c r="G66" s="107">
        <f>'8.Humán'!G66-'31._Humán_önként'!G66</f>
        <v>0</v>
      </c>
      <c r="H66" s="324">
        <f t="shared" si="10"/>
        <v>0</v>
      </c>
      <c r="I66" s="503">
        <f>'8.Humán'!I66-'31._Humán_önként'!I66</f>
        <v>0</v>
      </c>
      <c r="J66" s="324">
        <f>'8.Humán'!J66-'31._Humán_önként'!J66</f>
        <v>0</v>
      </c>
      <c r="K66" s="324">
        <f>'8.Humán'!K66-'31._Humán_önként'!K66</f>
        <v>0</v>
      </c>
      <c r="L66" s="324" t="e">
        <f>'8.Humán'!L66-'31._Humán_önként'!L66</f>
        <v>#VALUE!</v>
      </c>
    </row>
    <row r="67" spans="1:12" ht="12.2" customHeight="1" x14ac:dyDescent="0.2">
      <c r="A67" s="1037" t="s">
        <v>96</v>
      </c>
      <c r="B67" s="17" t="s">
        <v>175</v>
      </c>
      <c r="C67" s="339">
        <f>'8.Humán'!C67-'31._Humán_önként'!C67</f>
        <v>0</v>
      </c>
      <c r="D67" s="323">
        <f>'8.Humán'!D67-'31._Humán_önként'!D67</f>
        <v>0</v>
      </c>
      <c r="E67" s="107">
        <f>'8.Humán'!E67-'31._Humán_önként'!E67</f>
        <v>0</v>
      </c>
      <c r="F67" s="107">
        <f>'8.Humán'!F67-'31._Humán_önként'!F67</f>
        <v>0</v>
      </c>
      <c r="G67" s="107">
        <f>'8.Humán'!G67-'31._Humán_önként'!G67</f>
        <v>0</v>
      </c>
      <c r="H67" s="324">
        <f t="shared" si="10"/>
        <v>0</v>
      </c>
      <c r="I67" s="503">
        <f>'8.Humán'!I67-'31._Humán_önként'!I67</f>
        <v>0</v>
      </c>
      <c r="J67" s="324">
        <f>'8.Humán'!J67-'31._Humán_önként'!J67</f>
        <v>0</v>
      </c>
      <c r="K67" s="324">
        <f>'8.Humán'!K67-'31._Humán_önként'!K67</f>
        <v>0</v>
      </c>
      <c r="L67" s="324" t="e">
        <f>'8.Humán'!L67-'31._Humán_önként'!L67</f>
        <v>#VALUE!</v>
      </c>
    </row>
    <row r="68" spans="1:12" ht="12.2" customHeight="1" x14ac:dyDescent="0.2">
      <c r="A68" s="1037" t="s">
        <v>317</v>
      </c>
      <c r="B68" s="521" t="s">
        <v>239</v>
      </c>
      <c r="C68" s="339">
        <f>'8.Humán'!C68-'31._Humán_önként'!C68</f>
        <v>0</v>
      </c>
      <c r="D68" s="323">
        <f>'8.Humán'!D68-'31._Humán_önként'!D68</f>
        <v>0</v>
      </c>
      <c r="E68" s="107">
        <f>'8.Humán'!E68-'31._Humán_önként'!E68</f>
        <v>0</v>
      </c>
      <c r="F68" s="107">
        <f>'8.Humán'!F68-'31._Humán_önként'!F68</f>
        <v>0</v>
      </c>
      <c r="G68" s="107">
        <f>'8.Humán'!G68-'31._Humán_önként'!G68</f>
        <v>0</v>
      </c>
      <c r="H68" s="324">
        <f t="shared" si="10"/>
        <v>0</v>
      </c>
      <c r="I68" s="503">
        <f>'8.Humán'!I68-'31._Humán_önként'!I68</f>
        <v>0</v>
      </c>
      <c r="J68" s="324">
        <f>'8.Humán'!J68-'31._Humán_önként'!J68</f>
        <v>0</v>
      </c>
      <c r="K68" s="324">
        <f>'8.Humán'!K68-'31._Humán_önként'!K68</f>
        <v>0</v>
      </c>
      <c r="L68" s="324" t="e">
        <f>'8.Humán'!L68-'31._Humán_önként'!L68</f>
        <v>#VALUE!</v>
      </c>
    </row>
    <row r="69" spans="1:12" ht="12.2" customHeight="1" thickBot="1" x14ac:dyDescent="0.25">
      <c r="A69" s="84" t="s">
        <v>318</v>
      </c>
      <c r="B69" s="85" t="s">
        <v>238</v>
      </c>
      <c r="C69" s="92">
        <f>'8.Humán'!C69-'31._Humán_önként'!C69</f>
        <v>0</v>
      </c>
      <c r="D69" s="323">
        <f>'8.Humán'!D69-'31._Humán_önként'!D69</f>
        <v>0</v>
      </c>
      <c r="E69" s="107">
        <f>'8.Humán'!E69-'31._Humán_önként'!E69</f>
        <v>0</v>
      </c>
      <c r="F69" s="107">
        <f>'8.Humán'!F69-'31._Humán_önként'!F69</f>
        <v>0</v>
      </c>
      <c r="G69" s="107">
        <f>'8.Humán'!G69-'31._Humán_önként'!G69</f>
        <v>0</v>
      </c>
      <c r="H69" s="324">
        <f t="shared" si="10"/>
        <v>0</v>
      </c>
      <c r="I69" s="503">
        <f>'8.Humán'!I69-'31._Humán_önként'!I69</f>
        <v>0</v>
      </c>
      <c r="J69" s="324">
        <f>'8.Humán'!J69-'31._Humán_önként'!J69</f>
        <v>0</v>
      </c>
      <c r="K69" s="324">
        <f>'8.Humán'!K69-'31._Humán_önként'!K69</f>
        <v>0</v>
      </c>
      <c r="L69" s="324" t="e">
        <f>'8.Humán'!L69-'31._Humán_önként'!L69</f>
        <v>#VALUE!</v>
      </c>
    </row>
    <row r="70" spans="1:12" ht="15" customHeight="1" thickBot="1" x14ac:dyDescent="0.25">
      <c r="A70" s="55" t="s">
        <v>14</v>
      </c>
      <c r="B70" s="67" t="s">
        <v>176</v>
      </c>
      <c r="C70" s="135">
        <f>+C53+C62</f>
        <v>397012765</v>
      </c>
      <c r="D70" s="134">
        <f t="shared" ref="D70:L70" si="12">+D53+D62</f>
        <v>402445870</v>
      </c>
      <c r="E70" s="592">
        <f t="shared" si="12"/>
        <v>516209257</v>
      </c>
      <c r="F70" s="592">
        <f t="shared" si="12"/>
        <v>792565390</v>
      </c>
      <c r="G70" s="592">
        <f t="shared" si="12"/>
        <v>0</v>
      </c>
      <c r="H70" s="68">
        <f t="shared" si="10"/>
        <v>113763387</v>
      </c>
      <c r="I70" s="176">
        <f t="shared" si="12"/>
        <v>332580</v>
      </c>
      <c r="J70" s="68">
        <f t="shared" si="12"/>
        <v>536059548</v>
      </c>
      <c r="K70" s="68" t="e">
        <f t="shared" si="12"/>
        <v>#VALUE!</v>
      </c>
      <c r="L70" s="68" t="e">
        <f t="shared" si="12"/>
        <v>#VALUE!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634" t="s">
        <v>292</v>
      </c>
      <c r="B72" s="636"/>
      <c r="C72" s="136">
        <f>'8.Humán'!C72-'31._Humán_önként'!C72</f>
        <v>71</v>
      </c>
      <c r="D72" s="635">
        <f>'8.Humán'!D72-'31._Humán_önként'!D72</f>
        <v>71</v>
      </c>
      <c r="E72" s="520">
        <f>'8.Humán'!E72-'31._Humán_önként'!E72</f>
        <v>71</v>
      </c>
      <c r="F72" s="520">
        <f>'8.Humán'!F72-'31._Humán_önként'!F72</f>
        <v>97</v>
      </c>
      <c r="G72" s="520">
        <f>'8.Humán'!G72-'31._Humán_önként'!G72</f>
        <v>0</v>
      </c>
      <c r="H72" s="174">
        <f t="shared" si="10"/>
        <v>0</v>
      </c>
      <c r="I72" s="174">
        <f>'8.Humán'!I72-'31._Humán_önként'!I72</f>
        <v>0</v>
      </c>
      <c r="J72" s="174">
        <f>'8.Humán'!J72-'31._Humán_önként'!J72</f>
        <v>93</v>
      </c>
      <c r="K72" s="174">
        <f>'8.Humán'!K72-'31._Humán_önként'!K72</f>
        <v>0</v>
      </c>
      <c r="L72" s="174">
        <f>'8.Humán'!L72-'31._Humán_önként'!L72</f>
        <v>95.876288659793815</v>
      </c>
    </row>
    <row r="73" spans="1:12" ht="14.25" hidden="1" customHeight="1" thickBot="1" x14ac:dyDescent="0.25">
      <c r="A73" s="69" t="s">
        <v>291</v>
      </c>
      <c r="B73" s="70"/>
      <c r="C73" s="609">
        <f>'8.Humán'!C73-'31._Humán_önként'!C73</f>
        <v>0</v>
      </c>
      <c r="D73" s="639">
        <f>'8.Humán'!D73-'31._Humán_önként'!D73</f>
        <v>0</v>
      </c>
      <c r="E73" s="607">
        <f>'8.Humán'!E73-'31._Humán_önként'!E73</f>
        <v>0</v>
      </c>
      <c r="F73" s="607">
        <f>'8.Humán'!F73-'31._Humán_önként'!F73</f>
        <v>0</v>
      </c>
      <c r="G73" s="607">
        <f>'8.Humán'!G73-'31._Humán_önként'!G73</f>
        <v>0</v>
      </c>
      <c r="H73" s="609">
        <f>'8.Humán'!H73-'31._Humán_önként'!H73</f>
        <v>0</v>
      </c>
      <c r="I73" s="609">
        <f>'8.Humán'!I73-'31._Humán_önként'!I73</f>
        <v>0</v>
      </c>
      <c r="J73" s="609">
        <f>'8.Humán'!J73-'31._Humán_önként'!J73</f>
        <v>0</v>
      </c>
      <c r="K73" s="609">
        <f>'8.Humán'!K73-'31._Humán_önként'!K73</f>
        <v>0</v>
      </c>
      <c r="L73" s="609" t="e">
        <f>'8.Humán'!L73-'31._Humán_önként'!L73</f>
        <v>#DIV/0!</v>
      </c>
    </row>
    <row r="74" spans="1:12" x14ac:dyDescent="0.2">
      <c r="D74" s="163"/>
      <c r="E74" s="163"/>
      <c r="F74" s="163"/>
      <c r="G74" s="163"/>
      <c r="H74" s="163" t="s">
        <v>385</v>
      </c>
      <c r="I74" s="163"/>
      <c r="J74" s="163"/>
      <c r="K74" s="163"/>
      <c r="L74" s="163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4"/>
  <sheetViews>
    <sheetView view="pageBreakPreview" zoomScale="120" zoomScaleNormal="100" zoomScaleSheetLayoutView="120" workbookViewId="0">
      <selection activeCell="A2" sqref="A2:H2"/>
    </sheetView>
  </sheetViews>
  <sheetFormatPr defaultRowHeight="12.75" x14ac:dyDescent="0.2"/>
  <cols>
    <col min="1" max="1" width="12" style="988" customWidth="1"/>
    <col min="2" max="2" width="67" style="25" customWidth="1"/>
    <col min="3" max="3" width="15.1640625" style="25" customWidth="1"/>
    <col min="4" max="4" width="17" style="1175" customWidth="1"/>
    <col min="5" max="5" width="17" style="25" customWidth="1"/>
    <col min="6" max="7" width="17" style="25" hidden="1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535" customFormat="1" ht="12.75" customHeight="1" x14ac:dyDescent="0.2">
      <c r="A1" s="1774" t="s">
        <v>808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729</v>
      </c>
      <c r="B2" s="1774"/>
      <c r="C2" s="1774"/>
      <c r="D2" s="1774"/>
      <c r="E2" s="1774"/>
      <c r="F2" s="1774"/>
      <c r="G2" s="1774"/>
      <c r="H2" s="1774"/>
    </row>
    <row r="3" spans="1:12" s="24" customFormat="1" ht="21.2" customHeight="1" thickBot="1" x14ac:dyDescent="0.25">
      <c r="A3" s="170"/>
      <c r="C3" s="982"/>
      <c r="D3" s="1151"/>
      <c r="E3" s="982"/>
      <c r="F3" s="982"/>
      <c r="G3" s="982"/>
      <c r="H3" s="982"/>
      <c r="I3" s="982"/>
      <c r="J3" s="982"/>
      <c r="K3" s="982"/>
      <c r="L3" s="982"/>
    </row>
    <row r="4" spans="1:12" s="38" customFormat="1" ht="38.25" customHeight="1" x14ac:dyDescent="0.2">
      <c r="A4" s="36" t="s">
        <v>137</v>
      </c>
      <c r="B4" s="37" t="s">
        <v>85</v>
      </c>
      <c r="C4" s="1806" t="s">
        <v>184</v>
      </c>
      <c r="D4" s="1807"/>
      <c r="E4" s="1807"/>
      <c r="F4" s="1807"/>
      <c r="G4" s="1807"/>
      <c r="H4" s="1808" t="s">
        <v>184</v>
      </c>
    </row>
    <row r="5" spans="1:12" s="38" customFormat="1" ht="36.75" thickBot="1" x14ac:dyDescent="0.25">
      <c r="A5" s="39" t="s">
        <v>139</v>
      </c>
      <c r="B5" s="40" t="s">
        <v>403</v>
      </c>
      <c r="C5" s="1809" t="s">
        <v>141</v>
      </c>
      <c r="D5" s="1810"/>
      <c r="E5" s="1810"/>
      <c r="F5" s="1810"/>
      <c r="G5" s="1810"/>
      <c r="H5" s="1811" t="s">
        <v>141</v>
      </c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2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152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153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11396470</v>
      </c>
      <c r="D10" s="1154">
        <f t="shared" ref="D10:L10" si="0">SUM(D11:D21)</f>
        <v>11396470</v>
      </c>
      <c r="E10" s="582">
        <f t="shared" si="0"/>
        <v>11396470</v>
      </c>
      <c r="F10" s="582">
        <f t="shared" si="0"/>
        <v>0</v>
      </c>
      <c r="G10" s="582">
        <f t="shared" si="0"/>
        <v>0</v>
      </c>
      <c r="H10" s="595">
        <f>+E10-D10</f>
        <v>0</v>
      </c>
      <c r="I10" s="1085">
        <f t="shared" si="0"/>
        <v>0</v>
      </c>
      <c r="J10" s="595">
        <f t="shared" si="0"/>
        <v>0</v>
      </c>
      <c r="K10" s="595">
        <f t="shared" si="0"/>
        <v>0</v>
      </c>
      <c r="L10" s="595">
        <f t="shared" si="0"/>
        <v>0</v>
      </c>
    </row>
    <row r="11" spans="1:12" s="26" customFormat="1" ht="12.2" customHeight="1" x14ac:dyDescent="0.2">
      <c r="A11" s="49" t="s">
        <v>91</v>
      </c>
      <c r="B11" s="50" t="s">
        <v>143</v>
      </c>
      <c r="C11" s="128"/>
      <c r="D11" s="1155"/>
      <c r="E11" s="583"/>
      <c r="F11" s="583"/>
      <c r="G11" s="583"/>
      <c r="H11" s="540">
        <f t="shared" ref="H11:H47" si="1">+E11-D11</f>
        <v>0</v>
      </c>
      <c r="I11" s="1086"/>
      <c r="J11" s="540"/>
      <c r="K11" s="540"/>
      <c r="L11" s="540"/>
    </row>
    <row r="12" spans="1:12" s="26" customFormat="1" ht="12.2" customHeight="1" x14ac:dyDescent="0.2">
      <c r="A12" s="1037" t="s">
        <v>92</v>
      </c>
      <c r="B12" s="330" t="s">
        <v>144</v>
      </c>
      <c r="C12" s="331">
        <v>811280</v>
      </c>
      <c r="D12" s="1156">
        <v>811280</v>
      </c>
      <c r="E12" s="88">
        <v>811280</v>
      </c>
      <c r="F12" s="88"/>
      <c r="G12" s="88"/>
      <c r="H12" s="541">
        <f t="shared" si="1"/>
        <v>0</v>
      </c>
      <c r="I12" s="1087"/>
      <c r="J12" s="541"/>
      <c r="K12" s="541"/>
      <c r="L12" s="541"/>
    </row>
    <row r="13" spans="1:12" s="26" customFormat="1" ht="12.2" customHeight="1" x14ac:dyDescent="0.2">
      <c r="A13" s="1037" t="s">
        <v>93</v>
      </c>
      <c r="B13" s="330" t="s">
        <v>145</v>
      </c>
      <c r="C13" s="331"/>
      <c r="D13" s="1156"/>
      <c r="E13" s="88"/>
      <c r="F13" s="88"/>
      <c r="G13" s="88"/>
      <c r="H13" s="541">
        <f t="shared" si="1"/>
        <v>0</v>
      </c>
      <c r="I13" s="1087"/>
      <c r="J13" s="541"/>
      <c r="K13" s="541"/>
      <c r="L13" s="541"/>
    </row>
    <row r="14" spans="1:12" s="26" customFormat="1" ht="12.2" customHeight="1" x14ac:dyDescent="0.2">
      <c r="A14" s="1037" t="s">
        <v>90</v>
      </c>
      <c r="B14" s="330" t="s">
        <v>146</v>
      </c>
      <c r="C14" s="331"/>
      <c r="D14" s="1156"/>
      <c r="E14" s="88"/>
      <c r="F14" s="88"/>
      <c r="G14" s="88"/>
      <c r="H14" s="541">
        <f t="shared" si="1"/>
        <v>0</v>
      </c>
      <c r="I14" s="1087"/>
      <c r="J14" s="541"/>
      <c r="K14" s="541"/>
      <c r="L14" s="541"/>
    </row>
    <row r="15" spans="1:12" s="26" customFormat="1" ht="12.2" customHeight="1" x14ac:dyDescent="0.2">
      <c r="A15" s="1037" t="s">
        <v>147</v>
      </c>
      <c r="B15" s="330" t="s">
        <v>148</v>
      </c>
      <c r="C15" s="331"/>
      <c r="D15" s="1156"/>
      <c r="E15" s="88"/>
      <c r="F15" s="88"/>
      <c r="G15" s="88"/>
      <c r="H15" s="541">
        <f t="shared" si="1"/>
        <v>0</v>
      </c>
      <c r="I15" s="1087"/>
      <c r="J15" s="541"/>
      <c r="K15" s="541"/>
      <c r="L15" s="541"/>
    </row>
    <row r="16" spans="1:12" s="26" customFormat="1" ht="12.2" customHeight="1" x14ac:dyDescent="0.2">
      <c r="A16" s="1037" t="s">
        <v>149</v>
      </c>
      <c r="B16" s="330" t="s">
        <v>150</v>
      </c>
      <c r="C16" s="331">
        <v>218720</v>
      </c>
      <c r="D16" s="1156">
        <v>218720</v>
      </c>
      <c r="E16" s="88">
        <v>218720</v>
      </c>
      <c r="F16" s="88"/>
      <c r="G16" s="88"/>
      <c r="H16" s="541">
        <f t="shared" si="1"/>
        <v>0</v>
      </c>
      <c r="I16" s="1087"/>
      <c r="J16" s="541"/>
      <c r="K16" s="541"/>
      <c r="L16" s="541"/>
    </row>
    <row r="17" spans="1:12" s="26" customFormat="1" ht="12.2" customHeight="1" x14ac:dyDescent="0.2">
      <c r="A17" s="1037" t="s">
        <v>151</v>
      </c>
      <c r="B17" s="52" t="s">
        <v>152</v>
      </c>
      <c r="C17" s="331"/>
      <c r="D17" s="1156"/>
      <c r="E17" s="88"/>
      <c r="F17" s="88"/>
      <c r="G17" s="88"/>
      <c r="H17" s="541">
        <f t="shared" si="1"/>
        <v>0</v>
      </c>
      <c r="I17" s="1087"/>
      <c r="J17" s="541"/>
      <c r="K17" s="541"/>
      <c r="L17" s="541"/>
    </row>
    <row r="18" spans="1:12" s="26" customFormat="1" ht="12.2" customHeight="1" x14ac:dyDescent="0.2">
      <c r="A18" s="1037" t="s">
        <v>153</v>
      </c>
      <c r="B18" s="345" t="s">
        <v>302</v>
      </c>
      <c r="C18" s="121"/>
      <c r="D18" s="1157"/>
      <c r="E18" s="90"/>
      <c r="F18" s="90"/>
      <c r="G18" s="90"/>
      <c r="H18" s="542">
        <f t="shared" si="1"/>
        <v>0</v>
      </c>
      <c r="I18" s="1088"/>
      <c r="J18" s="542"/>
      <c r="K18" s="542"/>
      <c r="L18" s="542"/>
    </row>
    <row r="19" spans="1:12" s="54" customFormat="1" ht="12.2" customHeight="1" x14ac:dyDescent="0.2">
      <c r="A19" s="1037" t="s">
        <v>154</v>
      </c>
      <c r="B19" s="330" t="s">
        <v>155</v>
      </c>
      <c r="C19" s="331"/>
      <c r="D19" s="1156"/>
      <c r="E19" s="88"/>
      <c r="F19" s="88"/>
      <c r="G19" s="88"/>
      <c r="H19" s="541">
        <f t="shared" si="1"/>
        <v>0</v>
      </c>
      <c r="I19" s="1087"/>
      <c r="J19" s="541"/>
      <c r="K19" s="541"/>
      <c r="L19" s="541"/>
    </row>
    <row r="20" spans="1:12" s="54" customFormat="1" ht="12.2" customHeight="1" x14ac:dyDescent="0.2">
      <c r="A20" s="1037" t="s">
        <v>156</v>
      </c>
      <c r="B20" s="345" t="s">
        <v>275</v>
      </c>
      <c r="C20" s="333"/>
      <c r="D20" s="1158"/>
      <c r="E20" s="88"/>
      <c r="F20" s="88"/>
      <c r="G20" s="331"/>
      <c r="H20" s="543">
        <f t="shared" si="1"/>
        <v>0</v>
      </c>
      <c r="I20" s="1089"/>
      <c r="J20" s="543"/>
      <c r="K20" s="543"/>
      <c r="L20" s="543"/>
    </row>
    <row r="21" spans="1:12" s="54" customFormat="1" ht="12.2" customHeight="1" thickBot="1" x14ac:dyDescent="0.25">
      <c r="A21" s="1037" t="s">
        <v>276</v>
      </c>
      <c r="B21" s="52" t="s">
        <v>157</v>
      </c>
      <c r="C21" s="333">
        <v>10366470</v>
      </c>
      <c r="D21" s="1158">
        <v>10366470</v>
      </c>
      <c r="E21" s="90">
        <v>10366470</v>
      </c>
      <c r="F21" s="90"/>
      <c r="G21" s="90"/>
      <c r="H21" s="544">
        <f t="shared" si="1"/>
        <v>0</v>
      </c>
      <c r="I21" s="1090"/>
      <c r="J21" s="544"/>
      <c r="K21" s="544"/>
      <c r="L21" s="544"/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SUM(C23:C25)</f>
        <v>1203000</v>
      </c>
      <c r="D22" s="1154">
        <f t="shared" ref="D22:L22" si="2">SUM(D23:D25)</f>
        <v>1203000</v>
      </c>
      <c r="E22" s="582">
        <f t="shared" si="2"/>
        <v>1203000</v>
      </c>
      <c r="F22" s="582">
        <f t="shared" si="2"/>
        <v>0</v>
      </c>
      <c r="G22" s="582">
        <f t="shared" si="2"/>
        <v>0</v>
      </c>
      <c r="H22" s="48">
        <f t="shared" si="1"/>
        <v>0</v>
      </c>
      <c r="I22" s="175">
        <f t="shared" si="2"/>
        <v>0</v>
      </c>
      <c r="J22" s="48">
        <f t="shared" si="2"/>
        <v>0</v>
      </c>
      <c r="K22" s="48">
        <f t="shared" si="2"/>
        <v>0</v>
      </c>
      <c r="L22" s="48">
        <f t="shared" si="2"/>
        <v>0</v>
      </c>
    </row>
    <row r="23" spans="1:12" s="54" customFormat="1" ht="12.2" customHeight="1" x14ac:dyDescent="0.2">
      <c r="A23" s="1037" t="s">
        <v>94</v>
      </c>
      <c r="B23" s="17" t="s">
        <v>159</v>
      </c>
      <c r="C23" s="331"/>
      <c r="D23" s="1156"/>
      <c r="E23" s="584"/>
      <c r="F23" s="584"/>
      <c r="G23" s="584"/>
      <c r="H23" s="75">
        <f t="shared" si="1"/>
        <v>0</v>
      </c>
      <c r="I23" s="637"/>
      <c r="J23" s="75"/>
      <c r="K23" s="75"/>
      <c r="L23" s="75"/>
    </row>
    <row r="24" spans="1:12" s="54" customFormat="1" ht="12.2" customHeight="1" x14ac:dyDescent="0.2">
      <c r="A24" s="1037" t="s">
        <v>95</v>
      </c>
      <c r="B24" s="330" t="s">
        <v>160</v>
      </c>
      <c r="C24" s="331"/>
      <c r="D24" s="1156"/>
      <c r="E24" s="88"/>
      <c r="F24" s="88"/>
      <c r="G24" s="88"/>
      <c r="H24" s="541">
        <f t="shared" si="1"/>
        <v>0</v>
      </c>
      <c r="I24" s="1087"/>
      <c r="J24" s="541"/>
      <c r="K24" s="541"/>
      <c r="L24" s="541"/>
    </row>
    <row r="25" spans="1:12" s="54" customFormat="1" ht="12.2" customHeight="1" x14ac:dyDescent="0.2">
      <c r="A25" s="1037" t="s">
        <v>96</v>
      </c>
      <c r="B25" s="330" t="s">
        <v>161</v>
      </c>
      <c r="C25" s="331">
        <v>1203000</v>
      </c>
      <c r="D25" s="1156">
        <v>1203000</v>
      </c>
      <c r="E25" s="88">
        <v>1203000</v>
      </c>
      <c r="F25" s="88"/>
      <c r="G25" s="88"/>
      <c r="H25" s="541">
        <f t="shared" si="1"/>
        <v>0</v>
      </c>
      <c r="I25" s="1087"/>
      <c r="J25" s="541"/>
      <c r="K25" s="541"/>
      <c r="L25" s="541"/>
    </row>
    <row r="26" spans="1:12" s="54" customFormat="1" ht="12.2" customHeight="1" thickBot="1" x14ac:dyDescent="0.25">
      <c r="A26" s="1037" t="s">
        <v>317</v>
      </c>
      <c r="B26" s="335" t="s">
        <v>233</v>
      </c>
      <c r="C26" s="331"/>
      <c r="D26" s="1156"/>
      <c r="E26" s="88"/>
      <c r="F26" s="88"/>
      <c r="G26" s="88"/>
      <c r="H26" s="545">
        <f t="shared" si="1"/>
        <v>0</v>
      </c>
      <c r="I26" s="1091"/>
      <c r="J26" s="545"/>
      <c r="K26" s="545"/>
      <c r="L26" s="545"/>
    </row>
    <row r="27" spans="1:12" s="54" customFormat="1" ht="12.2" customHeight="1" thickBot="1" x14ac:dyDescent="0.25">
      <c r="A27" s="55" t="s">
        <v>14</v>
      </c>
      <c r="B27" s="56" t="s">
        <v>83</v>
      </c>
      <c r="C27" s="130"/>
      <c r="D27" s="1159"/>
      <c r="E27" s="585"/>
      <c r="F27" s="585"/>
      <c r="G27" s="585"/>
      <c r="H27" s="74">
        <f t="shared" si="1"/>
        <v>0</v>
      </c>
      <c r="I27" s="638"/>
      <c r="J27" s="74"/>
      <c r="K27" s="74"/>
      <c r="L27" s="74"/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+C29+C30</f>
        <v>0</v>
      </c>
      <c r="D28" s="1154">
        <f t="shared" ref="D28:L28" si="3">+D29+D30</f>
        <v>0</v>
      </c>
      <c r="E28" s="582">
        <f t="shared" si="3"/>
        <v>0</v>
      </c>
      <c r="F28" s="582">
        <f t="shared" si="3"/>
        <v>0</v>
      </c>
      <c r="G28" s="582">
        <f t="shared" si="3"/>
        <v>0</v>
      </c>
      <c r="H28" s="74">
        <f t="shared" si="1"/>
        <v>0</v>
      </c>
      <c r="I28" s="638">
        <f t="shared" si="3"/>
        <v>0</v>
      </c>
      <c r="J28" s="74">
        <f t="shared" si="3"/>
        <v>0</v>
      </c>
      <c r="K28" s="74">
        <f t="shared" si="3"/>
        <v>0</v>
      </c>
      <c r="L28" s="74">
        <f t="shared" si="3"/>
        <v>0</v>
      </c>
    </row>
    <row r="29" spans="1:12" s="54" customFormat="1" ht="12.2" customHeight="1" x14ac:dyDescent="0.2">
      <c r="A29" s="58" t="s">
        <v>100</v>
      </c>
      <c r="B29" s="59" t="s">
        <v>160</v>
      </c>
      <c r="C29" s="122"/>
      <c r="D29" s="1160"/>
      <c r="E29" s="586"/>
      <c r="F29" s="586"/>
      <c r="G29" s="586"/>
      <c r="H29" s="546">
        <f t="shared" si="1"/>
        <v>0</v>
      </c>
      <c r="I29" s="1092"/>
      <c r="J29" s="546"/>
      <c r="K29" s="546"/>
      <c r="L29" s="546"/>
    </row>
    <row r="30" spans="1:12" s="54" customFormat="1" ht="12.2" customHeight="1" x14ac:dyDescent="0.2">
      <c r="A30" s="58" t="s">
        <v>101</v>
      </c>
      <c r="B30" s="336" t="s">
        <v>163</v>
      </c>
      <c r="C30" s="120"/>
      <c r="D30" s="1161"/>
      <c r="E30" s="107"/>
      <c r="F30" s="107"/>
      <c r="G30" s="339"/>
      <c r="H30" s="534">
        <f t="shared" si="1"/>
        <v>0</v>
      </c>
      <c r="I30" s="630"/>
      <c r="J30" s="534"/>
      <c r="K30" s="534"/>
      <c r="L30" s="534"/>
    </row>
    <row r="31" spans="1:12" s="54" customFormat="1" ht="12.2" customHeight="1" thickBot="1" x14ac:dyDescent="0.25">
      <c r="A31" s="1037" t="s">
        <v>281</v>
      </c>
      <c r="B31" s="102" t="s">
        <v>165</v>
      </c>
      <c r="C31" s="92"/>
      <c r="D31" s="1162"/>
      <c r="E31" s="587"/>
      <c r="F31" s="587"/>
      <c r="G31" s="587"/>
      <c r="H31" s="547">
        <f t="shared" si="1"/>
        <v>0</v>
      </c>
      <c r="I31" s="1093"/>
      <c r="J31" s="547"/>
      <c r="K31" s="547"/>
      <c r="L31" s="547"/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+C33+C34+C35</f>
        <v>0</v>
      </c>
      <c r="D32" s="1154">
        <f t="shared" ref="D32:L32" si="4">+D33+D34+D35</f>
        <v>0</v>
      </c>
      <c r="E32" s="582">
        <f t="shared" si="4"/>
        <v>0</v>
      </c>
      <c r="F32" s="582">
        <f t="shared" si="4"/>
        <v>0</v>
      </c>
      <c r="G32" s="582">
        <f t="shared" si="4"/>
        <v>0</v>
      </c>
      <c r="H32" s="74">
        <f t="shared" si="1"/>
        <v>0</v>
      </c>
      <c r="I32" s="638">
        <f t="shared" si="4"/>
        <v>0</v>
      </c>
      <c r="J32" s="74">
        <f t="shared" si="4"/>
        <v>0</v>
      </c>
      <c r="K32" s="74">
        <f t="shared" si="4"/>
        <v>0</v>
      </c>
      <c r="L32" s="74">
        <f t="shared" si="4"/>
        <v>0</v>
      </c>
    </row>
    <row r="33" spans="1:12" s="54" customFormat="1" ht="12.2" customHeight="1" x14ac:dyDescent="0.2">
      <c r="A33" s="58" t="s">
        <v>89</v>
      </c>
      <c r="B33" s="59" t="s">
        <v>167</v>
      </c>
      <c r="C33" s="122"/>
      <c r="D33" s="1160"/>
      <c r="E33" s="586"/>
      <c r="F33" s="586"/>
      <c r="G33" s="586"/>
      <c r="H33" s="546">
        <f t="shared" si="1"/>
        <v>0</v>
      </c>
      <c r="I33" s="1092"/>
      <c r="J33" s="546"/>
      <c r="K33" s="546"/>
      <c r="L33" s="546"/>
    </row>
    <row r="34" spans="1:12" s="54" customFormat="1" ht="12.2" customHeight="1" x14ac:dyDescent="0.2">
      <c r="A34" s="58" t="s">
        <v>102</v>
      </c>
      <c r="B34" s="336" t="s">
        <v>168</v>
      </c>
      <c r="C34" s="120"/>
      <c r="D34" s="1161"/>
      <c r="E34" s="107"/>
      <c r="F34" s="107"/>
      <c r="G34" s="339"/>
      <c r="H34" s="534">
        <f t="shared" si="1"/>
        <v>0</v>
      </c>
      <c r="I34" s="630"/>
      <c r="J34" s="534"/>
      <c r="K34" s="534"/>
      <c r="L34" s="534"/>
    </row>
    <row r="35" spans="1:12" s="54" customFormat="1" ht="12.2" customHeight="1" thickBot="1" x14ac:dyDescent="0.25">
      <c r="A35" s="1037" t="s">
        <v>103</v>
      </c>
      <c r="B35" s="62" t="s">
        <v>169</v>
      </c>
      <c r="C35" s="92"/>
      <c r="D35" s="1162"/>
      <c r="E35" s="587"/>
      <c r="F35" s="587"/>
      <c r="G35" s="587"/>
      <c r="H35" s="548">
        <f t="shared" si="1"/>
        <v>0</v>
      </c>
      <c r="I35" s="1094"/>
      <c r="J35" s="548"/>
      <c r="K35" s="548"/>
      <c r="L35" s="548"/>
    </row>
    <row r="36" spans="1:12" s="26" customFormat="1" ht="12.2" customHeight="1" thickBot="1" x14ac:dyDescent="0.25">
      <c r="A36" s="55" t="s">
        <v>17</v>
      </c>
      <c r="B36" s="56" t="s">
        <v>170</v>
      </c>
      <c r="C36" s="130"/>
      <c r="D36" s="1159"/>
      <c r="E36" s="585"/>
      <c r="F36" s="585"/>
      <c r="G36" s="585"/>
      <c r="H36" s="74">
        <f t="shared" si="1"/>
        <v>0</v>
      </c>
      <c r="I36" s="638"/>
      <c r="J36" s="74"/>
      <c r="K36" s="74"/>
      <c r="L36" s="74"/>
    </row>
    <row r="37" spans="1:12" s="26" customFormat="1" ht="12.2" customHeight="1" thickBot="1" x14ac:dyDescent="0.25">
      <c r="A37" s="1038" t="s">
        <v>104</v>
      </c>
      <c r="B37" s="337" t="s">
        <v>165</v>
      </c>
      <c r="C37" s="130"/>
      <c r="D37" s="1159"/>
      <c r="E37" s="588"/>
      <c r="F37" s="588"/>
      <c r="G37" s="588"/>
      <c r="H37" s="549">
        <f t="shared" si="1"/>
        <v>0</v>
      </c>
      <c r="I37" s="1095"/>
      <c r="J37" s="549"/>
      <c r="K37" s="549"/>
      <c r="L37" s="549"/>
    </row>
    <row r="38" spans="1:12" s="26" customFormat="1" ht="12.2" customHeight="1" thickBot="1" x14ac:dyDescent="0.25">
      <c r="A38" s="55" t="s">
        <v>18</v>
      </c>
      <c r="B38" s="56" t="s">
        <v>555</v>
      </c>
      <c r="C38" s="130"/>
      <c r="D38" s="1159"/>
      <c r="E38" s="585"/>
      <c r="F38" s="585"/>
      <c r="G38" s="585"/>
      <c r="H38" s="74">
        <f t="shared" si="1"/>
        <v>0</v>
      </c>
      <c r="I38" s="638"/>
      <c r="J38" s="74"/>
      <c r="K38" s="74"/>
      <c r="L38" s="74"/>
    </row>
    <row r="39" spans="1:12" s="26" customFormat="1" ht="12.2" customHeight="1" x14ac:dyDescent="0.2">
      <c r="A39" s="12" t="s">
        <v>107</v>
      </c>
      <c r="B39" s="95" t="s">
        <v>212</v>
      </c>
      <c r="C39" s="131"/>
      <c r="D39" s="1163"/>
      <c r="E39" s="589"/>
      <c r="F39" s="589"/>
      <c r="G39" s="589"/>
      <c r="H39" s="550">
        <f t="shared" si="1"/>
        <v>0</v>
      </c>
      <c r="I39" s="1096"/>
      <c r="J39" s="550"/>
      <c r="K39" s="550"/>
      <c r="L39" s="550"/>
    </row>
    <row r="40" spans="1:12" s="26" customFormat="1" ht="12.2" customHeight="1" x14ac:dyDescent="0.2">
      <c r="A40" s="1003" t="s">
        <v>108</v>
      </c>
      <c r="B40" s="346" t="s">
        <v>213</v>
      </c>
      <c r="C40" s="338"/>
      <c r="D40" s="1164"/>
      <c r="E40" s="590"/>
      <c r="F40" s="590"/>
      <c r="G40" s="590"/>
      <c r="H40" s="551">
        <f t="shared" si="1"/>
        <v>0</v>
      </c>
      <c r="I40" s="1097"/>
      <c r="J40" s="551"/>
      <c r="K40" s="551"/>
      <c r="L40" s="551"/>
    </row>
    <row r="41" spans="1:12" s="26" customFormat="1" ht="12.2" customHeight="1" thickBot="1" x14ac:dyDescent="0.25">
      <c r="A41" s="1003" t="s">
        <v>323</v>
      </c>
      <c r="B41" s="103" t="s">
        <v>165</v>
      </c>
      <c r="C41" s="133"/>
      <c r="D41" s="1165"/>
      <c r="E41" s="591"/>
      <c r="F41" s="591"/>
      <c r="G41" s="591"/>
      <c r="H41" s="552">
        <f t="shared" si="1"/>
        <v>0</v>
      </c>
      <c r="I41" s="1098"/>
      <c r="J41" s="552"/>
      <c r="K41" s="552"/>
      <c r="L41" s="552"/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12599470</v>
      </c>
      <c r="D42" s="1154">
        <f t="shared" ref="D42:L42" si="5">+D10+D22+D27+D28+D32+D36+D38</f>
        <v>12599470</v>
      </c>
      <c r="E42" s="582">
        <f t="shared" si="5"/>
        <v>12599470</v>
      </c>
      <c r="F42" s="582">
        <f t="shared" si="5"/>
        <v>0</v>
      </c>
      <c r="G42" s="582">
        <f t="shared" si="5"/>
        <v>0</v>
      </c>
      <c r="H42" s="74">
        <f t="shared" si="1"/>
        <v>0</v>
      </c>
      <c r="I42" s="638">
        <f t="shared" si="5"/>
        <v>0</v>
      </c>
      <c r="J42" s="74">
        <f t="shared" si="5"/>
        <v>0</v>
      </c>
      <c r="K42" s="74">
        <f t="shared" si="5"/>
        <v>0</v>
      </c>
      <c r="L42" s="74">
        <f t="shared" si="5"/>
        <v>0</v>
      </c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SUM(C44:C47)</f>
        <v>211157765</v>
      </c>
      <c r="D43" s="1154">
        <f t="shared" ref="D43:L43" si="6">SUM(D44:D47)</f>
        <v>213921765</v>
      </c>
      <c r="E43" s="582">
        <f t="shared" si="6"/>
        <v>263756663</v>
      </c>
      <c r="F43" s="582">
        <f t="shared" si="6"/>
        <v>0</v>
      </c>
      <c r="G43" s="582">
        <f t="shared" si="6"/>
        <v>0</v>
      </c>
      <c r="H43" s="74">
        <f t="shared" si="1"/>
        <v>49834898</v>
      </c>
      <c r="I43" s="638">
        <f t="shared" si="6"/>
        <v>0</v>
      </c>
      <c r="J43" s="74">
        <f t="shared" si="6"/>
        <v>0</v>
      </c>
      <c r="K43" s="74">
        <f t="shared" si="6"/>
        <v>0</v>
      </c>
      <c r="L43" s="74">
        <f t="shared" si="6"/>
        <v>0</v>
      </c>
    </row>
    <row r="44" spans="1:12" s="26" customFormat="1" ht="12.2" customHeight="1" x14ac:dyDescent="0.2">
      <c r="A44" s="58" t="s">
        <v>171</v>
      </c>
      <c r="B44" s="59" t="s">
        <v>131</v>
      </c>
      <c r="C44" s="122"/>
      <c r="D44" s="1160"/>
      <c r="E44" s="586"/>
      <c r="F44" s="586"/>
      <c r="G44" s="586"/>
      <c r="H44" s="546">
        <f t="shared" si="1"/>
        <v>0</v>
      </c>
      <c r="I44" s="1092"/>
      <c r="J44" s="546"/>
      <c r="K44" s="546"/>
      <c r="L44" s="546"/>
    </row>
    <row r="45" spans="1:12" s="26" customFormat="1" ht="12.2" customHeight="1" x14ac:dyDescent="0.2">
      <c r="A45" s="71" t="s">
        <v>172</v>
      </c>
      <c r="B45" s="59" t="s">
        <v>186</v>
      </c>
      <c r="C45" s="120"/>
      <c r="D45" s="1161"/>
      <c r="E45" s="91"/>
      <c r="F45" s="91"/>
      <c r="G45" s="91"/>
      <c r="H45" s="553">
        <f t="shared" si="1"/>
        <v>0</v>
      </c>
      <c r="I45" s="1099"/>
      <c r="J45" s="553"/>
      <c r="K45" s="553"/>
      <c r="L45" s="553"/>
    </row>
    <row r="46" spans="1:12" s="26" customFormat="1" ht="12.2" customHeight="1" x14ac:dyDescent="0.2">
      <c r="A46" s="1037" t="s">
        <v>173</v>
      </c>
      <c r="B46" s="336" t="s">
        <v>177</v>
      </c>
      <c r="C46" s="339">
        <f>C70-C42-C44-C63-C65-C68+C38+C32+C28</f>
        <v>209657765</v>
      </c>
      <c r="D46" s="1166">
        <f t="shared" ref="D46:L46" si="7">D70-D42-D63-D65-D68</f>
        <v>212421765</v>
      </c>
      <c r="E46" s="107">
        <f t="shared" si="7"/>
        <v>262256663</v>
      </c>
      <c r="F46" s="107">
        <f t="shared" si="7"/>
        <v>0</v>
      </c>
      <c r="G46" s="107">
        <f t="shared" si="7"/>
        <v>0</v>
      </c>
      <c r="H46" s="534">
        <f t="shared" si="1"/>
        <v>49834898</v>
      </c>
      <c r="I46" s="630">
        <f t="shared" si="7"/>
        <v>0</v>
      </c>
      <c r="J46" s="534">
        <f t="shared" si="7"/>
        <v>0</v>
      </c>
      <c r="K46" s="534">
        <f t="shared" si="7"/>
        <v>0</v>
      </c>
      <c r="L46" s="534">
        <f t="shared" si="7"/>
        <v>0</v>
      </c>
    </row>
    <row r="47" spans="1:12" s="54" customFormat="1" ht="12.2" customHeight="1" thickBot="1" x14ac:dyDescent="0.25">
      <c r="A47" s="58" t="s">
        <v>178</v>
      </c>
      <c r="B47" s="62" t="s">
        <v>179</v>
      </c>
      <c r="C47" s="1034">
        <f>C62</f>
        <v>1500000</v>
      </c>
      <c r="D47" s="1167">
        <f t="shared" ref="D47:L47" si="8">D62</f>
        <v>1500000</v>
      </c>
      <c r="E47" s="587">
        <f t="shared" si="8"/>
        <v>1500000</v>
      </c>
      <c r="F47" s="587">
        <f t="shared" si="8"/>
        <v>0</v>
      </c>
      <c r="G47" s="587">
        <f t="shared" si="8"/>
        <v>0</v>
      </c>
      <c r="H47" s="548">
        <f t="shared" si="1"/>
        <v>0</v>
      </c>
      <c r="I47" s="1094">
        <f t="shared" si="8"/>
        <v>0</v>
      </c>
      <c r="J47" s="548">
        <f t="shared" si="8"/>
        <v>0</v>
      </c>
      <c r="K47" s="548">
        <f t="shared" si="8"/>
        <v>0</v>
      </c>
      <c r="L47" s="548">
        <f t="shared" si="8"/>
        <v>0</v>
      </c>
    </row>
    <row r="48" spans="1:12" s="54" customFormat="1" ht="15" customHeight="1" thickBot="1" x14ac:dyDescent="0.25">
      <c r="A48" s="63" t="s">
        <v>21</v>
      </c>
      <c r="B48" s="524" t="s">
        <v>174</v>
      </c>
      <c r="C48" s="135">
        <f>+C42+C43</f>
        <v>223757235</v>
      </c>
      <c r="D48" s="1168">
        <f t="shared" ref="D48:L48" si="9">+D42+D43</f>
        <v>226521235</v>
      </c>
      <c r="E48" s="592">
        <f t="shared" si="9"/>
        <v>276356133</v>
      </c>
      <c r="F48" s="592">
        <f t="shared" si="9"/>
        <v>0</v>
      </c>
      <c r="G48" s="592">
        <f t="shared" si="9"/>
        <v>0</v>
      </c>
      <c r="H48" s="557">
        <f>+E48-D48</f>
        <v>49834898</v>
      </c>
      <c r="I48" s="1100">
        <f t="shared" si="9"/>
        <v>0</v>
      </c>
      <c r="J48" s="557">
        <f t="shared" si="9"/>
        <v>0</v>
      </c>
      <c r="K48" s="557">
        <f t="shared" si="9"/>
        <v>0</v>
      </c>
      <c r="L48" s="557">
        <f t="shared" si="9"/>
        <v>0</v>
      </c>
    </row>
    <row r="49" spans="1:12" s="54" customFormat="1" ht="15" customHeight="1" x14ac:dyDescent="0.2">
      <c r="A49" s="64"/>
      <c r="B49" s="65"/>
      <c r="C49" s="66"/>
      <c r="D49" s="1169"/>
      <c r="E49" s="66"/>
      <c r="F49" s="66"/>
      <c r="G49" s="66"/>
      <c r="H49" s="66"/>
      <c r="I49" s="66"/>
      <c r="J49" s="66"/>
      <c r="K49" s="66"/>
      <c r="L49" s="66"/>
    </row>
    <row r="50" spans="1:12" s="54" customFormat="1" ht="15" customHeight="1" x14ac:dyDescent="0.2">
      <c r="A50" s="64"/>
      <c r="B50" s="65"/>
      <c r="C50" s="66"/>
      <c r="D50" s="1169"/>
      <c r="E50" s="66"/>
      <c r="F50" s="66"/>
      <c r="G50" s="66"/>
      <c r="H50" s="66"/>
      <c r="I50" s="66"/>
      <c r="J50" s="66"/>
      <c r="K50" s="66"/>
      <c r="L50" s="66"/>
    </row>
    <row r="51" spans="1:12" ht="13.5" thickBot="1" x14ac:dyDescent="0.25">
      <c r="A51" s="1912" t="s">
        <v>362</v>
      </c>
      <c r="B51" s="1912"/>
      <c r="C51" s="1912"/>
      <c r="D51" s="1912"/>
      <c r="E51" s="1912"/>
      <c r="F51" s="1912"/>
      <c r="G51" s="1912"/>
      <c r="H51" s="1912"/>
    </row>
    <row r="52" spans="1:12" s="554" customFormat="1" ht="55.5" customHeight="1" thickBot="1" x14ac:dyDescent="0.25">
      <c r="A52" s="641"/>
      <c r="B52" s="642" t="s">
        <v>38</v>
      </c>
      <c r="C52" s="21" t="str">
        <f>C7</f>
        <v>2023. évi eredeti előirányzat
2/2023. (II.14.)</v>
      </c>
      <c r="D52" s="1170" t="str">
        <f t="shared" ref="D52:L52" si="10">D7</f>
        <v>Módosított előirányzat a 14/2023.  (VI.29.)  rendelet szerint</v>
      </c>
      <c r="E52" s="21" t="str">
        <f t="shared" si="10"/>
        <v>Módosított előirányzat a 18/2023. (IX.26.)  rendelet szerint</v>
      </c>
      <c r="F52" s="21" t="str">
        <f t="shared" si="10"/>
        <v>Módosított előirányzat 2023.09.30-án</v>
      </c>
      <c r="G52" s="21" t="str">
        <f t="shared" si="10"/>
        <v>Módosított előirányzat a …../2023. (II…..)  rendelet szerint</v>
      </c>
      <c r="H52" s="32" t="str">
        <f t="shared" si="10"/>
        <v>Változás a 14/2023. (VI.29.) rendelethez képest</v>
      </c>
      <c r="I52" s="166" t="str">
        <f t="shared" si="10"/>
        <v>2023. évi teljesítés              2023.06.30-ig</v>
      </c>
      <c r="J52" s="21" t="str">
        <f t="shared" si="10"/>
        <v>2023. évi teljesítés              2023.09.30-ig</v>
      </c>
      <c r="K52" s="21" t="str">
        <f t="shared" si="10"/>
        <v>2023. évi teljesítés              2023.12.31-ig</v>
      </c>
      <c r="L52" s="21" t="str">
        <f t="shared" si="10"/>
        <v>Teljesítés %-a</v>
      </c>
    </row>
    <row r="53" spans="1:12" s="31" customFormat="1" ht="12.2" customHeight="1" thickBot="1" x14ac:dyDescent="0.25">
      <c r="A53" s="55" t="s">
        <v>12</v>
      </c>
      <c r="B53" s="56" t="s">
        <v>547</v>
      </c>
      <c r="C53" s="89">
        <f>SUM(C54:C59)-C55</f>
        <v>222257235</v>
      </c>
      <c r="D53" s="1154">
        <f t="shared" ref="D53:L53" si="11">SUM(D54:D59)-D55</f>
        <v>225021235</v>
      </c>
      <c r="E53" s="582">
        <f t="shared" si="11"/>
        <v>274856133</v>
      </c>
      <c r="F53" s="582">
        <f t="shared" si="11"/>
        <v>0</v>
      </c>
      <c r="G53" s="582">
        <f t="shared" si="11"/>
        <v>0</v>
      </c>
      <c r="H53" s="48">
        <f>+E53-D53</f>
        <v>49834898</v>
      </c>
      <c r="I53" s="175">
        <f t="shared" si="11"/>
        <v>0</v>
      </c>
      <c r="J53" s="48">
        <f t="shared" si="11"/>
        <v>0</v>
      </c>
      <c r="K53" s="48">
        <f t="shared" si="11"/>
        <v>0</v>
      </c>
      <c r="L53" s="48">
        <f t="shared" si="11"/>
        <v>0</v>
      </c>
    </row>
    <row r="54" spans="1:12" ht="12.2" customHeight="1" x14ac:dyDescent="0.2">
      <c r="A54" s="1037" t="s">
        <v>91</v>
      </c>
      <c r="B54" s="17" t="s">
        <v>68</v>
      </c>
      <c r="C54" s="122">
        <v>154474818</v>
      </c>
      <c r="D54" s="1160">
        <f>154474818+1300000</f>
        <v>155774818</v>
      </c>
      <c r="E54" s="586">
        <f>155774818+75000+(150000*26)+7094317+30472200</f>
        <v>197316335</v>
      </c>
      <c r="F54" s="586"/>
      <c r="G54" s="586"/>
      <c r="H54" s="324">
        <f t="shared" ref="H54:H72" si="12">+E54-D54</f>
        <v>41541517</v>
      </c>
      <c r="I54" s="177"/>
      <c r="J54" s="33"/>
      <c r="K54" s="33"/>
      <c r="L54" s="33"/>
    </row>
    <row r="55" spans="1:12" ht="12.2" customHeight="1" x14ac:dyDescent="0.2">
      <c r="A55" s="1037" t="s">
        <v>305</v>
      </c>
      <c r="B55" s="335" t="s">
        <v>270</v>
      </c>
      <c r="C55" s="122"/>
      <c r="D55" s="1160"/>
      <c r="E55" s="1391">
        <v>7094317</v>
      </c>
      <c r="F55" s="586"/>
      <c r="G55" s="586"/>
      <c r="H55" s="324">
        <f t="shared" si="12"/>
        <v>7094317</v>
      </c>
      <c r="I55" s="177"/>
      <c r="J55" s="33"/>
      <c r="K55" s="33"/>
      <c r="L55" s="33"/>
    </row>
    <row r="56" spans="1:12" ht="12.2" customHeight="1" x14ac:dyDescent="0.2">
      <c r="A56" s="1037" t="s">
        <v>92</v>
      </c>
      <c r="B56" s="330" t="s">
        <v>87</v>
      </c>
      <c r="C56" s="339">
        <v>18805774</v>
      </c>
      <c r="D56" s="1166">
        <f>18805774+364000</f>
        <v>19169774</v>
      </c>
      <c r="E56" s="107">
        <f>19169774+(150000*26*0.28)+922261+6279120</f>
        <v>27463155</v>
      </c>
      <c r="F56" s="107"/>
      <c r="G56" s="107"/>
      <c r="H56" s="324">
        <f t="shared" si="12"/>
        <v>8293381</v>
      </c>
      <c r="I56" s="503"/>
      <c r="J56" s="324"/>
      <c r="K56" s="324"/>
      <c r="L56" s="324"/>
    </row>
    <row r="57" spans="1:12" ht="12.2" customHeight="1" x14ac:dyDescent="0.2">
      <c r="A57" s="1037" t="s">
        <v>93</v>
      </c>
      <c r="B57" s="330" t="s">
        <v>69</v>
      </c>
      <c r="C57" s="339">
        <v>48976643</v>
      </c>
      <c r="D57" s="1166">
        <f>48976643+1100000</f>
        <v>50076643</v>
      </c>
      <c r="E57" s="107">
        <v>50076643</v>
      </c>
      <c r="F57" s="107"/>
      <c r="G57" s="107"/>
      <c r="H57" s="324">
        <f t="shared" si="12"/>
        <v>0</v>
      </c>
      <c r="I57" s="503"/>
      <c r="J57" s="324"/>
      <c r="K57" s="324"/>
      <c r="L57" s="324"/>
    </row>
    <row r="58" spans="1:12" ht="12.2" customHeight="1" x14ac:dyDescent="0.2">
      <c r="A58" s="1037" t="s">
        <v>90</v>
      </c>
      <c r="B58" s="330" t="s">
        <v>80</v>
      </c>
      <c r="C58" s="339"/>
      <c r="D58" s="1166"/>
      <c r="E58" s="107"/>
      <c r="F58" s="107"/>
      <c r="G58" s="107"/>
      <c r="H58" s="324">
        <f t="shared" si="12"/>
        <v>0</v>
      </c>
      <c r="I58" s="503"/>
      <c r="J58" s="324"/>
      <c r="K58" s="324"/>
      <c r="L58" s="324"/>
    </row>
    <row r="59" spans="1:12" ht="12.2" customHeight="1" x14ac:dyDescent="0.2">
      <c r="A59" s="1037" t="s">
        <v>147</v>
      </c>
      <c r="B59" s="330" t="s">
        <v>88</v>
      </c>
      <c r="C59" s="339"/>
      <c r="D59" s="1166">
        <f t="shared" ref="D59:L59" si="13">SUM(D60:D61)</f>
        <v>0</v>
      </c>
      <c r="E59" s="107">
        <f t="shared" si="13"/>
        <v>0</v>
      </c>
      <c r="F59" s="107">
        <f t="shared" si="13"/>
        <v>0</v>
      </c>
      <c r="G59" s="107">
        <f t="shared" si="13"/>
        <v>0</v>
      </c>
      <c r="H59" s="324">
        <f t="shared" si="12"/>
        <v>0</v>
      </c>
      <c r="I59" s="503">
        <f t="shared" si="13"/>
        <v>0</v>
      </c>
      <c r="J59" s="324">
        <f t="shared" si="13"/>
        <v>0</v>
      </c>
      <c r="K59" s="324">
        <f t="shared" si="13"/>
        <v>0</v>
      </c>
      <c r="L59" s="324">
        <f t="shared" si="13"/>
        <v>0</v>
      </c>
    </row>
    <row r="60" spans="1:12" ht="12.2" customHeight="1" x14ac:dyDescent="0.2">
      <c r="A60" s="1037" t="s">
        <v>306</v>
      </c>
      <c r="B60" s="521" t="s">
        <v>235</v>
      </c>
      <c r="C60" s="339"/>
      <c r="D60" s="1166"/>
      <c r="E60" s="107"/>
      <c r="F60" s="107"/>
      <c r="G60" s="107"/>
      <c r="H60" s="324">
        <f t="shared" si="12"/>
        <v>0</v>
      </c>
      <c r="I60" s="503"/>
      <c r="J60" s="324"/>
      <c r="K60" s="324"/>
      <c r="L60" s="324"/>
    </row>
    <row r="61" spans="1:12" ht="12.2" customHeight="1" thickBot="1" x14ac:dyDescent="0.25">
      <c r="A61" s="84" t="s">
        <v>307</v>
      </c>
      <c r="B61" s="85" t="s">
        <v>234</v>
      </c>
      <c r="C61" s="92"/>
      <c r="D61" s="1162"/>
      <c r="E61" s="593"/>
      <c r="F61" s="593"/>
      <c r="G61" s="593"/>
      <c r="H61" s="61">
        <f t="shared" si="12"/>
        <v>0</v>
      </c>
      <c r="I61" s="178"/>
      <c r="J61" s="61"/>
      <c r="K61" s="61"/>
      <c r="L61" s="61"/>
    </row>
    <row r="62" spans="1:12" ht="12.2" customHeight="1" thickBot="1" x14ac:dyDescent="0.25">
      <c r="A62" s="55" t="s">
        <v>13</v>
      </c>
      <c r="B62" s="56" t="s">
        <v>548</v>
      </c>
      <c r="C62" s="89">
        <f>SUM(C63:C67)</f>
        <v>1500000</v>
      </c>
      <c r="D62" s="1154">
        <f t="shared" ref="D62:L62" si="14">SUM(D63:D67)</f>
        <v>1500000</v>
      </c>
      <c r="E62" s="582">
        <f t="shared" si="14"/>
        <v>1500000</v>
      </c>
      <c r="F62" s="582">
        <f t="shared" si="14"/>
        <v>0</v>
      </c>
      <c r="G62" s="582">
        <f t="shared" si="14"/>
        <v>0</v>
      </c>
      <c r="H62" s="48">
        <f t="shared" si="12"/>
        <v>0</v>
      </c>
      <c r="I62" s="175">
        <f t="shared" si="14"/>
        <v>0</v>
      </c>
      <c r="J62" s="48">
        <f t="shared" si="14"/>
        <v>0</v>
      </c>
      <c r="K62" s="48">
        <f t="shared" si="14"/>
        <v>0</v>
      </c>
      <c r="L62" s="48">
        <f t="shared" si="14"/>
        <v>0</v>
      </c>
    </row>
    <row r="63" spans="1:12" s="31" customFormat="1" ht="12.2" customHeight="1" x14ac:dyDescent="0.2">
      <c r="A63" s="1037" t="s">
        <v>94</v>
      </c>
      <c r="B63" s="17" t="s">
        <v>119</v>
      </c>
      <c r="C63" s="122">
        <v>1500000</v>
      </c>
      <c r="D63" s="1160">
        <v>1500000</v>
      </c>
      <c r="E63" s="586">
        <v>1500000</v>
      </c>
      <c r="F63" s="586"/>
      <c r="G63" s="586"/>
      <c r="H63" s="33">
        <f t="shared" si="12"/>
        <v>0</v>
      </c>
      <c r="I63" s="177"/>
      <c r="J63" s="33"/>
      <c r="K63" s="33"/>
      <c r="L63" s="33"/>
    </row>
    <row r="64" spans="1:12" s="31" customFormat="1" ht="12.2" customHeight="1" x14ac:dyDescent="0.2">
      <c r="A64" s="1037" t="s">
        <v>316</v>
      </c>
      <c r="B64" s="522" t="s">
        <v>236</v>
      </c>
      <c r="C64" s="122"/>
      <c r="D64" s="1160"/>
      <c r="E64" s="586"/>
      <c r="F64" s="586"/>
      <c r="G64" s="586"/>
      <c r="H64" s="33">
        <f t="shared" si="12"/>
        <v>0</v>
      </c>
      <c r="I64" s="177"/>
      <c r="J64" s="33"/>
      <c r="K64" s="33"/>
      <c r="L64" s="33"/>
    </row>
    <row r="65" spans="1:12" ht="12.2" customHeight="1" x14ac:dyDescent="0.2">
      <c r="A65" s="1037" t="s">
        <v>95</v>
      </c>
      <c r="B65" s="330" t="s">
        <v>2</v>
      </c>
      <c r="C65" s="339"/>
      <c r="D65" s="1166"/>
      <c r="E65" s="107"/>
      <c r="F65" s="107"/>
      <c r="G65" s="107"/>
      <c r="H65" s="324">
        <f t="shared" si="12"/>
        <v>0</v>
      </c>
      <c r="I65" s="503"/>
      <c r="J65" s="324"/>
      <c r="K65" s="324"/>
      <c r="L65" s="324"/>
    </row>
    <row r="66" spans="1:12" ht="12.2" customHeight="1" x14ac:dyDescent="0.2">
      <c r="A66" s="1037" t="s">
        <v>342</v>
      </c>
      <c r="B66" s="523" t="s">
        <v>237</v>
      </c>
      <c r="C66" s="339"/>
      <c r="D66" s="1166"/>
      <c r="E66" s="107"/>
      <c r="F66" s="107"/>
      <c r="G66" s="107"/>
      <c r="H66" s="324">
        <f t="shared" si="12"/>
        <v>0</v>
      </c>
      <c r="I66" s="503"/>
      <c r="J66" s="324"/>
      <c r="K66" s="324"/>
      <c r="L66" s="324"/>
    </row>
    <row r="67" spans="1:12" ht="12.2" customHeight="1" x14ac:dyDescent="0.2">
      <c r="A67" s="1037" t="s">
        <v>96</v>
      </c>
      <c r="B67" s="17" t="s">
        <v>175</v>
      </c>
      <c r="C67" s="339">
        <f>SUM(C68:C69)</f>
        <v>0</v>
      </c>
      <c r="D67" s="1166">
        <f t="shared" ref="D67:L67" si="15">SUM(D68:D69)</f>
        <v>0</v>
      </c>
      <c r="E67" s="107">
        <f t="shared" si="15"/>
        <v>0</v>
      </c>
      <c r="F67" s="107">
        <f t="shared" si="15"/>
        <v>0</v>
      </c>
      <c r="G67" s="107">
        <f t="shared" si="15"/>
        <v>0</v>
      </c>
      <c r="H67" s="324">
        <f t="shared" si="12"/>
        <v>0</v>
      </c>
      <c r="I67" s="503">
        <f t="shared" si="15"/>
        <v>0</v>
      </c>
      <c r="J67" s="324">
        <f t="shared" si="15"/>
        <v>0</v>
      </c>
      <c r="K67" s="324">
        <f t="shared" si="15"/>
        <v>0</v>
      </c>
      <c r="L67" s="324">
        <f t="shared" si="15"/>
        <v>0</v>
      </c>
    </row>
    <row r="68" spans="1:12" ht="12.2" customHeight="1" x14ac:dyDescent="0.2">
      <c r="A68" s="1037" t="s">
        <v>317</v>
      </c>
      <c r="B68" s="521" t="s">
        <v>239</v>
      </c>
      <c r="C68" s="339"/>
      <c r="D68" s="1166"/>
      <c r="E68" s="107"/>
      <c r="F68" s="107"/>
      <c r="G68" s="107"/>
      <c r="H68" s="324">
        <f t="shared" si="12"/>
        <v>0</v>
      </c>
      <c r="I68" s="503"/>
      <c r="J68" s="324"/>
      <c r="K68" s="324"/>
      <c r="L68" s="324"/>
    </row>
    <row r="69" spans="1:12" ht="12.2" customHeight="1" thickBot="1" x14ac:dyDescent="0.25">
      <c r="A69" s="84" t="s">
        <v>318</v>
      </c>
      <c r="B69" s="85" t="s">
        <v>238</v>
      </c>
      <c r="C69" s="92"/>
      <c r="D69" s="1166"/>
      <c r="E69" s="107"/>
      <c r="F69" s="107"/>
      <c r="G69" s="107"/>
      <c r="H69" s="324">
        <f t="shared" si="12"/>
        <v>0</v>
      </c>
      <c r="I69" s="503"/>
      <c r="J69" s="324"/>
      <c r="K69" s="324"/>
      <c r="L69" s="324"/>
    </row>
    <row r="70" spans="1:12" ht="15" customHeight="1" thickBot="1" x14ac:dyDescent="0.25">
      <c r="A70" s="55" t="s">
        <v>14</v>
      </c>
      <c r="B70" s="67" t="s">
        <v>176</v>
      </c>
      <c r="C70" s="135">
        <f>+C53+C62</f>
        <v>223757235</v>
      </c>
      <c r="D70" s="1168">
        <f t="shared" ref="D70:L70" si="16">+D53+D62</f>
        <v>226521235</v>
      </c>
      <c r="E70" s="592">
        <f t="shared" si="16"/>
        <v>276356133</v>
      </c>
      <c r="F70" s="592">
        <f t="shared" si="16"/>
        <v>0</v>
      </c>
      <c r="G70" s="592">
        <f t="shared" si="16"/>
        <v>0</v>
      </c>
      <c r="H70" s="68">
        <f>+E70-D70</f>
        <v>49834898</v>
      </c>
      <c r="I70" s="176">
        <f t="shared" si="16"/>
        <v>0</v>
      </c>
      <c r="J70" s="68">
        <f t="shared" si="16"/>
        <v>0</v>
      </c>
      <c r="K70" s="68">
        <f t="shared" si="16"/>
        <v>0</v>
      </c>
      <c r="L70" s="68">
        <f t="shared" si="16"/>
        <v>0</v>
      </c>
    </row>
    <row r="71" spans="1:12" ht="13.5" thickBot="1" x14ac:dyDescent="0.25">
      <c r="C71" s="27"/>
      <c r="D71" s="1171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634" t="s">
        <v>292</v>
      </c>
      <c r="B72" s="636"/>
      <c r="C72" s="136">
        <v>26</v>
      </c>
      <c r="D72" s="1172">
        <v>26</v>
      </c>
      <c r="E72" s="520">
        <v>26</v>
      </c>
      <c r="F72" s="520"/>
      <c r="G72" s="520"/>
      <c r="H72" s="174">
        <f t="shared" si="12"/>
        <v>0</v>
      </c>
      <c r="I72" s="174"/>
      <c r="J72" s="174"/>
      <c r="K72" s="174"/>
      <c r="L72" s="174"/>
    </row>
    <row r="73" spans="1:12" ht="14.25" hidden="1" customHeight="1" thickBot="1" x14ac:dyDescent="0.25">
      <c r="A73" s="69" t="s">
        <v>291</v>
      </c>
      <c r="B73" s="70"/>
      <c r="C73" s="609"/>
      <c r="D73" s="1173"/>
      <c r="E73" s="607"/>
      <c r="F73" s="607"/>
      <c r="G73" s="607"/>
      <c r="H73" s="609"/>
      <c r="I73" s="609"/>
      <c r="J73" s="609"/>
      <c r="K73" s="609"/>
      <c r="L73" s="609"/>
    </row>
    <row r="74" spans="1:12" x14ac:dyDescent="0.2">
      <c r="D74" s="1174"/>
      <c r="E74" s="163"/>
      <c r="F74" s="163"/>
      <c r="G74" s="163"/>
      <c r="H74" s="163" t="s">
        <v>385</v>
      </c>
      <c r="I74" s="163"/>
      <c r="J74" s="163"/>
      <c r="K74" s="163"/>
      <c r="L74" s="163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4"/>
  <sheetViews>
    <sheetView view="pageBreakPreview" zoomScale="110" zoomScaleNormal="100" zoomScaleSheetLayoutView="110" workbookViewId="0">
      <selection activeCell="A2" sqref="A2:H2"/>
    </sheetView>
  </sheetViews>
  <sheetFormatPr defaultRowHeight="12.75" x14ac:dyDescent="0.2"/>
  <cols>
    <col min="1" max="1" width="12" style="988" customWidth="1"/>
    <col min="2" max="2" width="67" style="25" customWidth="1"/>
    <col min="3" max="3" width="16.33203125" style="25" customWidth="1"/>
    <col min="4" max="5" width="17" style="25" customWidth="1"/>
    <col min="6" max="7" width="17" style="25" hidden="1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535" customFormat="1" ht="12.75" customHeight="1" x14ac:dyDescent="0.2">
      <c r="A1" s="1774" t="s">
        <v>808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729</v>
      </c>
      <c r="B2" s="1774"/>
      <c r="C2" s="1774"/>
      <c r="D2" s="1774"/>
      <c r="E2" s="1774"/>
      <c r="F2" s="1774"/>
      <c r="G2" s="1774"/>
      <c r="H2" s="1774"/>
    </row>
    <row r="3" spans="1:12" s="24" customFormat="1" ht="21.2" customHeight="1" thickBot="1" x14ac:dyDescent="0.25">
      <c r="A3" s="170"/>
      <c r="C3" s="982"/>
      <c r="D3" s="982"/>
      <c r="E3" s="982"/>
      <c r="F3" s="982"/>
      <c r="G3" s="982"/>
      <c r="H3" s="982"/>
      <c r="I3" s="982"/>
      <c r="J3" s="982"/>
      <c r="K3" s="982"/>
      <c r="L3" s="982"/>
    </row>
    <row r="4" spans="1:12" s="38" customFormat="1" ht="38.25" customHeight="1" x14ac:dyDescent="0.2">
      <c r="A4" s="36" t="s">
        <v>137</v>
      </c>
      <c r="B4" s="37" t="s">
        <v>85</v>
      </c>
      <c r="C4" s="1039"/>
      <c r="D4" s="617"/>
      <c r="E4" s="617"/>
      <c r="F4" s="617"/>
      <c r="G4" s="617"/>
      <c r="H4" s="517" t="s">
        <v>184</v>
      </c>
    </row>
    <row r="5" spans="1:12" s="38" customFormat="1" ht="36.75" thickBot="1" x14ac:dyDescent="0.25">
      <c r="A5" s="39" t="s">
        <v>139</v>
      </c>
      <c r="B5" s="40" t="s">
        <v>404</v>
      </c>
      <c r="C5" s="1040"/>
      <c r="D5" s="618"/>
      <c r="E5" s="618"/>
      <c r="F5" s="618"/>
      <c r="G5" s="618"/>
      <c r="H5" s="518" t="s">
        <v>141</v>
      </c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2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91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82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/>
      <c r="D10" s="127"/>
      <c r="E10" s="582"/>
      <c r="F10" s="582"/>
      <c r="G10" s="582"/>
      <c r="H10" s="595">
        <f>+E10-D10</f>
        <v>0</v>
      </c>
      <c r="I10" s="1085"/>
      <c r="J10" s="595"/>
      <c r="K10" s="595"/>
      <c r="L10" s="595"/>
    </row>
    <row r="11" spans="1:12" s="26" customFormat="1" ht="12.2" customHeight="1" x14ac:dyDescent="0.2">
      <c r="A11" s="49" t="s">
        <v>91</v>
      </c>
      <c r="B11" s="50" t="s">
        <v>143</v>
      </c>
      <c r="C11" s="128"/>
      <c r="D11" s="192"/>
      <c r="E11" s="583"/>
      <c r="F11" s="583"/>
      <c r="G11" s="583"/>
      <c r="H11" s="540">
        <f t="shared" ref="H11:H48" si="0">+E11-D11</f>
        <v>0</v>
      </c>
      <c r="I11" s="1086"/>
      <c r="J11" s="540"/>
      <c r="K11" s="540"/>
      <c r="L11" s="540"/>
    </row>
    <row r="12" spans="1:12" s="26" customFormat="1" ht="12.2" customHeight="1" x14ac:dyDescent="0.2">
      <c r="A12" s="1037" t="s">
        <v>92</v>
      </c>
      <c r="B12" s="330" t="s">
        <v>144</v>
      </c>
      <c r="C12" s="331"/>
      <c r="D12" s="340"/>
      <c r="E12" s="88"/>
      <c r="F12" s="88"/>
      <c r="G12" s="88"/>
      <c r="H12" s="541">
        <f t="shared" si="0"/>
        <v>0</v>
      </c>
      <c r="I12" s="1087"/>
      <c r="J12" s="541"/>
      <c r="K12" s="541"/>
      <c r="L12" s="541"/>
    </row>
    <row r="13" spans="1:12" s="26" customFormat="1" ht="12.2" customHeight="1" x14ac:dyDescent="0.2">
      <c r="A13" s="1037" t="s">
        <v>93</v>
      </c>
      <c r="B13" s="330" t="s">
        <v>145</v>
      </c>
      <c r="C13" s="331"/>
      <c r="D13" s="340"/>
      <c r="E13" s="88"/>
      <c r="F13" s="88"/>
      <c r="G13" s="88"/>
      <c r="H13" s="541">
        <f t="shared" si="0"/>
        <v>0</v>
      </c>
      <c r="I13" s="1087"/>
      <c r="J13" s="541"/>
      <c r="K13" s="541"/>
      <c r="L13" s="541"/>
    </row>
    <row r="14" spans="1:12" s="26" customFormat="1" ht="12.2" customHeight="1" x14ac:dyDescent="0.2">
      <c r="A14" s="1037" t="s">
        <v>90</v>
      </c>
      <c r="B14" s="330" t="s">
        <v>146</v>
      </c>
      <c r="C14" s="331"/>
      <c r="D14" s="340"/>
      <c r="E14" s="88"/>
      <c r="F14" s="88"/>
      <c r="G14" s="88"/>
      <c r="H14" s="541">
        <f t="shared" si="0"/>
        <v>0</v>
      </c>
      <c r="I14" s="1087"/>
      <c r="J14" s="541"/>
      <c r="K14" s="541"/>
      <c r="L14" s="541"/>
    </row>
    <row r="15" spans="1:12" s="26" customFormat="1" ht="12.2" customHeight="1" x14ac:dyDescent="0.2">
      <c r="A15" s="1037" t="s">
        <v>147</v>
      </c>
      <c r="B15" s="330" t="s">
        <v>148</v>
      </c>
      <c r="C15" s="331"/>
      <c r="D15" s="340"/>
      <c r="E15" s="88"/>
      <c r="F15" s="88"/>
      <c r="G15" s="88"/>
      <c r="H15" s="541">
        <f t="shared" si="0"/>
        <v>0</v>
      </c>
      <c r="I15" s="1087"/>
      <c r="J15" s="541"/>
      <c r="K15" s="541"/>
      <c r="L15" s="541"/>
    </row>
    <row r="16" spans="1:12" s="26" customFormat="1" ht="12.2" customHeight="1" x14ac:dyDescent="0.2">
      <c r="A16" s="1037" t="s">
        <v>149</v>
      </c>
      <c r="B16" s="330" t="s">
        <v>150</v>
      </c>
      <c r="C16" s="331"/>
      <c r="D16" s="340"/>
      <c r="E16" s="88"/>
      <c r="F16" s="88"/>
      <c r="G16" s="88"/>
      <c r="H16" s="541">
        <f t="shared" si="0"/>
        <v>0</v>
      </c>
      <c r="I16" s="1087"/>
      <c r="J16" s="541"/>
      <c r="K16" s="541"/>
      <c r="L16" s="541"/>
    </row>
    <row r="17" spans="1:12" s="26" customFormat="1" ht="12.2" customHeight="1" x14ac:dyDescent="0.2">
      <c r="A17" s="1037" t="s">
        <v>151</v>
      </c>
      <c r="B17" s="52" t="s">
        <v>152</v>
      </c>
      <c r="C17" s="331"/>
      <c r="D17" s="340"/>
      <c r="E17" s="88"/>
      <c r="F17" s="88"/>
      <c r="G17" s="88"/>
      <c r="H17" s="541">
        <f t="shared" si="0"/>
        <v>0</v>
      </c>
      <c r="I17" s="1087"/>
      <c r="J17" s="541"/>
      <c r="K17" s="541"/>
      <c r="L17" s="541"/>
    </row>
    <row r="18" spans="1:12" s="26" customFormat="1" ht="12.2" customHeight="1" x14ac:dyDescent="0.2">
      <c r="A18" s="1037" t="s">
        <v>153</v>
      </c>
      <c r="B18" s="345" t="s">
        <v>302</v>
      </c>
      <c r="C18" s="121"/>
      <c r="D18" s="188"/>
      <c r="E18" s="90"/>
      <c r="F18" s="90"/>
      <c r="G18" s="90"/>
      <c r="H18" s="542">
        <f t="shared" si="0"/>
        <v>0</v>
      </c>
      <c r="I18" s="1088"/>
      <c r="J18" s="542"/>
      <c r="K18" s="542"/>
      <c r="L18" s="542"/>
    </row>
    <row r="19" spans="1:12" s="54" customFormat="1" ht="12.2" customHeight="1" x14ac:dyDescent="0.2">
      <c r="A19" s="1037" t="s">
        <v>154</v>
      </c>
      <c r="B19" s="330" t="s">
        <v>155</v>
      </c>
      <c r="C19" s="331"/>
      <c r="D19" s="340"/>
      <c r="E19" s="88"/>
      <c r="F19" s="88"/>
      <c r="G19" s="88"/>
      <c r="H19" s="541">
        <f t="shared" si="0"/>
        <v>0</v>
      </c>
      <c r="I19" s="1087"/>
      <c r="J19" s="541"/>
      <c r="K19" s="541"/>
      <c r="L19" s="541"/>
    </row>
    <row r="20" spans="1:12" s="54" customFormat="1" ht="12.2" customHeight="1" x14ac:dyDescent="0.2">
      <c r="A20" s="1037" t="s">
        <v>156</v>
      </c>
      <c r="B20" s="345" t="s">
        <v>275</v>
      </c>
      <c r="C20" s="333"/>
      <c r="D20" s="341"/>
      <c r="E20" s="88"/>
      <c r="F20" s="88"/>
      <c r="G20" s="331"/>
      <c r="H20" s="543">
        <f t="shared" si="0"/>
        <v>0</v>
      </c>
      <c r="I20" s="1089"/>
      <c r="J20" s="543"/>
      <c r="K20" s="543"/>
      <c r="L20" s="543"/>
    </row>
    <row r="21" spans="1:12" s="54" customFormat="1" ht="12.2" customHeight="1" thickBot="1" x14ac:dyDescent="0.25">
      <c r="A21" s="1037" t="s">
        <v>276</v>
      </c>
      <c r="B21" s="52" t="s">
        <v>157</v>
      </c>
      <c r="C21" s="333"/>
      <c r="D21" s="341"/>
      <c r="E21" s="90"/>
      <c r="F21" s="90"/>
      <c r="G21" s="90"/>
      <c r="H21" s="544">
        <f t="shared" si="0"/>
        <v>0</v>
      </c>
      <c r="I21" s="1090"/>
      <c r="J21" s="544"/>
      <c r="K21" s="544"/>
      <c r="L21" s="544"/>
    </row>
    <row r="22" spans="1:12" s="26" customFormat="1" ht="12.2" customHeight="1" thickBot="1" x14ac:dyDescent="0.25">
      <c r="A22" s="43" t="s">
        <v>13</v>
      </c>
      <c r="B22" s="47" t="s">
        <v>158</v>
      </c>
      <c r="C22" s="89"/>
      <c r="D22" s="127"/>
      <c r="E22" s="582"/>
      <c r="F22" s="582"/>
      <c r="G22" s="582"/>
      <c r="H22" s="48">
        <f t="shared" si="0"/>
        <v>0</v>
      </c>
      <c r="I22" s="175"/>
      <c r="J22" s="48"/>
      <c r="K22" s="48"/>
      <c r="L22" s="48"/>
    </row>
    <row r="23" spans="1:12" s="54" customFormat="1" ht="12.2" customHeight="1" x14ac:dyDescent="0.2">
      <c r="A23" s="1037" t="s">
        <v>94</v>
      </c>
      <c r="B23" s="17" t="s">
        <v>159</v>
      </c>
      <c r="C23" s="331"/>
      <c r="D23" s="340"/>
      <c r="E23" s="584"/>
      <c r="F23" s="584"/>
      <c r="G23" s="584"/>
      <c r="H23" s="75">
        <f t="shared" si="0"/>
        <v>0</v>
      </c>
      <c r="I23" s="637"/>
      <c r="J23" s="75"/>
      <c r="K23" s="75"/>
      <c r="L23" s="75"/>
    </row>
    <row r="24" spans="1:12" s="54" customFormat="1" ht="12.2" customHeight="1" x14ac:dyDescent="0.2">
      <c r="A24" s="1037" t="s">
        <v>95</v>
      </c>
      <c r="B24" s="330" t="s">
        <v>160</v>
      </c>
      <c r="C24" s="331"/>
      <c r="D24" s="340"/>
      <c r="E24" s="88"/>
      <c r="F24" s="88"/>
      <c r="G24" s="88"/>
      <c r="H24" s="541">
        <f t="shared" si="0"/>
        <v>0</v>
      </c>
      <c r="I24" s="1087"/>
      <c r="J24" s="541"/>
      <c r="K24" s="541"/>
      <c r="L24" s="541"/>
    </row>
    <row r="25" spans="1:12" s="54" customFormat="1" ht="12.2" customHeight="1" x14ac:dyDescent="0.2">
      <c r="A25" s="1037" t="s">
        <v>96</v>
      </c>
      <c r="B25" s="330" t="s">
        <v>161</v>
      </c>
      <c r="C25" s="331"/>
      <c r="D25" s="340"/>
      <c r="E25" s="88"/>
      <c r="F25" s="88"/>
      <c r="G25" s="88"/>
      <c r="H25" s="541">
        <f t="shared" si="0"/>
        <v>0</v>
      </c>
      <c r="I25" s="1087"/>
      <c r="J25" s="541"/>
      <c r="K25" s="541"/>
      <c r="L25" s="541"/>
    </row>
    <row r="26" spans="1:12" s="54" customFormat="1" ht="12.2" customHeight="1" thickBot="1" x14ac:dyDescent="0.25">
      <c r="A26" s="1037" t="s">
        <v>317</v>
      </c>
      <c r="B26" s="335" t="s">
        <v>233</v>
      </c>
      <c r="C26" s="331"/>
      <c r="D26" s="340"/>
      <c r="E26" s="88"/>
      <c r="F26" s="88"/>
      <c r="G26" s="88"/>
      <c r="H26" s="545">
        <f t="shared" si="0"/>
        <v>0</v>
      </c>
      <c r="I26" s="1091"/>
      <c r="J26" s="545"/>
      <c r="K26" s="545"/>
      <c r="L26" s="545"/>
    </row>
    <row r="27" spans="1:12" s="54" customFormat="1" ht="12.2" customHeight="1" thickBot="1" x14ac:dyDescent="0.25">
      <c r="A27" s="55" t="s">
        <v>14</v>
      </c>
      <c r="B27" s="56" t="s">
        <v>83</v>
      </c>
      <c r="C27" s="130"/>
      <c r="D27" s="129"/>
      <c r="E27" s="585"/>
      <c r="F27" s="585"/>
      <c r="G27" s="585"/>
      <c r="H27" s="74">
        <f t="shared" si="0"/>
        <v>0</v>
      </c>
      <c r="I27" s="638"/>
      <c r="J27" s="74"/>
      <c r="K27" s="74"/>
      <c r="L27" s="74"/>
    </row>
    <row r="28" spans="1:12" s="54" customFormat="1" ht="12.2" customHeight="1" thickBot="1" x14ac:dyDescent="0.25">
      <c r="A28" s="55" t="s">
        <v>15</v>
      </c>
      <c r="B28" s="56" t="s">
        <v>162</v>
      </c>
      <c r="C28" s="89"/>
      <c r="D28" s="127"/>
      <c r="E28" s="582"/>
      <c r="F28" s="582"/>
      <c r="G28" s="582"/>
      <c r="H28" s="74">
        <f t="shared" si="0"/>
        <v>0</v>
      </c>
      <c r="I28" s="638"/>
      <c r="J28" s="74"/>
      <c r="K28" s="74"/>
      <c r="L28" s="74"/>
    </row>
    <row r="29" spans="1:12" s="54" customFormat="1" ht="12.2" customHeight="1" x14ac:dyDescent="0.2">
      <c r="A29" s="58" t="s">
        <v>100</v>
      </c>
      <c r="B29" s="59" t="s">
        <v>160</v>
      </c>
      <c r="C29" s="122"/>
      <c r="D29" s="189"/>
      <c r="E29" s="586"/>
      <c r="F29" s="586"/>
      <c r="G29" s="586"/>
      <c r="H29" s="546">
        <f t="shared" si="0"/>
        <v>0</v>
      </c>
      <c r="I29" s="1092"/>
      <c r="J29" s="546"/>
      <c r="K29" s="546"/>
      <c r="L29" s="546"/>
    </row>
    <row r="30" spans="1:12" s="54" customFormat="1" ht="12.2" customHeight="1" x14ac:dyDescent="0.2">
      <c r="A30" s="58" t="s">
        <v>101</v>
      </c>
      <c r="B30" s="336" t="s">
        <v>163</v>
      </c>
      <c r="C30" s="120"/>
      <c r="D30" s="193"/>
      <c r="E30" s="107"/>
      <c r="F30" s="107"/>
      <c r="G30" s="339"/>
      <c r="H30" s="534">
        <f t="shared" si="0"/>
        <v>0</v>
      </c>
      <c r="I30" s="630"/>
      <c r="J30" s="534"/>
      <c r="K30" s="534"/>
      <c r="L30" s="534"/>
    </row>
    <row r="31" spans="1:12" s="54" customFormat="1" ht="12.2" customHeight="1" thickBot="1" x14ac:dyDescent="0.25">
      <c r="A31" s="1037" t="s">
        <v>281</v>
      </c>
      <c r="B31" s="102" t="s">
        <v>165</v>
      </c>
      <c r="C31" s="92"/>
      <c r="D31" s="190"/>
      <c r="E31" s="587"/>
      <c r="F31" s="587"/>
      <c r="G31" s="587"/>
      <c r="H31" s="547">
        <f t="shared" si="0"/>
        <v>0</v>
      </c>
      <c r="I31" s="1093"/>
      <c r="J31" s="547"/>
      <c r="K31" s="547"/>
      <c r="L31" s="547"/>
    </row>
    <row r="32" spans="1:12" s="54" customFormat="1" ht="12.2" customHeight="1" thickBot="1" x14ac:dyDescent="0.25">
      <c r="A32" s="55" t="s">
        <v>16</v>
      </c>
      <c r="B32" s="56" t="s">
        <v>166</v>
      </c>
      <c r="C32" s="89"/>
      <c r="D32" s="127"/>
      <c r="E32" s="582"/>
      <c r="F32" s="582"/>
      <c r="G32" s="582"/>
      <c r="H32" s="74">
        <f t="shared" si="0"/>
        <v>0</v>
      </c>
      <c r="I32" s="638"/>
      <c r="J32" s="74"/>
      <c r="K32" s="74"/>
      <c r="L32" s="74"/>
    </row>
    <row r="33" spans="1:12" s="54" customFormat="1" ht="12.2" customHeight="1" x14ac:dyDescent="0.2">
      <c r="A33" s="58" t="s">
        <v>89</v>
      </c>
      <c r="B33" s="59" t="s">
        <v>167</v>
      </c>
      <c r="C33" s="122"/>
      <c r="D33" s="189"/>
      <c r="E33" s="586"/>
      <c r="F33" s="586"/>
      <c r="G33" s="586"/>
      <c r="H33" s="546">
        <f t="shared" si="0"/>
        <v>0</v>
      </c>
      <c r="I33" s="1092"/>
      <c r="J33" s="546"/>
      <c r="K33" s="546"/>
      <c r="L33" s="546"/>
    </row>
    <row r="34" spans="1:12" s="54" customFormat="1" ht="12.2" customHeight="1" x14ac:dyDescent="0.2">
      <c r="A34" s="58" t="s">
        <v>102</v>
      </c>
      <c r="B34" s="336" t="s">
        <v>168</v>
      </c>
      <c r="C34" s="120"/>
      <c r="D34" s="193"/>
      <c r="E34" s="107"/>
      <c r="F34" s="107"/>
      <c r="G34" s="339"/>
      <c r="H34" s="534">
        <f t="shared" si="0"/>
        <v>0</v>
      </c>
      <c r="I34" s="630"/>
      <c r="J34" s="534"/>
      <c r="K34" s="534"/>
      <c r="L34" s="534"/>
    </row>
    <row r="35" spans="1:12" s="54" customFormat="1" ht="12.2" customHeight="1" thickBot="1" x14ac:dyDescent="0.25">
      <c r="A35" s="1037" t="s">
        <v>103</v>
      </c>
      <c r="B35" s="62" t="s">
        <v>169</v>
      </c>
      <c r="C35" s="92"/>
      <c r="D35" s="190"/>
      <c r="E35" s="587"/>
      <c r="F35" s="587"/>
      <c r="G35" s="587"/>
      <c r="H35" s="548">
        <f t="shared" si="0"/>
        <v>0</v>
      </c>
      <c r="I35" s="1094"/>
      <c r="J35" s="548"/>
      <c r="K35" s="548"/>
      <c r="L35" s="548"/>
    </row>
    <row r="36" spans="1:12" s="26" customFormat="1" ht="12.2" customHeight="1" thickBot="1" x14ac:dyDescent="0.25">
      <c r="A36" s="55" t="s">
        <v>17</v>
      </c>
      <c r="B36" s="56" t="s">
        <v>170</v>
      </c>
      <c r="C36" s="130"/>
      <c r="D36" s="129"/>
      <c r="E36" s="585"/>
      <c r="F36" s="585"/>
      <c r="G36" s="585"/>
      <c r="H36" s="74">
        <f t="shared" si="0"/>
        <v>0</v>
      </c>
      <c r="I36" s="638"/>
      <c r="J36" s="74"/>
      <c r="K36" s="74"/>
      <c r="L36" s="74"/>
    </row>
    <row r="37" spans="1:12" s="26" customFormat="1" ht="12.2" customHeight="1" thickBot="1" x14ac:dyDescent="0.25">
      <c r="A37" s="1038" t="s">
        <v>104</v>
      </c>
      <c r="B37" s="337" t="s">
        <v>165</v>
      </c>
      <c r="C37" s="130"/>
      <c r="D37" s="129"/>
      <c r="E37" s="588"/>
      <c r="F37" s="588"/>
      <c r="G37" s="588"/>
      <c r="H37" s="549">
        <f t="shared" si="0"/>
        <v>0</v>
      </c>
      <c r="I37" s="1095"/>
      <c r="J37" s="549"/>
      <c r="K37" s="549"/>
      <c r="L37" s="549"/>
    </row>
    <row r="38" spans="1:12" s="26" customFormat="1" ht="12.2" customHeight="1" thickBot="1" x14ac:dyDescent="0.25">
      <c r="A38" s="55" t="s">
        <v>18</v>
      </c>
      <c r="B38" s="56" t="s">
        <v>555</v>
      </c>
      <c r="C38" s="130"/>
      <c r="D38" s="129"/>
      <c r="E38" s="585"/>
      <c r="F38" s="585"/>
      <c r="G38" s="585"/>
      <c r="H38" s="74">
        <f t="shared" si="0"/>
        <v>0</v>
      </c>
      <c r="I38" s="638"/>
      <c r="J38" s="74"/>
      <c r="K38" s="74"/>
      <c r="L38" s="74"/>
    </row>
    <row r="39" spans="1:12" s="26" customFormat="1" ht="12.2" customHeight="1" x14ac:dyDescent="0.2">
      <c r="A39" s="12" t="s">
        <v>107</v>
      </c>
      <c r="B39" s="95" t="s">
        <v>212</v>
      </c>
      <c r="C39" s="131"/>
      <c r="D39" s="194"/>
      <c r="E39" s="589"/>
      <c r="F39" s="589"/>
      <c r="G39" s="589"/>
      <c r="H39" s="550">
        <f t="shared" si="0"/>
        <v>0</v>
      </c>
      <c r="I39" s="1096"/>
      <c r="J39" s="550"/>
      <c r="K39" s="550"/>
      <c r="L39" s="550"/>
    </row>
    <row r="40" spans="1:12" s="26" customFormat="1" ht="12.2" customHeight="1" x14ac:dyDescent="0.2">
      <c r="A40" s="1003" t="s">
        <v>108</v>
      </c>
      <c r="B40" s="346" t="s">
        <v>213</v>
      </c>
      <c r="C40" s="338"/>
      <c r="D40" s="342"/>
      <c r="E40" s="590"/>
      <c r="F40" s="590"/>
      <c r="G40" s="590"/>
      <c r="H40" s="551">
        <f t="shared" si="0"/>
        <v>0</v>
      </c>
      <c r="I40" s="1097"/>
      <c r="J40" s="551"/>
      <c r="K40" s="551"/>
      <c r="L40" s="551"/>
    </row>
    <row r="41" spans="1:12" s="26" customFormat="1" ht="12.2" customHeight="1" thickBot="1" x14ac:dyDescent="0.25">
      <c r="A41" s="1003" t="s">
        <v>323</v>
      </c>
      <c r="B41" s="103" t="s">
        <v>165</v>
      </c>
      <c r="C41" s="133"/>
      <c r="D41" s="132"/>
      <c r="E41" s="591"/>
      <c r="F41" s="591"/>
      <c r="G41" s="591"/>
      <c r="H41" s="552">
        <f t="shared" si="0"/>
        <v>0</v>
      </c>
      <c r="I41" s="1098"/>
      <c r="J41" s="552"/>
      <c r="K41" s="552"/>
      <c r="L41" s="552"/>
    </row>
    <row r="42" spans="1:12" s="26" customFormat="1" ht="12.2" customHeight="1" thickBot="1" x14ac:dyDescent="0.25">
      <c r="A42" s="43" t="s">
        <v>19</v>
      </c>
      <c r="B42" s="56" t="s">
        <v>546</v>
      </c>
      <c r="C42" s="89"/>
      <c r="D42" s="127"/>
      <c r="E42" s="582"/>
      <c r="F42" s="582"/>
      <c r="G42" s="582"/>
      <c r="H42" s="74">
        <f t="shared" si="0"/>
        <v>0</v>
      </c>
      <c r="I42" s="638"/>
      <c r="J42" s="74"/>
      <c r="K42" s="74"/>
      <c r="L42" s="74"/>
    </row>
    <row r="43" spans="1:12" s="26" customFormat="1" ht="12.2" customHeight="1" thickBot="1" x14ac:dyDescent="0.25">
      <c r="A43" s="63" t="s">
        <v>20</v>
      </c>
      <c r="B43" s="56" t="s">
        <v>180</v>
      </c>
      <c r="C43" s="89"/>
      <c r="D43" s="127"/>
      <c r="E43" s="582"/>
      <c r="F43" s="582"/>
      <c r="G43" s="582"/>
      <c r="H43" s="74">
        <f t="shared" si="0"/>
        <v>0</v>
      </c>
      <c r="I43" s="638"/>
      <c r="J43" s="74"/>
      <c r="K43" s="74"/>
      <c r="L43" s="74"/>
    </row>
    <row r="44" spans="1:12" s="26" customFormat="1" ht="12.2" customHeight="1" x14ac:dyDescent="0.2">
      <c r="A44" s="58" t="s">
        <v>171</v>
      </c>
      <c r="B44" s="59" t="s">
        <v>131</v>
      </c>
      <c r="C44" s="122"/>
      <c r="D44" s="189"/>
      <c r="E44" s="586"/>
      <c r="F44" s="586"/>
      <c r="G44" s="586"/>
      <c r="H44" s="546">
        <f t="shared" si="0"/>
        <v>0</v>
      </c>
      <c r="I44" s="1092"/>
      <c r="J44" s="546"/>
      <c r="K44" s="546"/>
      <c r="L44" s="546"/>
    </row>
    <row r="45" spans="1:12" s="26" customFormat="1" ht="12.2" customHeight="1" x14ac:dyDescent="0.2">
      <c r="A45" s="71" t="s">
        <v>172</v>
      </c>
      <c r="B45" s="59" t="s">
        <v>186</v>
      </c>
      <c r="C45" s="120"/>
      <c r="D45" s="193"/>
      <c r="E45" s="91"/>
      <c r="F45" s="91"/>
      <c r="G45" s="91"/>
      <c r="H45" s="553">
        <f t="shared" si="0"/>
        <v>0</v>
      </c>
      <c r="I45" s="1099"/>
      <c r="J45" s="553"/>
      <c r="K45" s="553"/>
      <c r="L45" s="553"/>
    </row>
    <row r="46" spans="1:12" s="26" customFormat="1" ht="12.2" customHeight="1" x14ac:dyDescent="0.2">
      <c r="A46" s="1037" t="s">
        <v>173</v>
      </c>
      <c r="B46" s="336" t="s">
        <v>177</v>
      </c>
      <c r="C46" s="339"/>
      <c r="D46" s="323"/>
      <c r="E46" s="107"/>
      <c r="F46" s="107"/>
      <c r="G46" s="107"/>
      <c r="H46" s="534">
        <f t="shared" si="0"/>
        <v>0</v>
      </c>
      <c r="I46" s="630"/>
      <c r="J46" s="534"/>
      <c r="K46" s="534"/>
      <c r="L46" s="534"/>
    </row>
    <row r="47" spans="1:12" s="54" customFormat="1" ht="12.2" customHeight="1" thickBot="1" x14ac:dyDescent="0.25">
      <c r="A47" s="58" t="s">
        <v>178</v>
      </c>
      <c r="B47" s="62" t="s">
        <v>179</v>
      </c>
      <c r="C47" s="1034"/>
      <c r="D47" s="195"/>
      <c r="E47" s="587"/>
      <c r="F47" s="587"/>
      <c r="G47" s="587"/>
      <c r="H47" s="548">
        <f t="shared" si="0"/>
        <v>0</v>
      </c>
      <c r="I47" s="1094"/>
      <c r="J47" s="548"/>
      <c r="K47" s="548"/>
      <c r="L47" s="548"/>
    </row>
    <row r="48" spans="1:12" s="54" customFormat="1" ht="15" customHeight="1" thickBot="1" x14ac:dyDescent="0.25">
      <c r="A48" s="63" t="s">
        <v>21</v>
      </c>
      <c r="B48" s="524" t="s">
        <v>174</v>
      </c>
      <c r="C48" s="135"/>
      <c r="D48" s="134"/>
      <c r="E48" s="592"/>
      <c r="F48" s="592"/>
      <c r="G48" s="592"/>
      <c r="H48" s="557">
        <f t="shared" si="0"/>
        <v>0</v>
      </c>
      <c r="I48" s="1100"/>
      <c r="J48" s="557"/>
      <c r="K48" s="557"/>
      <c r="L48" s="557"/>
    </row>
    <row r="49" spans="1:12" s="54" customFormat="1" ht="15" customHeight="1" x14ac:dyDescent="0.2">
      <c r="A49" s="64"/>
      <c r="B49" s="65"/>
      <c r="C49" s="66"/>
      <c r="D49" s="66"/>
      <c r="E49" s="66"/>
      <c r="F49" s="66"/>
      <c r="G49" s="66"/>
      <c r="H49" s="66"/>
      <c r="I49" s="66"/>
      <c r="J49" s="66"/>
      <c r="K49" s="66"/>
      <c r="L49" s="66"/>
    </row>
    <row r="50" spans="1:12" s="54" customFormat="1" ht="15" customHeight="1" x14ac:dyDescent="0.2">
      <c r="A50" s="64"/>
      <c r="B50" s="65"/>
      <c r="C50" s="66"/>
      <c r="D50" s="66"/>
      <c r="E50" s="66"/>
      <c r="F50" s="66"/>
      <c r="G50" s="66"/>
      <c r="H50" s="66"/>
      <c r="I50" s="66"/>
      <c r="J50" s="66"/>
      <c r="K50" s="66"/>
      <c r="L50" s="66"/>
    </row>
    <row r="51" spans="1:12" ht="13.5" thickBot="1" x14ac:dyDescent="0.25">
      <c r="A51" s="1912" t="s">
        <v>362</v>
      </c>
      <c r="B51" s="1912"/>
      <c r="C51" s="1912"/>
      <c r="D51" s="1912"/>
      <c r="E51" s="1912"/>
      <c r="F51" s="1912"/>
      <c r="G51" s="1912"/>
      <c r="H51" s="1912"/>
    </row>
    <row r="52" spans="1:12" s="554" customFormat="1" ht="55.5" customHeight="1" thickBot="1" x14ac:dyDescent="0.25">
      <c r="A52" s="641"/>
      <c r="B52" s="642" t="s">
        <v>38</v>
      </c>
      <c r="C52" s="21" t="str">
        <f t="shared" ref="C52:L52" si="1">C7</f>
        <v>2023. évi eredeti előirányzat
2/2023. (II.14.)</v>
      </c>
      <c r="D52" s="166" t="str">
        <f t="shared" si="1"/>
        <v>Módosított előirányzat a 14/2023.  (VI.29.)  rendelet szerint</v>
      </c>
      <c r="E52" s="21" t="str">
        <f t="shared" si="1"/>
        <v>Módosított előirányzat a 18/2023. (IX.26.)  rendelet szerint</v>
      </c>
      <c r="F52" s="21" t="str">
        <f t="shared" si="1"/>
        <v>Módosított előirányzat 2023.09.30-án</v>
      </c>
      <c r="G52" s="21" t="str">
        <f t="shared" si="1"/>
        <v>Módosított előirányzat a …../2023. (II…..)  rendelet szerint</v>
      </c>
      <c r="H52" s="32" t="str">
        <f t="shared" si="1"/>
        <v>Változás a 14/2023. (VI.29.) rendelethez képest</v>
      </c>
      <c r="I52" s="166" t="str">
        <f t="shared" si="1"/>
        <v>2023. évi teljesítés              2023.06.30-ig</v>
      </c>
      <c r="J52" s="21" t="str">
        <f t="shared" si="1"/>
        <v>2023. évi teljesítés              2023.09.30-ig</v>
      </c>
      <c r="K52" s="21" t="str">
        <f t="shared" si="1"/>
        <v>2023. évi teljesítés              2023.12.31-ig</v>
      </c>
      <c r="L52" s="21" t="str">
        <f t="shared" si="1"/>
        <v>Teljesítés %-a</v>
      </c>
    </row>
    <row r="53" spans="1:12" s="31" customFormat="1" ht="12.2" customHeight="1" thickBot="1" x14ac:dyDescent="0.25">
      <c r="A53" s="55" t="s">
        <v>12</v>
      </c>
      <c r="B53" s="56" t="s">
        <v>547</v>
      </c>
      <c r="C53" s="89"/>
      <c r="D53" s="127"/>
      <c r="E53" s="582"/>
      <c r="F53" s="582"/>
      <c r="G53" s="582"/>
      <c r="H53" s="48">
        <f t="shared" ref="H53:H72" si="2">+E53-D53</f>
        <v>0</v>
      </c>
      <c r="I53" s="175"/>
      <c r="J53" s="48"/>
      <c r="K53" s="48"/>
      <c r="L53" s="48"/>
    </row>
    <row r="54" spans="1:12" ht="12.2" customHeight="1" x14ac:dyDescent="0.2">
      <c r="A54" s="1037" t="s">
        <v>91</v>
      </c>
      <c r="B54" s="17" t="s">
        <v>68</v>
      </c>
      <c r="C54" s="122"/>
      <c r="D54" s="189"/>
      <c r="E54" s="586"/>
      <c r="F54" s="586"/>
      <c r="G54" s="586"/>
      <c r="H54" s="33">
        <f t="shared" si="2"/>
        <v>0</v>
      </c>
      <c r="I54" s="177"/>
      <c r="J54" s="33"/>
      <c r="K54" s="33"/>
      <c r="L54" s="33"/>
    </row>
    <row r="55" spans="1:12" ht="12.2" customHeight="1" x14ac:dyDescent="0.2">
      <c r="A55" s="1037" t="s">
        <v>305</v>
      </c>
      <c r="B55" s="335" t="s">
        <v>270</v>
      </c>
      <c r="C55" s="122"/>
      <c r="D55" s="189"/>
      <c r="E55" s="586"/>
      <c r="F55" s="586"/>
      <c r="G55" s="586"/>
      <c r="H55" s="33">
        <f t="shared" si="2"/>
        <v>0</v>
      </c>
      <c r="I55" s="177"/>
      <c r="J55" s="33"/>
      <c r="K55" s="33"/>
      <c r="L55" s="33"/>
    </row>
    <row r="56" spans="1:12" ht="12.2" customHeight="1" x14ac:dyDescent="0.2">
      <c r="A56" s="1037" t="s">
        <v>92</v>
      </c>
      <c r="B56" s="330" t="s">
        <v>87</v>
      </c>
      <c r="C56" s="339"/>
      <c r="D56" s="323"/>
      <c r="E56" s="107"/>
      <c r="F56" s="107"/>
      <c r="G56" s="107"/>
      <c r="H56" s="324">
        <f t="shared" si="2"/>
        <v>0</v>
      </c>
      <c r="I56" s="503"/>
      <c r="J56" s="324"/>
      <c r="K56" s="324"/>
      <c r="L56" s="324"/>
    </row>
    <row r="57" spans="1:12" ht="12.2" customHeight="1" x14ac:dyDescent="0.2">
      <c r="A57" s="1037" t="s">
        <v>93</v>
      </c>
      <c r="B57" s="330" t="s">
        <v>69</v>
      </c>
      <c r="C57" s="339"/>
      <c r="D57" s="323"/>
      <c r="E57" s="107"/>
      <c r="F57" s="107"/>
      <c r="G57" s="107"/>
      <c r="H57" s="324">
        <f t="shared" si="2"/>
        <v>0</v>
      </c>
      <c r="I57" s="503"/>
      <c r="J57" s="324"/>
      <c r="K57" s="324"/>
      <c r="L57" s="324"/>
    </row>
    <row r="58" spans="1:12" ht="12.2" customHeight="1" x14ac:dyDescent="0.2">
      <c r="A58" s="1037" t="s">
        <v>90</v>
      </c>
      <c r="B58" s="330" t="s">
        <v>80</v>
      </c>
      <c r="C58" s="339"/>
      <c r="D58" s="323"/>
      <c r="E58" s="107"/>
      <c r="F58" s="107"/>
      <c r="G58" s="107"/>
      <c r="H58" s="324">
        <f t="shared" si="2"/>
        <v>0</v>
      </c>
      <c r="I58" s="503"/>
      <c r="J58" s="324"/>
      <c r="K58" s="324"/>
      <c r="L58" s="324"/>
    </row>
    <row r="59" spans="1:12" ht="12.2" customHeight="1" x14ac:dyDescent="0.2">
      <c r="A59" s="1037" t="s">
        <v>147</v>
      </c>
      <c r="B59" s="330" t="s">
        <v>88</v>
      </c>
      <c r="C59" s="339"/>
      <c r="D59" s="323"/>
      <c r="E59" s="107"/>
      <c r="F59" s="107"/>
      <c r="G59" s="107"/>
      <c r="H59" s="324">
        <f t="shared" si="2"/>
        <v>0</v>
      </c>
      <c r="I59" s="503"/>
      <c r="J59" s="324"/>
      <c r="K59" s="324"/>
      <c r="L59" s="324"/>
    </row>
    <row r="60" spans="1:12" ht="12.2" customHeight="1" x14ac:dyDescent="0.2">
      <c r="A60" s="1037" t="s">
        <v>306</v>
      </c>
      <c r="B60" s="521" t="s">
        <v>235</v>
      </c>
      <c r="C60" s="339"/>
      <c r="D60" s="323"/>
      <c r="E60" s="107"/>
      <c r="F60" s="107"/>
      <c r="G60" s="107"/>
      <c r="H60" s="324">
        <f t="shared" si="2"/>
        <v>0</v>
      </c>
      <c r="I60" s="503"/>
      <c r="J60" s="324"/>
      <c r="K60" s="324"/>
      <c r="L60" s="324"/>
    </row>
    <row r="61" spans="1:12" ht="12.2" customHeight="1" thickBot="1" x14ac:dyDescent="0.25">
      <c r="A61" s="84" t="s">
        <v>307</v>
      </c>
      <c r="B61" s="85" t="s">
        <v>234</v>
      </c>
      <c r="C61" s="92"/>
      <c r="D61" s="190"/>
      <c r="E61" s="593"/>
      <c r="F61" s="593"/>
      <c r="G61" s="593"/>
      <c r="H61" s="61">
        <f t="shared" si="2"/>
        <v>0</v>
      </c>
      <c r="I61" s="178"/>
      <c r="J61" s="61"/>
      <c r="K61" s="61"/>
      <c r="L61" s="61"/>
    </row>
    <row r="62" spans="1:12" ht="12.2" customHeight="1" thickBot="1" x14ac:dyDescent="0.25">
      <c r="A62" s="55" t="s">
        <v>13</v>
      </c>
      <c r="B62" s="56" t="s">
        <v>548</v>
      </c>
      <c r="C62" s="89"/>
      <c r="D62" s="127"/>
      <c r="E62" s="582"/>
      <c r="F62" s="582"/>
      <c r="G62" s="582"/>
      <c r="H62" s="48">
        <f t="shared" si="2"/>
        <v>0</v>
      </c>
      <c r="I62" s="175"/>
      <c r="J62" s="48"/>
      <c r="K62" s="48"/>
      <c r="L62" s="48"/>
    </row>
    <row r="63" spans="1:12" s="31" customFormat="1" ht="12.2" customHeight="1" x14ac:dyDescent="0.2">
      <c r="A63" s="1037" t="s">
        <v>94</v>
      </c>
      <c r="B63" s="17" t="s">
        <v>119</v>
      </c>
      <c r="C63" s="122"/>
      <c r="D63" s="189"/>
      <c r="E63" s="586"/>
      <c r="F63" s="586"/>
      <c r="G63" s="586"/>
      <c r="H63" s="33">
        <f t="shared" si="2"/>
        <v>0</v>
      </c>
      <c r="I63" s="177"/>
      <c r="J63" s="33"/>
      <c r="K63" s="33"/>
      <c r="L63" s="33"/>
    </row>
    <row r="64" spans="1:12" s="31" customFormat="1" ht="12.2" customHeight="1" x14ac:dyDescent="0.2">
      <c r="A64" s="1037" t="s">
        <v>316</v>
      </c>
      <c r="B64" s="522" t="s">
        <v>236</v>
      </c>
      <c r="C64" s="122"/>
      <c r="D64" s="189"/>
      <c r="E64" s="586"/>
      <c r="F64" s="586"/>
      <c r="G64" s="586"/>
      <c r="H64" s="33">
        <f t="shared" si="2"/>
        <v>0</v>
      </c>
      <c r="I64" s="177"/>
      <c r="J64" s="33"/>
      <c r="K64" s="33"/>
      <c r="L64" s="33"/>
    </row>
    <row r="65" spans="1:12" ht="12.2" customHeight="1" x14ac:dyDescent="0.2">
      <c r="A65" s="1037" t="s">
        <v>95</v>
      </c>
      <c r="B65" s="330" t="s">
        <v>2</v>
      </c>
      <c r="C65" s="339"/>
      <c r="D65" s="323"/>
      <c r="E65" s="107"/>
      <c r="F65" s="107"/>
      <c r="G65" s="107"/>
      <c r="H65" s="324">
        <f t="shared" si="2"/>
        <v>0</v>
      </c>
      <c r="I65" s="503"/>
      <c r="J65" s="324"/>
      <c r="K65" s="324"/>
      <c r="L65" s="324"/>
    </row>
    <row r="66" spans="1:12" ht="12.2" customHeight="1" x14ac:dyDescent="0.2">
      <c r="A66" s="1037" t="s">
        <v>342</v>
      </c>
      <c r="B66" s="523" t="s">
        <v>237</v>
      </c>
      <c r="C66" s="339"/>
      <c r="D66" s="323"/>
      <c r="E66" s="107"/>
      <c r="F66" s="107"/>
      <c r="G66" s="107"/>
      <c r="H66" s="324">
        <f t="shared" si="2"/>
        <v>0</v>
      </c>
      <c r="I66" s="503"/>
      <c r="J66" s="324"/>
      <c r="K66" s="324"/>
      <c r="L66" s="324"/>
    </row>
    <row r="67" spans="1:12" ht="12.2" customHeight="1" x14ac:dyDescent="0.2">
      <c r="A67" s="1037" t="s">
        <v>96</v>
      </c>
      <c r="B67" s="17" t="s">
        <v>175</v>
      </c>
      <c r="C67" s="339"/>
      <c r="D67" s="323"/>
      <c r="E67" s="107"/>
      <c r="F67" s="107"/>
      <c r="G67" s="107"/>
      <c r="H67" s="324">
        <f t="shared" si="2"/>
        <v>0</v>
      </c>
      <c r="I67" s="503"/>
      <c r="J67" s="324"/>
      <c r="K67" s="324"/>
      <c r="L67" s="324"/>
    </row>
    <row r="68" spans="1:12" ht="12.2" customHeight="1" x14ac:dyDescent="0.2">
      <c r="A68" s="1037" t="s">
        <v>317</v>
      </c>
      <c r="B68" s="521" t="s">
        <v>239</v>
      </c>
      <c r="C68" s="339"/>
      <c r="D68" s="323"/>
      <c r="E68" s="107"/>
      <c r="F68" s="107"/>
      <c r="G68" s="107"/>
      <c r="H68" s="324">
        <f t="shared" si="2"/>
        <v>0</v>
      </c>
      <c r="I68" s="503"/>
      <c r="J68" s="324"/>
      <c r="K68" s="324"/>
      <c r="L68" s="324"/>
    </row>
    <row r="69" spans="1:12" ht="12.2" customHeight="1" thickBot="1" x14ac:dyDescent="0.25">
      <c r="A69" s="84" t="s">
        <v>318</v>
      </c>
      <c r="B69" s="85" t="s">
        <v>238</v>
      </c>
      <c r="C69" s="92"/>
      <c r="D69" s="323"/>
      <c r="E69" s="107"/>
      <c r="F69" s="107"/>
      <c r="G69" s="107"/>
      <c r="H69" s="324">
        <f t="shared" si="2"/>
        <v>0</v>
      </c>
      <c r="I69" s="503"/>
      <c r="J69" s="324"/>
      <c r="K69" s="324"/>
      <c r="L69" s="324"/>
    </row>
    <row r="70" spans="1:12" ht="15" customHeight="1" thickBot="1" x14ac:dyDescent="0.25">
      <c r="A70" s="55" t="s">
        <v>14</v>
      </c>
      <c r="B70" s="67" t="s">
        <v>176</v>
      </c>
      <c r="C70" s="135"/>
      <c r="D70" s="134"/>
      <c r="E70" s="592"/>
      <c r="F70" s="592"/>
      <c r="G70" s="592"/>
      <c r="H70" s="68">
        <f t="shared" si="2"/>
        <v>0</v>
      </c>
      <c r="I70" s="176"/>
      <c r="J70" s="68"/>
      <c r="K70" s="68"/>
      <c r="L70" s="68"/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634" t="s">
        <v>292</v>
      </c>
      <c r="B72" s="636"/>
      <c r="C72" s="136"/>
      <c r="D72" s="635"/>
      <c r="E72" s="520"/>
      <c r="F72" s="520"/>
      <c r="G72" s="520"/>
      <c r="H72" s="174">
        <f t="shared" si="2"/>
        <v>0</v>
      </c>
      <c r="I72" s="174"/>
      <c r="J72" s="174"/>
      <c r="K72" s="174"/>
      <c r="L72" s="174"/>
    </row>
    <row r="73" spans="1:12" ht="14.25" hidden="1" customHeight="1" thickBot="1" x14ac:dyDescent="0.25">
      <c r="A73" s="69" t="s">
        <v>291</v>
      </c>
      <c r="B73" s="70"/>
      <c r="C73" s="609"/>
      <c r="D73" s="639"/>
      <c r="E73" s="607"/>
      <c r="F73" s="607"/>
      <c r="G73" s="607"/>
      <c r="H73" s="609" t="s">
        <v>385</v>
      </c>
      <c r="I73" s="609"/>
      <c r="J73" s="609"/>
      <c r="K73" s="609"/>
      <c r="L73" s="609"/>
    </row>
    <row r="74" spans="1:12" x14ac:dyDescent="0.2">
      <c r="D74" s="163" t="s">
        <v>385</v>
      </c>
      <c r="E74" s="163"/>
      <c r="F74" s="163"/>
      <c r="G74" s="163"/>
      <c r="H74" s="163" t="s">
        <v>734</v>
      </c>
      <c r="I74" s="163"/>
      <c r="J74" s="163"/>
      <c r="K74" s="163"/>
      <c r="L74" s="163"/>
    </row>
  </sheetData>
  <sheetProtection formatCells="0"/>
  <mergeCells count="5">
    <mergeCell ref="A1:H1"/>
    <mergeCell ref="A2:H2"/>
    <mergeCell ref="A6:H6"/>
    <mergeCell ref="A9:H9"/>
    <mergeCell ref="A51:H51"/>
  </mergeCells>
  <printOptions horizontalCentered="1"/>
  <pageMargins left="0.39370078740157483" right="0.39370078740157483" top="0.59055118110236227" bottom="0.19685039370078741" header="0.78740157480314965" footer="0.78740157480314965"/>
  <pageSetup paperSize="9" scale="73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4"/>
  <sheetViews>
    <sheetView view="pageBreakPreview" zoomScale="120" zoomScaleNormal="100" zoomScaleSheetLayoutView="120" workbookViewId="0">
      <selection activeCell="A2" sqref="A2:H2"/>
    </sheetView>
  </sheetViews>
  <sheetFormatPr defaultRowHeight="12.75" x14ac:dyDescent="0.2"/>
  <cols>
    <col min="1" max="1" width="12" style="988" customWidth="1"/>
    <col min="2" max="2" width="67" style="25" customWidth="1"/>
    <col min="3" max="3" width="15.5" style="25" customWidth="1"/>
    <col min="4" max="5" width="17" style="25" customWidth="1"/>
    <col min="6" max="7" width="17" style="25" hidden="1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535" customFormat="1" ht="12.75" customHeight="1" x14ac:dyDescent="0.2">
      <c r="A1" s="1774" t="s">
        <v>809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744</v>
      </c>
      <c r="B2" s="1774"/>
      <c r="C2" s="1774"/>
      <c r="D2" s="1774"/>
      <c r="E2" s="1774"/>
      <c r="F2" s="1774"/>
      <c r="G2" s="1774"/>
      <c r="H2" s="1774"/>
    </row>
    <row r="3" spans="1:12" s="24" customFormat="1" ht="21.2" customHeight="1" thickBot="1" x14ac:dyDescent="0.25">
      <c r="A3" s="170"/>
      <c r="C3" s="982"/>
      <c r="D3" s="982"/>
      <c r="E3" s="982"/>
      <c r="F3" s="982"/>
      <c r="G3" s="982"/>
      <c r="H3" s="982"/>
      <c r="I3" s="982"/>
      <c r="J3" s="982"/>
      <c r="K3" s="982"/>
      <c r="L3" s="982"/>
    </row>
    <row r="4" spans="1:12" s="38" customFormat="1" ht="38.25" customHeight="1" x14ac:dyDescent="0.2">
      <c r="A4" s="36" t="s">
        <v>137</v>
      </c>
      <c r="B4" s="37" t="s">
        <v>289</v>
      </c>
      <c r="C4" s="1806" t="s">
        <v>183</v>
      </c>
      <c r="D4" s="1807"/>
      <c r="E4" s="1807"/>
      <c r="F4" s="1807"/>
      <c r="G4" s="1807"/>
      <c r="H4" s="1808" t="s">
        <v>183</v>
      </c>
    </row>
    <row r="5" spans="1:12" s="38" customFormat="1" ht="36.75" thickBot="1" x14ac:dyDescent="0.25">
      <c r="A5" s="39" t="s">
        <v>139</v>
      </c>
      <c r="B5" s="40" t="s">
        <v>402</v>
      </c>
      <c r="C5" s="1809" t="s">
        <v>141</v>
      </c>
      <c r="D5" s="1810"/>
      <c r="E5" s="1810"/>
      <c r="F5" s="1810"/>
      <c r="G5" s="1810"/>
      <c r="H5" s="1811" t="s">
        <v>141</v>
      </c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2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91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82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0</v>
      </c>
      <c r="D10" s="127">
        <f t="shared" ref="D10:L10" si="0">SUM(D11:D21)</f>
        <v>0</v>
      </c>
      <c r="E10" s="582">
        <f t="shared" si="0"/>
        <v>0</v>
      </c>
      <c r="F10" s="582">
        <f t="shared" si="0"/>
        <v>0</v>
      </c>
      <c r="G10" s="582">
        <f t="shared" si="0"/>
        <v>0</v>
      </c>
      <c r="H10" s="595">
        <f>+E10-D10</f>
        <v>0</v>
      </c>
      <c r="I10" s="1085">
        <f t="shared" si="0"/>
        <v>0</v>
      </c>
      <c r="J10" s="595">
        <f t="shared" si="0"/>
        <v>6059</v>
      </c>
      <c r="K10" s="595">
        <f t="shared" si="0"/>
        <v>0</v>
      </c>
      <c r="L10" s="595" t="e">
        <f t="shared" si="0"/>
        <v>#VALUE!</v>
      </c>
    </row>
    <row r="11" spans="1:12" s="26" customFormat="1" ht="12.2" customHeight="1" x14ac:dyDescent="0.2">
      <c r="A11" s="49" t="s">
        <v>91</v>
      </c>
      <c r="B11" s="50" t="s">
        <v>143</v>
      </c>
      <c r="C11" s="128">
        <f>'9.Óvoda'!C11-'32._Óvoda_önként'!C11</f>
        <v>0</v>
      </c>
      <c r="D11" s="192">
        <f>'9.Óvoda'!D11-'32._Óvoda_önként'!D11</f>
        <v>0</v>
      </c>
      <c r="E11" s="583">
        <f>'9.Óvoda'!E11-'32._Óvoda_önként'!E11</f>
        <v>0</v>
      </c>
      <c r="F11" s="583">
        <f>'9.Óvoda'!F11-'32._Óvoda_önként'!F11</f>
        <v>0</v>
      </c>
      <c r="G11" s="583">
        <f>'9.Óvoda'!G11-'32._Óvoda_önként'!G11</f>
        <v>0</v>
      </c>
      <c r="H11" s="540">
        <f t="shared" ref="H11:H48" si="1">+E11-D11</f>
        <v>0</v>
      </c>
      <c r="I11" s="1086">
        <f>'9.Óvoda'!I11-'32._Óvoda_önként'!I11</f>
        <v>0</v>
      </c>
      <c r="J11" s="540">
        <f>'9.Óvoda'!J11-'32._Óvoda_önként'!J11</f>
        <v>0</v>
      </c>
      <c r="K11" s="540">
        <f>'9.Óvoda'!K11-'32._Óvoda_önként'!K11</f>
        <v>0</v>
      </c>
      <c r="L11" s="540" t="e">
        <f>'9.Óvoda'!L11-'32._Óvoda_önként'!L11</f>
        <v>#VALUE!</v>
      </c>
    </row>
    <row r="12" spans="1:12" s="26" customFormat="1" ht="12.2" customHeight="1" x14ac:dyDescent="0.2">
      <c r="A12" s="1037" t="s">
        <v>92</v>
      </c>
      <c r="B12" s="330" t="s">
        <v>144</v>
      </c>
      <c r="C12" s="331">
        <f>'9.Óvoda'!C12-'32._Óvoda_önként'!C12</f>
        <v>0</v>
      </c>
      <c r="D12" s="340">
        <f>'9.Óvoda'!D12-'32._Óvoda_önként'!D12</f>
        <v>0</v>
      </c>
      <c r="E12" s="88">
        <f>'9.Óvoda'!E12-'32._Óvoda_önként'!E12</f>
        <v>0</v>
      </c>
      <c r="F12" s="88">
        <f>'9.Óvoda'!F12-'32._Óvoda_önként'!F12</f>
        <v>0</v>
      </c>
      <c r="G12" s="88">
        <f>'9.Óvoda'!G12-'32._Óvoda_önként'!G12</f>
        <v>0</v>
      </c>
      <c r="H12" s="541">
        <f t="shared" si="1"/>
        <v>0</v>
      </c>
      <c r="I12" s="1087">
        <f>'9.Óvoda'!I12-'32._Óvoda_önként'!I12</f>
        <v>0</v>
      </c>
      <c r="J12" s="541">
        <f>'9.Óvoda'!J12-'32._Óvoda_önként'!J12</f>
        <v>0</v>
      </c>
      <c r="K12" s="541">
        <f>'9.Óvoda'!K12-'32._Óvoda_önként'!K12</f>
        <v>0</v>
      </c>
      <c r="L12" s="541" t="e">
        <f>'9.Óvoda'!L12-'32._Óvoda_önként'!L12</f>
        <v>#VALUE!</v>
      </c>
    </row>
    <row r="13" spans="1:12" s="26" customFormat="1" ht="12.2" customHeight="1" x14ac:dyDescent="0.2">
      <c r="A13" s="1037" t="s">
        <v>93</v>
      </c>
      <c r="B13" s="330" t="s">
        <v>145</v>
      </c>
      <c r="C13" s="331">
        <f>'9.Óvoda'!C13-'32._Óvoda_önként'!C13</f>
        <v>0</v>
      </c>
      <c r="D13" s="340">
        <f>'9.Óvoda'!D13-'32._Óvoda_önként'!D13</f>
        <v>0</v>
      </c>
      <c r="E13" s="88">
        <f>'9.Óvoda'!E13-'32._Óvoda_önként'!E13</f>
        <v>0</v>
      </c>
      <c r="F13" s="88">
        <f>'9.Óvoda'!F13-'32._Óvoda_önként'!F13</f>
        <v>0</v>
      </c>
      <c r="G13" s="88">
        <f>'9.Óvoda'!G13-'32._Óvoda_önként'!G13</f>
        <v>0</v>
      </c>
      <c r="H13" s="541">
        <f t="shared" si="1"/>
        <v>0</v>
      </c>
      <c r="I13" s="1087">
        <f>'9.Óvoda'!I13-'32._Óvoda_önként'!I13</f>
        <v>0</v>
      </c>
      <c r="J13" s="541">
        <f>'9.Óvoda'!J13-'32._Óvoda_önként'!J13</f>
        <v>0</v>
      </c>
      <c r="K13" s="541">
        <f>'9.Óvoda'!K13-'32._Óvoda_önként'!K13</f>
        <v>0</v>
      </c>
      <c r="L13" s="541" t="e">
        <f>'9.Óvoda'!L13-'32._Óvoda_önként'!L13</f>
        <v>#VALUE!</v>
      </c>
    </row>
    <row r="14" spans="1:12" s="26" customFormat="1" ht="12.2" customHeight="1" x14ac:dyDescent="0.2">
      <c r="A14" s="1037" t="s">
        <v>90</v>
      </c>
      <c r="B14" s="330" t="s">
        <v>146</v>
      </c>
      <c r="C14" s="331">
        <f>'9.Óvoda'!C14-'32._Óvoda_önként'!C14</f>
        <v>0</v>
      </c>
      <c r="D14" s="340">
        <f>'9.Óvoda'!D14-'32._Óvoda_önként'!D14</f>
        <v>0</v>
      </c>
      <c r="E14" s="88">
        <f>'9.Óvoda'!E14-'32._Óvoda_önként'!E14</f>
        <v>0</v>
      </c>
      <c r="F14" s="88">
        <f>'9.Óvoda'!F14-'32._Óvoda_önként'!F14</f>
        <v>0</v>
      </c>
      <c r="G14" s="88">
        <f>'9.Óvoda'!G14-'32._Óvoda_önként'!G14</f>
        <v>0</v>
      </c>
      <c r="H14" s="541">
        <f t="shared" si="1"/>
        <v>0</v>
      </c>
      <c r="I14" s="1087">
        <f>'9.Óvoda'!I14-'32._Óvoda_önként'!I14</f>
        <v>0</v>
      </c>
      <c r="J14" s="541">
        <f>'9.Óvoda'!J14-'32._Óvoda_önként'!J14</f>
        <v>0</v>
      </c>
      <c r="K14" s="541">
        <f>'9.Óvoda'!K14-'32._Óvoda_önként'!K14</f>
        <v>0</v>
      </c>
      <c r="L14" s="541" t="e">
        <f>'9.Óvoda'!L14-'32._Óvoda_önként'!L14</f>
        <v>#VALUE!</v>
      </c>
    </row>
    <row r="15" spans="1:12" s="26" customFormat="1" ht="12.2" customHeight="1" x14ac:dyDescent="0.2">
      <c r="A15" s="1037" t="s">
        <v>147</v>
      </c>
      <c r="B15" s="330" t="s">
        <v>148</v>
      </c>
      <c r="C15" s="331">
        <f>'9.Óvoda'!C15-'32._Óvoda_önként'!C15</f>
        <v>0</v>
      </c>
      <c r="D15" s="340">
        <f>'9.Óvoda'!D15-'32._Óvoda_önként'!D15</f>
        <v>0</v>
      </c>
      <c r="E15" s="88">
        <f>'9.Óvoda'!E15-'32._Óvoda_önként'!E15</f>
        <v>0</v>
      </c>
      <c r="F15" s="88">
        <f>'9.Óvoda'!F15-'32._Óvoda_önként'!F15</f>
        <v>0</v>
      </c>
      <c r="G15" s="88">
        <f>'9.Óvoda'!G15-'32._Óvoda_önként'!G15</f>
        <v>0</v>
      </c>
      <c r="H15" s="541">
        <f t="shared" si="1"/>
        <v>0</v>
      </c>
      <c r="I15" s="1087">
        <f>'9.Óvoda'!I15-'32._Óvoda_önként'!I15</f>
        <v>0</v>
      </c>
      <c r="J15" s="541">
        <f>'9.Óvoda'!J15-'32._Óvoda_önként'!J15</f>
        <v>0</v>
      </c>
      <c r="K15" s="541">
        <f>'9.Óvoda'!K15-'32._Óvoda_önként'!K15</f>
        <v>0</v>
      </c>
      <c r="L15" s="541" t="e">
        <f>'9.Óvoda'!L15-'32._Óvoda_önként'!L15</f>
        <v>#VALUE!</v>
      </c>
    </row>
    <row r="16" spans="1:12" s="26" customFormat="1" ht="12.2" customHeight="1" x14ac:dyDescent="0.2">
      <c r="A16" s="1037" t="s">
        <v>149</v>
      </c>
      <c r="B16" s="330" t="s">
        <v>150</v>
      </c>
      <c r="C16" s="331">
        <f>'9.Óvoda'!C16-'32._Óvoda_önként'!C16</f>
        <v>0</v>
      </c>
      <c r="D16" s="340">
        <f>'9.Óvoda'!D16-'32._Óvoda_önként'!D16</f>
        <v>0</v>
      </c>
      <c r="E16" s="88">
        <f>'9.Óvoda'!E16-'32._Óvoda_önként'!E16</f>
        <v>0</v>
      </c>
      <c r="F16" s="88">
        <f>'9.Óvoda'!F16-'32._Óvoda_önként'!F16</f>
        <v>0</v>
      </c>
      <c r="G16" s="88">
        <f>'9.Óvoda'!G16-'32._Óvoda_önként'!G16</f>
        <v>0</v>
      </c>
      <c r="H16" s="541">
        <f t="shared" si="1"/>
        <v>0</v>
      </c>
      <c r="I16" s="1087">
        <f>'9.Óvoda'!I16-'32._Óvoda_önként'!I16</f>
        <v>0</v>
      </c>
      <c r="J16" s="541">
        <f>'9.Óvoda'!J16-'32._Óvoda_önként'!J16</f>
        <v>6059</v>
      </c>
      <c r="K16" s="541">
        <f>'9.Óvoda'!K16-'32._Óvoda_önként'!K16</f>
        <v>0</v>
      </c>
      <c r="L16" s="541" t="e">
        <f>'9.Óvoda'!L16-'32._Óvoda_önként'!L16</f>
        <v>#VALUE!</v>
      </c>
    </row>
    <row r="17" spans="1:12" s="26" customFormat="1" ht="12.2" customHeight="1" x14ac:dyDescent="0.2">
      <c r="A17" s="1037" t="s">
        <v>151</v>
      </c>
      <c r="B17" s="52" t="s">
        <v>152</v>
      </c>
      <c r="C17" s="331">
        <f>'9.Óvoda'!C17-'32._Óvoda_önként'!C17</f>
        <v>0</v>
      </c>
      <c r="D17" s="340">
        <f>'9.Óvoda'!D17-'32._Óvoda_önként'!D17</f>
        <v>0</v>
      </c>
      <c r="E17" s="88">
        <f>'9.Óvoda'!E17-'32._Óvoda_önként'!E17</f>
        <v>0</v>
      </c>
      <c r="F17" s="88">
        <f>'9.Óvoda'!F17-'32._Óvoda_önként'!F17</f>
        <v>0</v>
      </c>
      <c r="G17" s="88">
        <f>'9.Óvoda'!G17-'32._Óvoda_önként'!G17</f>
        <v>0</v>
      </c>
      <c r="H17" s="541">
        <f t="shared" si="1"/>
        <v>0</v>
      </c>
      <c r="I17" s="1087">
        <f>'9.Óvoda'!I17-'32._Óvoda_önként'!I17</f>
        <v>0</v>
      </c>
      <c r="J17" s="541">
        <f>'9.Óvoda'!J17-'32._Óvoda_önként'!J17</f>
        <v>0</v>
      </c>
      <c r="K17" s="541">
        <f>'9.Óvoda'!K17-'32._Óvoda_önként'!K17</f>
        <v>0</v>
      </c>
      <c r="L17" s="541" t="e">
        <f>'9.Óvoda'!L17-'32._Óvoda_önként'!L17</f>
        <v>#VALUE!</v>
      </c>
    </row>
    <row r="18" spans="1:12" s="26" customFormat="1" ht="12.2" customHeight="1" x14ac:dyDescent="0.2">
      <c r="A18" s="1037" t="s">
        <v>153</v>
      </c>
      <c r="B18" s="345" t="s">
        <v>302</v>
      </c>
      <c r="C18" s="121">
        <f>'9.Óvoda'!C18-'32._Óvoda_önként'!C18</f>
        <v>0</v>
      </c>
      <c r="D18" s="188">
        <f>'9.Óvoda'!D18-'32._Óvoda_önként'!D18</f>
        <v>0</v>
      </c>
      <c r="E18" s="90">
        <f>'9.Óvoda'!E18-'32._Óvoda_önként'!E18</f>
        <v>0</v>
      </c>
      <c r="F18" s="90">
        <f>'9.Óvoda'!F18-'32._Óvoda_önként'!F18</f>
        <v>0</v>
      </c>
      <c r="G18" s="90">
        <f>'9.Óvoda'!G18-'32._Óvoda_önként'!G18</f>
        <v>0</v>
      </c>
      <c r="H18" s="542">
        <f t="shared" si="1"/>
        <v>0</v>
      </c>
      <c r="I18" s="1088">
        <f>'9.Óvoda'!I18-'32._Óvoda_önként'!I18</f>
        <v>0</v>
      </c>
      <c r="J18" s="542">
        <f>'9.Óvoda'!J18-'32._Óvoda_önként'!J18</f>
        <v>0</v>
      </c>
      <c r="K18" s="542">
        <f>'9.Óvoda'!K18-'32._Óvoda_önként'!K18</f>
        <v>0</v>
      </c>
      <c r="L18" s="542" t="e">
        <f>'9.Óvoda'!L18-'32._Óvoda_önként'!L18</f>
        <v>#VALUE!</v>
      </c>
    </row>
    <row r="19" spans="1:12" s="54" customFormat="1" ht="12.2" customHeight="1" x14ac:dyDescent="0.2">
      <c r="A19" s="1037" t="s">
        <v>154</v>
      </c>
      <c r="B19" s="330" t="s">
        <v>155</v>
      </c>
      <c r="C19" s="331">
        <f>'9.Óvoda'!C19-'32._Óvoda_önként'!C19</f>
        <v>0</v>
      </c>
      <c r="D19" s="340">
        <f>'9.Óvoda'!D19-'32._Óvoda_önként'!D19</f>
        <v>0</v>
      </c>
      <c r="E19" s="88">
        <f>'9.Óvoda'!E19-'32._Óvoda_önként'!E19</f>
        <v>0</v>
      </c>
      <c r="F19" s="88">
        <f>'9.Óvoda'!F19-'32._Óvoda_önként'!F19</f>
        <v>0</v>
      </c>
      <c r="G19" s="88">
        <f>'9.Óvoda'!G19-'32._Óvoda_önként'!G19</f>
        <v>0</v>
      </c>
      <c r="H19" s="541">
        <f t="shared" si="1"/>
        <v>0</v>
      </c>
      <c r="I19" s="1087">
        <f>'9.Óvoda'!I19-'32._Óvoda_önként'!I19</f>
        <v>0</v>
      </c>
      <c r="J19" s="541">
        <f>'9.Óvoda'!J19-'32._Óvoda_önként'!J19</f>
        <v>0</v>
      </c>
      <c r="K19" s="541">
        <f>'9.Óvoda'!K19-'32._Óvoda_önként'!K19</f>
        <v>0</v>
      </c>
      <c r="L19" s="541" t="e">
        <f>'9.Óvoda'!L19-'32._Óvoda_önként'!L19</f>
        <v>#VALUE!</v>
      </c>
    </row>
    <row r="20" spans="1:12" s="54" customFormat="1" ht="12.2" customHeight="1" x14ac:dyDescent="0.2">
      <c r="A20" s="1037" t="s">
        <v>156</v>
      </c>
      <c r="B20" s="345" t="s">
        <v>275</v>
      </c>
      <c r="C20" s="333">
        <f>'9.Óvoda'!C20-'32._Óvoda_önként'!C20</f>
        <v>0</v>
      </c>
      <c r="D20" s="341">
        <f>'9.Óvoda'!D20-'32._Óvoda_önként'!D20</f>
        <v>0</v>
      </c>
      <c r="E20" s="88">
        <f>'9.Óvoda'!E20-'32._Óvoda_önként'!E20</f>
        <v>0</v>
      </c>
      <c r="F20" s="88">
        <f>'9.Óvoda'!F20-'32._Óvoda_önként'!F20</f>
        <v>0</v>
      </c>
      <c r="G20" s="331">
        <f>'9.Óvoda'!G20-'32._Óvoda_önként'!G20</f>
        <v>0</v>
      </c>
      <c r="H20" s="543">
        <f t="shared" si="1"/>
        <v>0</v>
      </c>
      <c r="I20" s="1089">
        <f>'9.Óvoda'!I20-'32._Óvoda_önként'!I20</f>
        <v>0</v>
      </c>
      <c r="J20" s="543">
        <f>'9.Óvoda'!J20-'32._Óvoda_önként'!J20</f>
        <v>0</v>
      </c>
      <c r="K20" s="543">
        <f>'9.Óvoda'!K20-'32._Óvoda_önként'!K20</f>
        <v>0</v>
      </c>
      <c r="L20" s="543" t="e">
        <f>'9.Óvoda'!L20-'32._Óvoda_önként'!L20</f>
        <v>#VALUE!</v>
      </c>
    </row>
    <row r="21" spans="1:12" s="54" customFormat="1" ht="12.2" customHeight="1" thickBot="1" x14ac:dyDescent="0.25">
      <c r="A21" s="1037" t="s">
        <v>276</v>
      </c>
      <c r="B21" s="52" t="s">
        <v>157</v>
      </c>
      <c r="C21" s="333">
        <f>'9.Óvoda'!C21-'32._Óvoda_önként'!C21</f>
        <v>0</v>
      </c>
      <c r="D21" s="341">
        <f>'9.Óvoda'!D21-'32._Óvoda_önként'!D21</f>
        <v>0</v>
      </c>
      <c r="E21" s="90">
        <f>'9.Óvoda'!E21-'32._Óvoda_önként'!E21</f>
        <v>0</v>
      </c>
      <c r="F21" s="90">
        <f>'9.Óvoda'!F21-'32._Óvoda_önként'!F21</f>
        <v>0</v>
      </c>
      <c r="G21" s="90">
        <f>'9.Óvoda'!G21-'32._Óvoda_önként'!G21</f>
        <v>0</v>
      </c>
      <c r="H21" s="544">
        <f t="shared" si="1"/>
        <v>0</v>
      </c>
      <c r="I21" s="1090">
        <f>'9.Óvoda'!I21-'32._Óvoda_önként'!I21</f>
        <v>0</v>
      </c>
      <c r="J21" s="544">
        <f>'9.Óvoda'!J21-'32._Óvoda_önként'!J21</f>
        <v>0</v>
      </c>
      <c r="K21" s="544">
        <f>'9.Óvoda'!K21-'32._Óvoda_önként'!K21</f>
        <v>0</v>
      </c>
      <c r="L21" s="544" t="e">
        <f>'9.Óvoda'!L21-'32._Óvoda_önként'!L21</f>
        <v>#VALUE!</v>
      </c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SUM(C23:C25)</f>
        <v>0</v>
      </c>
      <c r="D22" s="127">
        <f t="shared" ref="D22:L22" si="2">SUM(D23:D25)</f>
        <v>0</v>
      </c>
      <c r="E22" s="582">
        <f t="shared" si="2"/>
        <v>662856</v>
      </c>
      <c r="F22" s="582">
        <f t="shared" si="2"/>
        <v>662856</v>
      </c>
      <c r="G22" s="582">
        <f t="shared" si="2"/>
        <v>0</v>
      </c>
      <c r="H22" s="48">
        <f t="shared" si="1"/>
        <v>662856</v>
      </c>
      <c r="I22" s="175">
        <f t="shared" si="2"/>
        <v>0</v>
      </c>
      <c r="J22" s="48">
        <f t="shared" si="2"/>
        <v>662856</v>
      </c>
      <c r="K22" s="48">
        <f t="shared" si="2"/>
        <v>0</v>
      </c>
      <c r="L22" s="48" t="e">
        <f t="shared" si="2"/>
        <v>#VALUE!</v>
      </c>
    </row>
    <row r="23" spans="1:12" s="54" customFormat="1" ht="12.2" customHeight="1" x14ac:dyDescent="0.2">
      <c r="A23" s="1037" t="s">
        <v>94</v>
      </c>
      <c r="B23" s="17" t="s">
        <v>159</v>
      </c>
      <c r="C23" s="331">
        <f>'9.Óvoda'!C23-'32._Óvoda_önként'!C23</f>
        <v>0</v>
      </c>
      <c r="D23" s="340">
        <f>'9.Óvoda'!D23-'32._Óvoda_önként'!D23</f>
        <v>0</v>
      </c>
      <c r="E23" s="584">
        <f>'9.Óvoda'!E23-'32._Óvoda_önként'!E23</f>
        <v>0</v>
      </c>
      <c r="F23" s="584">
        <f>'9.Óvoda'!F23-'32._Óvoda_önként'!F23</f>
        <v>0</v>
      </c>
      <c r="G23" s="584">
        <f>'9.Óvoda'!G23-'32._Óvoda_önként'!G23</f>
        <v>0</v>
      </c>
      <c r="H23" s="75">
        <f t="shared" si="1"/>
        <v>0</v>
      </c>
      <c r="I23" s="637">
        <f>'9.Óvoda'!I23-'32._Óvoda_önként'!I23</f>
        <v>0</v>
      </c>
      <c r="J23" s="75">
        <f>'9.Óvoda'!J23-'32._Óvoda_önként'!J23</f>
        <v>0</v>
      </c>
      <c r="K23" s="75">
        <f>'9.Óvoda'!K23-'32._Óvoda_önként'!K23</f>
        <v>0</v>
      </c>
      <c r="L23" s="75" t="e">
        <f>'9.Óvoda'!L23-'32._Óvoda_önként'!L23</f>
        <v>#VALUE!</v>
      </c>
    </row>
    <row r="24" spans="1:12" s="54" customFormat="1" ht="12.2" customHeight="1" x14ac:dyDescent="0.2">
      <c r="A24" s="1037" t="s">
        <v>95</v>
      </c>
      <c r="B24" s="330" t="s">
        <v>160</v>
      </c>
      <c r="C24" s="331">
        <f>'9.Óvoda'!C24-'32._Óvoda_önként'!C24</f>
        <v>0</v>
      </c>
      <c r="D24" s="340">
        <f>'9.Óvoda'!D24-'32._Óvoda_önként'!D24</f>
        <v>0</v>
      </c>
      <c r="E24" s="88">
        <f>'9.Óvoda'!E24-'32._Óvoda_önként'!E24</f>
        <v>0</v>
      </c>
      <c r="F24" s="88">
        <f>'9.Óvoda'!F24-'32._Óvoda_önként'!F24</f>
        <v>0</v>
      </c>
      <c r="G24" s="88">
        <f>'9.Óvoda'!G24-'32._Óvoda_önként'!G24</f>
        <v>0</v>
      </c>
      <c r="H24" s="541">
        <f t="shared" si="1"/>
        <v>0</v>
      </c>
      <c r="I24" s="1087">
        <f>'9.Óvoda'!I24-'32._Óvoda_önként'!I24</f>
        <v>0</v>
      </c>
      <c r="J24" s="541">
        <f>'9.Óvoda'!J24-'32._Óvoda_önként'!J24</f>
        <v>0</v>
      </c>
      <c r="K24" s="541">
        <f>'9.Óvoda'!K24-'32._Óvoda_önként'!K24</f>
        <v>0</v>
      </c>
      <c r="L24" s="541" t="e">
        <f>'9.Óvoda'!L24-'32._Óvoda_önként'!L24</f>
        <v>#VALUE!</v>
      </c>
    </row>
    <row r="25" spans="1:12" s="54" customFormat="1" ht="12.2" customHeight="1" x14ac:dyDescent="0.2">
      <c r="A25" s="1037" t="s">
        <v>96</v>
      </c>
      <c r="B25" s="330" t="s">
        <v>161</v>
      </c>
      <c r="C25" s="331">
        <f>'9.Óvoda'!C25-'32._Óvoda_önként'!C25</f>
        <v>0</v>
      </c>
      <c r="D25" s="340">
        <f>'9.Óvoda'!D25-'32._Óvoda_önként'!D25</f>
        <v>0</v>
      </c>
      <c r="E25" s="88">
        <f>'9.Óvoda'!E25-'32._Óvoda_önként'!E25</f>
        <v>662856</v>
      </c>
      <c r="F25" s="88">
        <f>'9.Óvoda'!F25-'32._Óvoda_önként'!F25</f>
        <v>662856</v>
      </c>
      <c r="G25" s="88">
        <f>'9.Óvoda'!G25-'32._Óvoda_önként'!G25</f>
        <v>0</v>
      </c>
      <c r="H25" s="541">
        <f t="shared" si="1"/>
        <v>662856</v>
      </c>
      <c r="I25" s="1087">
        <f>'9.Óvoda'!I25-'32._Óvoda_önként'!I25</f>
        <v>0</v>
      </c>
      <c r="J25" s="541">
        <f>'9.Óvoda'!J25-'32._Óvoda_önként'!J25</f>
        <v>662856</v>
      </c>
      <c r="K25" s="541">
        <f>'9.Óvoda'!K25-'32._Óvoda_önként'!K25</f>
        <v>0</v>
      </c>
      <c r="L25" s="541">
        <f>'9.Óvoda'!L25-'32._Óvoda_önként'!L25</f>
        <v>100</v>
      </c>
    </row>
    <row r="26" spans="1:12" s="54" customFormat="1" ht="12.2" customHeight="1" thickBot="1" x14ac:dyDescent="0.25">
      <c r="A26" s="1037" t="s">
        <v>317</v>
      </c>
      <c r="B26" s="335" t="s">
        <v>233</v>
      </c>
      <c r="C26" s="331">
        <f>'9.Óvoda'!C26-'32._Óvoda_önként'!C26</f>
        <v>0</v>
      </c>
      <c r="D26" s="340">
        <f>'9.Óvoda'!D26-'32._Óvoda_önként'!D26</f>
        <v>0</v>
      </c>
      <c r="E26" s="88">
        <f>'9.Óvoda'!E26-'32._Óvoda_önként'!E26</f>
        <v>0</v>
      </c>
      <c r="F26" s="88">
        <f>'9.Óvoda'!F26-'32._Óvoda_önként'!F26</f>
        <v>0</v>
      </c>
      <c r="G26" s="88">
        <f>'9.Óvoda'!G26-'32._Óvoda_önként'!G26</f>
        <v>0</v>
      </c>
      <c r="H26" s="545">
        <f t="shared" si="1"/>
        <v>0</v>
      </c>
      <c r="I26" s="1091">
        <f>'9.Óvoda'!I26-'32._Óvoda_önként'!I26</f>
        <v>0</v>
      </c>
      <c r="J26" s="545">
        <f>'9.Óvoda'!J26-'32._Óvoda_önként'!J26</f>
        <v>0</v>
      </c>
      <c r="K26" s="545">
        <f>'9.Óvoda'!K26-'32._Óvoda_önként'!K26</f>
        <v>0</v>
      </c>
      <c r="L26" s="545" t="e">
        <f>'9.Óvoda'!L26-'32._Óvoda_önként'!L26</f>
        <v>#VALUE!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30">
        <f>'9.Óvoda'!C27-'32._Óvoda_önként'!C27</f>
        <v>0</v>
      </c>
      <c r="D27" s="129">
        <f>'9.Óvoda'!D27-'32._Óvoda_önként'!D27</f>
        <v>0</v>
      </c>
      <c r="E27" s="585">
        <f>'9.Óvoda'!E27-'32._Óvoda_önként'!E27</f>
        <v>0</v>
      </c>
      <c r="F27" s="585">
        <f>'9.Óvoda'!F27-'32._Óvoda_önként'!F27</f>
        <v>0</v>
      </c>
      <c r="G27" s="585">
        <f>'9.Óvoda'!G27-'32._Óvoda_önként'!G27</f>
        <v>0</v>
      </c>
      <c r="H27" s="74">
        <f t="shared" si="1"/>
        <v>0</v>
      </c>
      <c r="I27" s="638">
        <f>'9.Óvoda'!I27-'32._Óvoda_önként'!I27</f>
        <v>0</v>
      </c>
      <c r="J27" s="74">
        <f>'9.Óvoda'!J27-'32._Óvoda_önként'!J27</f>
        <v>0</v>
      </c>
      <c r="K27" s="74">
        <f>'9.Óvoda'!K27-'32._Óvoda_önként'!K27</f>
        <v>0</v>
      </c>
      <c r="L27" s="74" t="e">
        <f>'9.Óvoda'!L27-'32._Óvoda_önként'!L27</f>
        <v>#VALUE!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'9.Óvoda'!C28-'32._Óvoda_önként'!C28</f>
        <v>0</v>
      </c>
      <c r="D28" s="127">
        <f>'9.Óvoda'!D28-'32._Óvoda_önként'!D28</f>
        <v>0</v>
      </c>
      <c r="E28" s="582">
        <f>'9.Óvoda'!E28-'32._Óvoda_önként'!E28</f>
        <v>0</v>
      </c>
      <c r="F28" s="582">
        <f>'9.Óvoda'!F28-'32._Óvoda_önként'!F28</f>
        <v>0</v>
      </c>
      <c r="G28" s="582">
        <f>'9.Óvoda'!G28-'32._Óvoda_önként'!G28</f>
        <v>0</v>
      </c>
      <c r="H28" s="74">
        <f t="shared" si="1"/>
        <v>0</v>
      </c>
      <c r="I28" s="638">
        <f>'9.Óvoda'!I28-'32._Óvoda_önként'!I28</f>
        <v>0</v>
      </c>
      <c r="J28" s="74">
        <f>'9.Óvoda'!J28-'32._Óvoda_önként'!J28</f>
        <v>0</v>
      </c>
      <c r="K28" s="74">
        <f>'9.Óvoda'!K28-'32._Óvoda_önként'!K28</f>
        <v>0</v>
      </c>
      <c r="L28" s="74" t="e">
        <f>'9.Óvoda'!L28-'32._Óvoda_önként'!L28</f>
        <v>#VALUE!</v>
      </c>
    </row>
    <row r="29" spans="1:12" s="54" customFormat="1" ht="12.2" customHeight="1" x14ac:dyDescent="0.2">
      <c r="A29" s="58" t="s">
        <v>100</v>
      </c>
      <c r="B29" s="59" t="s">
        <v>160</v>
      </c>
      <c r="C29" s="122">
        <f>'9.Óvoda'!C29-'32._Óvoda_önként'!C29</f>
        <v>0</v>
      </c>
      <c r="D29" s="189">
        <f>'9.Óvoda'!D29-'32._Óvoda_önként'!D29</f>
        <v>0</v>
      </c>
      <c r="E29" s="586">
        <f>'9.Óvoda'!E29-'32._Óvoda_önként'!E29</f>
        <v>0</v>
      </c>
      <c r="F29" s="586">
        <f>'9.Óvoda'!F29-'32._Óvoda_önként'!F29</f>
        <v>0</v>
      </c>
      <c r="G29" s="586">
        <f>'9.Óvoda'!G29-'32._Óvoda_önként'!G29</f>
        <v>0</v>
      </c>
      <c r="H29" s="546">
        <f t="shared" si="1"/>
        <v>0</v>
      </c>
      <c r="I29" s="1092">
        <f>'9.Óvoda'!I29-'32._Óvoda_önként'!I29</f>
        <v>0</v>
      </c>
      <c r="J29" s="546">
        <f>'9.Óvoda'!J29-'32._Óvoda_önként'!J29</f>
        <v>0</v>
      </c>
      <c r="K29" s="546">
        <f>'9.Óvoda'!K29-'32._Óvoda_önként'!K29</f>
        <v>0</v>
      </c>
      <c r="L29" s="546" t="e">
        <f>'9.Óvoda'!L29-'32._Óvoda_önként'!L29</f>
        <v>#VALUE!</v>
      </c>
    </row>
    <row r="30" spans="1:12" s="54" customFormat="1" ht="12.2" customHeight="1" x14ac:dyDescent="0.2">
      <c r="A30" s="58" t="s">
        <v>101</v>
      </c>
      <c r="B30" s="336" t="s">
        <v>163</v>
      </c>
      <c r="C30" s="120">
        <f>'9.Óvoda'!C30-'32._Óvoda_önként'!C30</f>
        <v>0</v>
      </c>
      <c r="D30" s="193">
        <f>'9.Óvoda'!D30-'32._Óvoda_önként'!D30</f>
        <v>0</v>
      </c>
      <c r="E30" s="107">
        <f>'9.Óvoda'!E30-'32._Óvoda_önként'!E30</f>
        <v>0</v>
      </c>
      <c r="F30" s="107">
        <f>'9.Óvoda'!F30-'32._Óvoda_önként'!F30</f>
        <v>0</v>
      </c>
      <c r="G30" s="339">
        <f>'9.Óvoda'!G30-'32._Óvoda_önként'!G30</f>
        <v>0</v>
      </c>
      <c r="H30" s="534">
        <f t="shared" si="1"/>
        <v>0</v>
      </c>
      <c r="I30" s="630">
        <f>'9.Óvoda'!I30-'32._Óvoda_önként'!I30</f>
        <v>0</v>
      </c>
      <c r="J30" s="534">
        <f>'9.Óvoda'!J30-'32._Óvoda_önként'!J30</f>
        <v>0</v>
      </c>
      <c r="K30" s="534">
        <f>'9.Óvoda'!K30-'32._Óvoda_önként'!K30</f>
        <v>0</v>
      </c>
      <c r="L30" s="534" t="e">
        <f>'9.Óvoda'!L30-'32._Óvoda_önként'!L30</f>
        <v>#VALUE!</v>
      </c>
    </row>
    <row r="31" spans="1:12" s="54" customFormat="1" ht="12.2" customHeight="1" thickBot="1" x14ac:dyDescent="0.25">
      <c r="A31" s="1037" t="s">
        <v>281</v>
      </c>
      <c r="B31" s="102" t="s">
        <v>165</v>
      </c>
      <c r="C31" s="92">
        <f>'9.Óvoda'!C31-'32._Óvoda_önként'!C31</f>
        <v>0</v>
      </c>
      <c r="D31" s="190">
        <f>'9.Óvoda'!D31-'32._Óvoda_önként'!D31</f>
        <v>0</v>
      </c>
      <c r="E31" s="587">
        <f>'9.Óvoda'!E31-'32._Óvoda_önként'!E31</f>
        <v>0</v>
      </c>
      <c r="F31" s="587">
        <f>'9.Óvoda'!F31-'32._Óvoda_önként'!F31</f>
        <v>0</v>
      </c>
      <c r="G31" s="587">
        <f>'9.Óvoda'!G31-'32._Óvoda_önként'!G31</f>
        <v>0</v>
      </c>
      <c r="H31" s="547">
        <f t="shared" si="1"/>
        <v>0</v>
      </c>
      <c r="I31" s="1093">
        <f>'9.Óvoda'!I31-'32._Óvoda_önként'!I31</f>
        <v>0</v>
      </c>
      <c r="J31" s="547">
        <f>'9.Óvoda'!J31-'32._Óvoda_önként'!J31</f>
        <v>0</v>
      </c>
      <c r="K31" s="547">
        <f>'9.Óvoda'!K31-'32._Óvoda_önként'!K31</f>
        <v>0</v>
      </c>
      <c r="L31" s="547" t="e">
        <f>'9.Óvoda'!L31-'32._Óvoda_önként'!L31</f>
        <v>#VALUE!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+C33+C34+C35</f>
        <v>0</v>
      </c>
      <c r="D32" s="127">
        <f t="shared" ref="D32:L32" si="3">+D33+D34+D35</f>
        <v>0</v>
      </c>
      <c r="E32" s="582">
        <f t="shared" si="3"/>
        <v>0</v>
      </c>
      <c r="F32" s="582">
        <f t="shared" si="3"/>
        <v>0</v>
      </c>
      <c r="G32" s="582">
        <f t="shared" si="3"/>
        <v>0</v>
      </c>
      <c r="H32" s="74">
        <f t="shared" si="1"/>
        <v>0</v>
      </c>
      <c r="I32" s="638">
        <f t="shared" si="3"/>
        <v>0</v>
      </c>
      <c r="J32" s="74">
        <f t="shared" si="3"/>
        <v>22441</v>
      </c>
      <c r="K32" s="74">
        <f t="shared" si="3"/>
        <v>0</v>
      </c>
      <c r="L32" s="74" t="e">
        <f t="shared" si="3"/>
        <v>#VALUE!</v>
      </c>
    </row>
    <row r="33" spans="1:12" s="54" customFormat="1" ht="12.2" customHeight="1" x14ac:dyDescent="0.2">
      <c r="A33" s="58" t="s">
        <v>89</v>
      </c>
      <c r="B33" s="59" t="s">
        <v>167</v>
      </c>
      <c r="C33" s="122">
        <f>'9.Óvoda'!C33-'32._Óvoda_önként'!C33</f>
        <v>0</v>
      </c>
      <c r="D33" s="189">
        <f>'9.Óvoda'!D33-'32._Óvoda_önként'!D33</f>
        <v>0</v>
      </c>
      <c r="E33" s="586">
        <f>'9.Óvoda'!E33-'32._Óvoda_önként'!E33</f>
        <v>0</v>
      </c>
      <c r="F33" s="586">
        <f>'9.Óvoda'!F33-'32._Óvoda_önként'!F33</f>
        <v>0</v>
      </c>
      <c r="G33" s="586">
        <f>'9.Óvoda'!G33-'32._Óvoda_önként'!G33</f>
        <v>0</v>
      </c>
      <c r="H33" s="546">
        <f t="shared" si="1"/>
        <v>0</v>
      </c>
      <c r="I33" s="1092">
        <f>'9.Óvoda'!I33-'32._Óvoda_önként'!I33</f>
        <v>0</v>
      </c>
      <c r="J33" s="546">
        <f>'9.Óvoda'!J33-'32._Óvoda_önként'!J33</f>
        <v>0</v>
      </c>
      <c r="K33" s="546">
        <f>'9.Óvoda'!K33-'32._Óvoda_önként'!K33</f>
        <v>0</v>
      </c>
      <c r="L33" s="546" t="e">
        <f>'9.Óvoda'!L33-'32._Óvoda_önként'!L33</f>
        <v>#VALUE!</v>
      </c>
    </row>
    <row r="34" spans="1:12" s="54" customFormat="1" ht="12.2" customHeight="1" x14ac:dyDescent="0.2">
      <c r="A34" s="58" t="s">
        <v>102</v>
      </c>
      <c r="B34" s="336" t="s">
        <v>168</v>
      </c>
      <c r="C34" s="120">
        <f>'9.Óvoda'!C34-'32._Óvoda_önként'!C34</f>
        <v>0</v>
      </c>
      <c r="D34" s="193">
        <f>'9.Óvoda'!D34-'32._Óvoda_önként'!D34</f>
        <v>0</v>
      </c>
      <c r="E34" s="107">
        <f>'9.Óvoda'!E34-'32._Óvoda_önként'!E34</f>
        <v>0</v>
      </c>
      <c r="F34" s="107">
        <f>'9.Óvoda'!F34-'32._Óvoda_önként'!F34</f>
        <v>0</v>
      </c>
      <c r="G34" s="339">
        <f>'9.Óvoda'!G34-'32._Óvoda_önként'!G34</f>
        <v>0</v>
      </c>
      <c r="H34" s="534">
        <f t="shared" si="1"/>
        <v>0</v>
      </c>
      <c r="I34" s="630">
        <f>'9.Óvoda'!I34-'32._Óvoda_önként'!I34</f>
        <v>0</v>
      </c>
      <c r="J34" s="534">
        <f>'9.Óvoda'!J34-'32._Óvoda_önként'!J34</f>
        <v>0</v>
      </c>
      <c r="K34" s="534">
        <f>'9.Óvoda'!K34-'32._Óvoda_önként'!K34</f>
        <v>0</v>
      </c>
      <c r="L34" s="534" t="e">
        <f>'9.Óvoda'!L34-'32._Óvoda_önként'!L34</f>
        <v>#VALUE!</v>
      </c>
    </row>
    <row r="35" spans="1:12" s="54" customFormat="1" ht="12.2" customHeight="1" thickBot="1" x14ac:dyDescent="0.25">
      <c r="A35" s="1037" t="s">
        <v>103</v>
      </c>
      <c r="B35" s="62" t="s">
        <v>169</v>
      </c>
      <c r="C35" s="92">
        <f>'9.Óvoda'!C35-'32._Óvoda_önként'!C35</f>
        <v>0</v>
      </c>
      <c r="D35" s="190">
        <f>'9.Óvoda'!D35-'32._Óvoda_önként'!D35</f>
        <v>0</v>
      </c>
      <c r="E35" s="587">
        <f>'9.Óvoda'!E35-'32._Óvoda_önként'!E35</f>
        <v>0</v>
      </c>
      <c r="F35" s="587">
        <f>'9.Óvoda'!F35-'32._Óvoda_önként'!F35</f>
        <v>0</v>
      </c>
      <c r="G35" s="587">
        <f>'9.Óvoda'!G35-'32._Óvoda_önként'!G35</f>
        <v>0</v>
      </c>
      <c r="H35" s="548">
        <f t="shared" si="1"/>
        <v>0</v>
      </c>
      <c r="I35" s="1094">
        <f>'9.Óvoda'!I35-'32._Óvoda_önként'!I35</f>
        <v>0</v>
      </c>
      <c r="J35" s="548">
        <f>'9.Óvoda'!J35-'32._Óvoda_önként'!J35</f>
        <v>22441</v>
      </c>
      <c r="K35" s="548">
        <f>'9.Óvoda'!K35-'32._Óvoda_önként'!K35</f>
        <v>0</v>
      </c>
      <c r="L35" s="548" t="e">
        <f>'9.Óvoda'!L35-'32._Óvoda_önként'!L35</f>
        <v>#VALUE!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30">
        <f>'9.Óvoda'!C36-'32._Óvoda_önként'!C36</f>
        <v>0</v>
      </c>
      <c r="D36" s="129">
        <f>'9.Óvoda'!D36-'32._Óvoda_önként'!D36</f>
        <v>0</v>
      </c>
      <c r="E36" s="585">
        <f>'9.Óvoda'!E36-'32._Óvoda_önként'!E36</f>
        <v>0</v>
      </c>
      <c r="F36" s="585">
        <f>'9.Óvoda'!F36-'32._Óvoda_önként'!F36</f>
        <v>0</v>
      </c>
      <c r="G36" s="585">
        <f>'9.Óvoda'!G36-'32._Óvoda_önként'!G36</f>
        <v>0</v>
      </c>
      <c r="H36" s="74">
        <f t="shared" si="1"/>
        <v>0</v>
      </c>
      <c r="I36" s="638">
        <f>'9.Óvoda'!I36-'32._Óvoda_önként'!I36</f>
        <v>0</v>
      </c>
      <c r="J36" s="74">
        <f>'9.Óvoda'!J36-'32._Óvoda_önként'!J36</f>
        <v>0</v>
      </c>
      <c r="K36" s="74">
        <f>'9.Óvoda'!K36-'32._Óvoda_önként'!K36</f>
        <v>0</v>
      </c>
      <c r="L36" s="74" t="e">
        <f>'9.Óvoda'!L36-'32._Óvoda_önként'!L36</f>
        <v>#VALUE!</v>
      </c>
    </row>
    <row r="37" spans="1:12" s="26" customFormat="1" ht="12.2" customHeight="1" thickBot="1" x14ac:dyDescent="0.25">
      <c r="A37" s="1038" t="s">
        <v>104</v>
      </c>
      <c r="B37" s="337" t="s">
        <v>165</v>
      </c>
      <c r="C37" s="130">
        <f>'9.Óvoda'!C37-'32._Óvoda_önként'!C37</f>
        <v>0</v>
      </c>
      <c r="D37" s="129">
        <f>'9.Óvoda'!D37-'32._Óvoda_önként'!D37</f>
        <v>0</v>
      </c>
      <c r="E37" s="588">
        <f>'9.Óvoda'!E37-'32._Óvoda_önként'!E37</f>
        <v>0</v>
      </c>
      <c r="F37" s="588">
        <f>'9.Óvoda'!F37-'32._Óvoda_önként'!F37</f>
        <v>0</v>
      </c>
      <c r="G37" s="588">
        <f>'9.Óvoda'!G37-'32._Óvoda_önként'!G37</f>
        <v>0</v>
      </c>
      <c r="H37" s="549">
        <f t="shared" si="1"/>
        <v>0</v>
      </c>
      <c r="I37" s="1095">
        <f>'9.Óvoda'!I37-'32._Óvoda_önként'!I37</f>
        <v>0</v>
      </c>
      <c r="J37" s="549">
        <f>'9.Óvoda'!J37-'32._Óvoda_önként'!J37</f>
        <v>0</v>
      </c>
      <c r="K37" s="549">
        <f>'9.Óvoda'!K37-'32._Óvoda_önként'!K37</f>
        <v>0</v>
      </c>
      <c r="L37" s="549" t="e">
        <f>'9.Óvoda'!L37-'32._Óvoda_önként'!L37</f>
        <v>#VALUE!</v>
      </c>
    </row>
    <row r="38" spans="1:12" s="26" customFormat="1" ht="12.2" customHeight="1" thickBot="1" x14ac:dyDescent="0.25">
      <c r="A38" s="55" t="s">
        <v>18</v>
      </c>
      <c r="B38" s="56" t="s">
        <v>555</v>
      </c>
      <c r="C38" s="130">
        <f>'9.Óvoda'!C38-'32._Óvoda_önként'!C38</f>
        <v>0</v>
      </c>
      <c r="D38" s="129">
        <f>'9.Óvoda'!D38-'32._Óvoda_önként'!D38</f>
        <v>0</v>
      </c>
      <c r="E38" s="585">
        <f>'9.Óvoda'!E38-'32._Óvoda_önként'!E38</f>
        <v>0</v>
      </c>
      <c r="F38" s="585">
        <f>'9.Óvoda'!F38-'32._Óvoda_önként'!F38</f>
        <v>0</v>
      </c>
      <c r="G38" s="585">
        <f>'9.Óvoda'!G38-'32._Óvoda_önként'!G38</f>
        <v>0</v>
      </c>
      <c r="H38" s="74">
        <f t="shared" si="1"/>
        <v>0</v>
      </c>
      <c r="I38" s="638">
        <f>'9.Óvoda'!I38-'32._Óvoda_önként'!I38</f>
        <v>0</v>
      </c>
      <c r="J38" s="74">
        <f>'9.Óvoda'!J38-'32._Óvoda_önként'!J38</f>
        <v>0</v>
      </c>
      <c r="K38" s="74">
        <f>'9.Óvoda'!K38-'32._Óvoda_önként'!K38</f>
        <v>0</v>
      </c>
      <c r="L38" s="74" t="e">
        <f>'9.Óvoda'!L38-'32._Óvoda_önként'!L38</f>
        <v>#VALUE!</v>
      </c>
    </row>
    <row r="39" spans="1:12" s="26" customFormat="1" ht="12.2" customHeight="1" x14ac:dyDescent="0.2">
      <c r="A39" s="12" t="s">
        <v>107</v>
      </c>
      <c r="B39" s="95" t="s">
        <v>212</v>
      </c>
      <c r="C39" s="131">
        <f>'9.Óvoda'!C39-'32._Óvoda_önként'!C39</f>
        <v>0</v>
      </c>
      <c r="D39" s="194">
        <f>'9.Óvoda'!D39-'32._Óvoda_önként'!D39</f>
        <v>0</v>
      </c>
      <c r="E39" s="589">
        <f>'9.Óvoda'!E39-'32._Óvoda_önként'!E39</f>
        <v>0</v>
      </c>
      <c r="F39" s="589">
        <f>'9.Óvoda'!F39-'32._Óvoda_önként'!F39</f>
        <v>0</v>
      </c>
      <c r="G39" s="589">
        <f>'9.Óvoda'!G39-'32._Óvoda_önként'!G39</f>
        <v>0</v>
      </c>
      <c r="H39" s="550">
        <f t="shared" si="1"/>
        <v>0</v>
      </c>
      <c r="I39" s="1096">
        <f>'9.Óvoda'!I39-'32._Óvoda_önként'!I39</f>
        <v>0</v>
      </c>
      <c r="J39" s="550">
        <f>'9.Óvoda'!J39-'32._Óvoda_önként'!J39</f>
        <v>0</v>
      </c>
      <c r="K39" s="550">
        <f>'9.Óvoda'!K39-'32._Óvoda_önként'!K39</f>
        <v>0</v>
      </c>
      <c r="L39" s="550" t="e">
        <f>'9.Óvoda'!L39-'32._Óvoda_önként'!L39</f>
        <v>#VALUE!</v>
      </c>
    </row>
    <row r="40" spans="1:12" s="26" customFormat="1" ht="12.2" customHeight="1" x14ac:dyDescent="0.2">
      <c r="A40" s="1003" t="s">
        <v>108</v>
      </c>
      <c r="B40" s="346" t="s">
        <v>213</v>
      </c>
      <c r="C40" s="338">
        <f>'9.Óvoda'!C40-'32._Óvoda_önként'!C40</f>
        <v>0</v>
      </c>
      <c r="D40" s="342">
        <f>'9.Óvoda'!D40-'32._Óvoda_önként'!D40</f>
        <v>0</v>
      </c>
      <c r="E40" s="590">
        <f>'9.Óvoda'!E40-'32._Óvoda_önként'!E40</f>
        <v>0</v>
      </c>
      <c r="F40" s="590">
        <f>'9.Óvoda'!F40-'32._Óvoda_önként'!F40</f>
        <v>0</v>
      </c>
      <c r="G40" s="590">
        <f>'9.Óvoda'!G40-'32._Óvoda_önként'!G40</f>
        <v>0</v>
      </c>
      <c r="H40" s="551">
        <f t="shared" si="1"/>
        <v>0</v>
      </c>
      <c r="I40" s="1097">
        <f>'9.Óvoda'!I40-'32._Óvoda_önként'!I40</f>
        <v>0</v>
      </c>
      <c r="J40" s="551">
        <f>'9.Óvoda'!J40-'32._Óvoda_önként'!J40</f>
        <v>0</v>
      </c>
      <c r="K40" s="551">
        <f>'9.Óvoda'!K40-'32._Óvoda_önként'!K40</f>
        <v>0</v>
      </c>
      <c r="L40" s="551" t="e">
        <f>'9.Óvoda'!L40-'32._Óvoda_önként'!L40</f>
        <v>#VALUE!</v>
      </c>
    </row>
    <row r="41" spans="1:12" s="26" customFormat="1" ht="12.2" customHeight="1" thickBot="1" x14ac:dyDescent="0.25">
      <c r="A41" s="1003" t="s">
        <v>323</v>
      </c>
      <c r="B41" s="103" t="s">
        <v>165</v>
      </c>
      <c r="C41" s="133">
        <f>'9.Óvoda'!C41-'32._Óvoda_önként'!C41</f>
        <v>0</v>
      </c>
      <c r="D41" s="132">
        <f>'9.Óvoda'!D41-'32._Óvoda_önként'!D41</f>
        <v>0</v>
      </c>
      <c r="E41" s="591">
        <f>'9.Óvoda'!E41-'32._Óvoda_önként'!E41</f>
        <v>0</v>
      </c>
      <c r="F41" s="591">
        <f>'9.Óvoda'!F41-'32._Óvoda_önként'!F41</f>
        <v>0</v>
      </c>
      <c r="G41" s="591">
        <f>'9.Óvoda'!G41-'32._Óvoda_önként'!G41</f>
        <v>0</v>
      </c>
      <c r="H41" s="552">
        <f t="shared" si="1"/>
        <v>0</v>
      </c>
      <c r="I41" s="1098">
        <f>'9.Óvoda'!I41-'32._Óvoda_önként'!I41</f>
        <v>0</v>
      </c>
      <c r="J41" s="552">
        <f>'9.Óvoda'!J41-'32._Óvoda_önként'!J41</f>
        <v>0</v>
      </c>
      <c r="K41" s="552">
        <f>'9.Óvoda'!K41-'32._Óvoda_önként'!K41</f>
        <v>0</v>
      </c>
      <c r="L41" s="552" t="e">
        <f>'9.Óvoda'!L41-'32._Óvoda_önként'!L41</f>
        <v>#VALUE!</v>
      </c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0</v>
      </c>
      <c r="D42" s="127">
        <f t="shared" ref="D42:L42" si="4">+D10+D22+D27+D28+D32+D36+D38</f>
        <v>0</v>
      </c>
      <c r="E42" s="582">
        <f t="shared" si="4"/>
        <v>662856</v>
      </c>
      <c r="F42" s="582">
        <f t="shared" si="4"/>
        <v>662856</v>
      </c>
      <c r="G42" s="582">
        <f t="shared" si="4"/>
        <v>0</v>
      </c>
      <c r="H42" s="74">
        <f t="shared" si="1"/>
        <v>662856</v>
      </c>
      <c r="I42" s="638">
        <f t="shared" si="4"/>
        <v>0</v>
      </c>
      <c r="J42" s="74">
        <f t="shared" si="4"/>
        <v>691356</v>
      </c>
      <c r="K42" s="74">
        <f t="shared" si="4"/>
        <v>0</v>
      </c>
      <c r="L42" s="74" t="e">
        <f t="shared" si="4"/>
        <v>#VALUE!</v>
      </c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SUM(C44:C47)</f>
        <v>424917000</v>
      </c>
      <c r="D43" s="127">
        <f t="shared" ref="D43:L43" si="5">SUM(D44:D47)</f>
        <v>432682293</v>
      </c>
      <c r="E43" s="582">
        <f t="shared" si="5"/>
        <v>538832267</v>
      </c>
      <c r="F43" s="582">
        <f t="shared" si="5"/>
        <v>539975267</v>
      </c>
      <c r="G43" s="582">
        <f t="shared" si="5"/>
        <v>6337</v>
      </c>
      <c r="H43" s="74">
        <f t="shared" si="1"/>
        <v>106149974</v>
      </c>
      <c r="I43" s="638">
        <f t="shared" si="5"/>
        <v>213301</v>
      </c>
      <c r="J43" s="74">
        <f t="shared" si="5"/>
        <v>366347525</v>
      </c>
      <c r="K43" s="74" t="e">
        <f t="shared" si="5"/>
        <v>#VALUE!</v>
      </c>
      <c r="L43" s="74">
        <f t="shared" si="5"/>
        <v>267.73802213215652</v>
      </c>
    </row>
    <row r="44" spans="1:12" s="26" customFormat="1" ht="12.2" customHeight="1" x14ac:dyDescent="0.2">
      <c r="A44" s="58" t="s">
        <v>171</v>
      </c>
      <c r="B44" s="59" t="s">
        <v>131</v>
      </c>
      <c r="C44" s="122">
        <f>'9.Óvoda'!C44-'32._Óvoda_önként'!C44</f>
        <v>0</v>
      </c>
      <c r="D44" s="189">
        <f>'9.Óvoda'!D44-'32._Óvoda_önként'!D44</f>
        <v>2826396</v>
      </c>
      <c r="E44" s="586">
        <f>'9.Óvoda'!E44-'32._Óvoda_önként'!E44</f>
        <v>2826396</v>
      </c>
      <c r="F44" s="586">
        <f>'9.Óvoda'!F44-'32._Óvoda_önként'!F44</f>
        <v>2826396</v>
      </c>
      <c r="G44" s="586">
        <f>'9.Óvoda'!G44-'32._Óvoda_önként'!G44</f>
        <v>0</v>
      </c>
      <c r="H44" s="546">
        <f t="shared" si="1"/>
        <v>0</v>
      </c>
      <c r="I44" s="1092">
        <f>'9.Óvoda'!I44-'32._Óvoda_önként'!I44</f>
        <v>0</v>
      </c>
      <c r="J44" s="546">
        <f>'9.Óvoda'!J44-'32._Óvoda_önként'!J44</f>
        <v>2826396</v>
      </c>
      <c r="K44" s="546">
        <f>'9.Óvoda'!K44-'32._Óvoda_önként'!K44</f>
        <v>0</v>
      </c>
      <c r="L44" s="546">
        <f>'9.Óvoda'!L44-'32._Óvoda_önként'!L44</f>
        <v>100</v>
      </c>
    </row>
    <row r="45" spans="1:12" s="26" customFormat="1" ht="12.2" customHeight="1" x14ac:dyDescent="0.2">
      <c r="A45" s="71" t="s">
        <v>172</v>
      </c>
      <c r="B45" s="59" t="s">
        <v>186</v>
      </c>
      <c r="C45" s="120">
        <f>'9.Óvoda'!C45-'32._Óvoda_önként'!C45</f>
        <v>0</v>
      </c>
      <c r="D45" s="193">
        <f>'9.Óvoda'!D45-'32._Óvoda_önként'!D45</f>
        <v>212781</v>
      </c>
      <c r="E45" s="91">
        <f>'9.Óvoda'!E45-'32._Óvoda_önként'!E45</f>
        <v>212781</v>
      </c>
      <c r="F45" s="91">
        <f>'9.Óvoda'!F45-'32._Óvoda_önként'!F45</f>
        <v>212781</v>
      </c>
      <c r="G45" s="91">
        <f>'9.Óvoda'!G45-'32._Óvoda_önként'!G45</f>
        <v>0</v>
      </c>
      <c r="H45" s="553">
        <f t="shared" si="1"/>
        <v>0</v>
      </c>
      <c r="I45" s="1099">
        <f>'9.Óvoda'!I45-'32._Óvoda_önként'!I45</f>
        <v>0</v>
      </c>
      <c r="J45" s="553">
        <f>'9.Óvoda'!J45-'32._Óvoda_önként'!J45</f>
        <v>212781</v>
      </c>
      <c r="K45" s="553">
        <f>'9.Óvoda'!K45-'32._Óvoda_önként'!K45</f>
        <v>0</v>
      </c>
      <c r="L45" s="553">
        <f>'9.Óvoda'!L45-'32._Óvoda_önként'!L45</f>
        <v>100</v>
      </c>
    </row>
    <row r="46" spans="1:12" s="26" customFormat="1" ht="12.2" customHeight="1" x14ac:dyDescent="0.2">
      <c r="A46" s="1037" t="s">
        <v>173</v>
      </c>
      <c r="B46" s="336" t="s">
        <v>177</v>
      </c>
      <c r="C46" s="339">
        <f>'9.Óvoda'!C46-'32._Óvoda_önként'!C46</f>
        <v>424617000</v>
      </c>
      <c r="D46" s="323">
        <f>'9.Óvoda'!D46-'32._Óvoda_önként'!D46</f>
        <v>429044516</v>
      </c>
      <c r="E46" s="107">
        <f>'9.Óvoda'!E46-'32._Óvoda_önként'!E46</f>
        <v>535200307</v>
      </c>
      <c r="F46" s="107">
        <f>'9.Óvoda'!F46-'32._Óvoda_önként'!F46</f>
        <v>536343307</v>
      </c>
      <c r="G46" s="107">
        <f>'9.Óvoda'!G46-'32._Óvoda_önként'!G46</f>
        <v>6337</v>
      </c>
      <c r="H46" s="534">
        <f t="shared" si="1"/>
        <v>106155791</v>
      </c>
      <c r="I46" s="630">
        <f>'9.Óvoda'!I46-'32._Óvoda_önként'!I46</f>
        <v>6337</v>
      </c>
      <c r="J46" s="534">
        <f>'9.Óvoda'!J46-'32._Óvoda_önként'!J46</f>
        <v>363308348</v>
      </c>
      <c r="K46" s="534" t="e">
        <f>'9.Óvoda'!K46-'32._Óvoda_önként'!K46</f>
        <v>#VALUE!</v>
      </c>
      <c r="L46" s="534">
        <f>'9.Óvoda'!L46-'32._Óvoda_önként'!L46</f>
        <v>67.738022132156487</v>
      </c>
    </row>
    <row r="47" spans="1:12" s="54" customFormat="1" ht="12.2" customHeight="1" thickBot="1" x14ac:dyDescent="0.25">
      <c r="A47" s="58" t="s">
        <v>178</v>
      </c>
      <c r="B47" s="62" t="s">
        <v>179</v>
      </c>
      <c r="C47" s="1034">
        <f>'9.Óvoda'!C47-'32._Óvoda_önként'!C47</f>
        <v>300000</v>
      </c>
      <c r="D47" s="195">
        <f>'9.Óvoda'!D47-'32._Óvoda_önként'!D47</f>
        <v>598600</v>
      </c>
      <c r="E47" s="587">
        <f>'9.Óvoda'!E47-'32._Óvoda_önként'!E47</f>
        <v>592783</v>
      </c>
      <c r="F47" s="587">
        <f>'9.Óvoda'!F47-'32._Óvoda_önként'!F47</f>
        <v>592783</v>
      </c>
      <c r="G47" s="587">
        <f>'9.Óvoda'!G47-'32._Óvoda_önként'!G47</f>
        <v>0</v>
      </c>
      <c r="H47" s="548">
        <f t="shared" si="1"/>
        <v>-5817</v>
      </c>
      <c r="I47" s="1094">
        <f>'9.Óvoda'!I47-'32._Óvoda_önként'!I47</f>
        <v>206964</v>
      </c>
      <c r="J47" s="548">
        <f>'9.Óvoda'!J47-'32._Óvoda_önként'!J47</f>
        <v>0</v>
      </c>
      <c r="K47" s="548">
        <f>'9.Óvoda'!K47-'32._Óvoda_önként'!K47</f>
        <v>25.691813437541892</v>
      </c>
      <c r="L47" s="548">
        <f>'9.Óvoda'!L47-'32._Óvoda_önként'!L47</f>
        <v>0</v>
      </c>
    </row>
    <row r="48" spans="1:12" s="54" customFormat="1" ht="15" customHeight="1" thickBot="1" x14ac:dyDescent="0.25">
      <c r="A48" s="63" t="s">
        <v>21</v>
      </c>
      <c r="B48" s="524" t="s">
        <v>174</v>
      </c>
      <c r="C48" s="135">
        <f>+C42+C43</f>
        <v>424917000</v>
      </c>
      <c r="D48" s="134">
        <f t="shared" ref="D48:L48" si="6">+D42+D43</f>
        <v>432682293</v>
      </c>
      <c r="E48" s="592">
        <f t="shared" si="6"/>
        <v>539495123</v>
      </c>
      <c r="F48" s="592">
        <f t="shared" si="6"/>
        <v>540638123</v>
      </c>
      <c r="G48" s="592">
        <f t="shared" si="6"/>
        <v>6337</v>
      </c>
      <c r="H48" s="557">
        <f t="shared" si="1"/>
        <v>106812830</v>
      </c>
      <c r="I48" s="1100">
        <f t="shared" si="6"/>
        <v>213301</v>
      </c>
      <c r="J48" s="557">
        <f t="shared" si="6"/>
        <v>367038881</v>
      </c>
      <c r="K48" s="557" t="e">
        <f t="shared" si="6"/>
        <v>#VALUE!</v>
      </c>
      <c r="L48" s="557" t="e">
        <f t="shared" si="6"/>
        <v>#VALUE!</v>
      </c>
    </row>
    <row r="49" spans="1:12" s="54" customFormat="1" ht="15" customHeight="1" x14ac:dyDescent="0.2">
      <c r="A49" s="64"/>
      <c r="B49" s="65"/>
      <c r="C49" s="66"/>
      <c r="D49" s="66"/>
      <c r="E49" s="66"/>
      <c r="F49" s="66"/>
      <c r="G49" s="66"/>
      <c r="H49" s="66"/>
      <c r="I49" s="66"/>
      <c r="J49" s="66"/>
      <c r="K49" s="66"/>
      <c r="L49" s="66"/>
    </row>
    <row r="50" spans="1:12" s="54" customFormat="1" ht="15" customHeight="1" x14ac:dyDescent="0.2">
      <c r="A50" s="64"/>
      <c r="B50" s="65"/>
      <c r="C50" s="66"/>
      <c r="D50" s="66"/>
      <c r="E50" s="66"/>
      <c r="F50" s="66"/>
      <c r="G50" s="66"/>
      <c r="H50" s="66"/>
      <c r="I50" s="66"/>
      <c r="J50" s="66"/>
      <c r="K50" s="66"/>
      <c r="L50" s="66"/>
    </row>
    <row r="51" spans="1:12" ht="13.5" thickBot="1" x14ac:dyDescent="0.25">
      <c r="A51" s="1912" t="s">
        <v>362</v>
      </c>
      <c r="B51" s="1912"/>
      <c r="C51" s="1912"/>
      <c r="D51" s="1912"/>
      <c r="E51" s="1912"/>
      <c r="F51" s="1912"/>
      <c r="G51" s="1912"/>
      <c r="H51" s="1912"/>
    </row>
    <row r="52" spans="1:12" s="554" customFormat="1" ht="55.5" customHeight="1" thickBot="1" x14ac:dyDescent="0.25">
      <c r="A52" s="641"/>
      <c r="B52" s="642" t="s">
        <v>38</v>
      </c>
      <c r="C52" s="21" t="str">
        <f>C7</f>
        <v>2023. évi eredeti előirányzat
2/2023. (II.14.)</v>
      </c>
      <c r="D52" s="166" t="str">
        <f t="shared" ref="D52:L52" si="7">D7</f>
        <v>Módosított előirányzat a 14/2023.  (VI.29.)  rendelet szerint</v>
      </c>
      <c r="E52" s="21" t="str">
        <f t="shared" si="7"/>
        <v>Módosított előirányzat a 18/2023. (IX.26.)  rendelet szerint</v>
      </c>
      <c r="F52" s="21" t="str">
        <f t="shared" si="7"/>
        <v>Módosított előirányzat 2023.09.30-án</v>
      </c>
      <c r="G52" s="21" t="str">
        <f t="shared" si="7"/>
        <v>Módosított előirányzat a …../2023. (II…..)  rendelet szerint</v>
      </c>
      <c r="H52" s="32" t="str">
        <f t="shared" si="7"/>
        <v>Változás a 14/2023. (VI.29.) rendelethez képest</v>
      </c>
      <c r="I52" s="166" t="str">
        <f t="shared" si="7"/>
        <v>2023. évi teljesítés              2023.06.30-ig</v>
      </c>
      <c r="J52" s="21" t="str">
        <f t="shared" si="7"/>
        <v>2023. évi teljesítés              2023.09.30-ig</v>
      </c>
      <c r="K52" s="21" t="str">
        <f t="shared" si="7"/>
        <v>2023. évi teljesítés              2023.12.31-ig</v>
      </c>
      <c r="L52" s="21" t="str">
        <f t="shared" si="7"/>
        <v>Teljesítés %-a</v>
      </c>
    </row>
    <row r="53" spans="1:12" s="31" customFormat="1" ht="12.2" customHeight="1" thickBot="1" x14ac:dyDescent="0.25">
      <c r="A53" s="55" t="s">
        <v>12</v>
      </c>
      <c r="B53" s="56" t="s">
        <v>547</v>
      </c>
      <c r="C53" s="89">
        <f>SUM(C54:C59)-C55</f>
        <v>424617000</v>
      </c>
      <c r="D53" s="127">
        <f t="shared" ref="D53:L53" si="8">SUM(D54:D59)-D55</f>
        <v>431870912</v>
      </c>
      <c r="E53" s="582">
        <f t="shared" si="8"/>
        <v>538689559</v>
      </c>
      <c r="F53" s="582">
        <f t="shared" si="8"/>
        <v>539832559</v>
      </c>
      <c r="G53" s="582">
        <f t="shared" si="8"/>
        <v>6337</v>
      </c>
      <c r="H53" s="48">
        <f t="shared" ref="H53:H72" si="9">+E53-D53</f>
        <v>106818647</v>
      </c>
      <c r="I53" s="175">
        <f t="shared" si="8"/>
        <v>6337</v>
      </c>
      <c r="J53" s="48">
        <f t="shared" si="8"/>
        <v>364996958</v>
      </c>
      <c r="K53" s="48">
        <f t="shared" si="8"/>
        <v>0</v>
      </c>
      <c r="L53" s="48" t="e">
        <f t="shared" si="8"/>
        <v>#VALUE!</v>
      </c>
    </row>
    <row r="54" spans="1:12" ht="12.2" customHeight="1" x14ac:dyDescent="0.2">
      <c r="A54" s="1037" t="s">
        <v>91</v>
      </c>
      <c r="B54" s="17" t="s">
        <v>68</v>
      </c>
      <c r="C54" s="122">
        <f>'9.Óvoda'!C54-'32._Óvoda_önként'!C54</f>
        <v>362890000</v>
      </c>
      <c r="D54" s="189">
        <f>'9.Óvoda'!D54-'32._Óvoda_önként'!D54</f>
        <v>367742016</v>
      </c>
      <c r="E54" s="586">
        <f>'9.Óvoda'!E54-'32._Óvoda_önként'!E54</f>
        <v>458859716</v>
      </c>
      <c r="F54" s="586">
        <f>'9.Óvoda'!F54-'32._Óvoda_önként'!F54</f>
        <v>458859716</v>
      </c>
      <c r="G54" s="586">
        <f>'9.Óvoda'!G54-'32._Óvoda_önként'!G54</f>
        <v>0</v>
      </c>
      <c r="H54" s="33">
        <f>+E54-D54</f>
        <v>91117700</v>
      </c>
      <c r="I54" s="177">
        <f>'9.Óvoda'!I54-'32._Óvoda_önként'!I54</f>
        <v>0</v>
      </c>
      <c r="J54" s="33">
        <f>'9.Óvoda'!J54-'32._Óvoda_önként'!J54</f>
        <v>311307923</v>
      </c>
      <c r="K54" s="33">
        <f>'9.Óvoda'!K54-'32._Óvoda_önként'!K54</f>
        <v>0</v>
      </c>
      <c r="L54" s="33">
        <f>'9.Óvoda'!L54-'32._Óvoda_önként'!L54</f>
        <v>67.843811985447857</v>
      </c>
    </row>
    <row r="55" spans="1:12" ht="12.2" customHeight="1" x14ac:dyDescent="0.2">
      <c r="A55" s="1037" t="s">
        <v>305</v>
      </c>
      <c r="B55" s="335" t="s">
        <v>270</v>
      </c>
      <c r="C55" s="122">
        <f>'9.Óvoda'!C55-'32._Óvoda_önként'!C55</f>
        <v>20000000</v>
      </c>
      <c r="D55" s="189">
        <f>'9.Óvoda'!D55-'32._Óvoda_önként'!D55</f>
        <v>20000000</v>
      </c>
      <c r="E55" s="586">
        <f>'9.Óvoda'!E55-'32._Óvoda_önként'!E55</f>
        <v>37340000</v>
      </c>
      <c r="F55" s="586">
        <f>'9.Óvoda'!F55-'32._Óvoda_önként'!F55</f>
        <v>37340000</v>
      </c>
      <c r="G55" s="586">
        <f>'9.Óvoda'!G55-'32._Óvoda_önként'!G55</f>
        <v>0</v>
      </c>
      <c r="H55" s="33">
        <f t="shared" si="9"/>
        <v>17340000</v>
      </c>
      <c r="I55" s="177">
        <f>'9.Óvoda'!I55-'32._Óvoda_önként'!I55</f>
        <v>0</v>
      </c>
      <c r="J55" s="33">
        <f>'9.Óvoda'!J55-'32._Óvoda_önként'!J55</f>
        <v>7569084</v>
      </c>
      <c r="K55" s="33">
        <f>'9.Óvoda'!K55-'32._Óvoda_önként'!K55</f>
        <v>0</v>
      </c>
      <c r="L55" s="33">
        <f>'9.Óvoda'!L55-'32._Óvoda_önként'!L55</f>
        <v>20.270712372790573</v>
      </c>
    </row>
    <row r="56" spans="1:12" ht="12.2" customHeight="1" x14ac:dyDescent="0.2">
      <c r="A56" s="1037" t="s">
        <v>92</v>
      </c>
      <c r="B56" s="330" t="s">
        <v>87</v>
      </c>
      <c r="C56" s="339">
        <f>'9.Óvoda'!C56-'32._Óvoda_önként'!C56</f>
        <v>56520000</v>
      </c>
      <c r="D56" s="323">
        <f>'9.Óvoda'!D56-'32._Óvoda_önként'!D56</f>
        <v>57755986</v>
      </c>
      <c r="E56" s="107">
        <f>'9.Óvoda'!E56-'32._Óvoda_önként'!E56</f>
        <v>73451116</v>
      </c>
      <c r="F56" s="107">
        <f>'9.Óvoda'!F56-'32._Óvoda_önként'!F56</f>
        <v>73451116</v>
      </c>
      <c r="G56" s="107">
        <f>'9.Óvoda'!G56-'32._Óvoda_önként'!G56</f>
        <v>0</v>
      </c>
      <c r="H56" s="324">
        <f t="shared" si="9"/>
        <v>15695130</v>
      </c>
      <c r="I56" s="503">
        <f>'9.Óvoda'!I56-'32._Óvoda_önként'!I56</f>
        <v>0</v>
      </c>
      <c r="J56" s="324">
        <f>'9.Óvoda'!J56-'32._Óvoda_önként'!J56</f>
        <v>49979344</v>
      </c>
      <c r="K56" s="324">
        <f>'9.Óvoda'!K56-'32._Óvoda_önként'!K56</f>
        <v>0</v>
      </c>
      <c r="L56" s="324">
        <f>'9.Óvoda'!L56-'32._Óvoda_önként'!L56</f>
        <v>68.044363001918171</v>
      </c>
    </row>
    <row r="57" spans="1:12" ht="12.2" customHeight="1" x14ac:dyDescent="0.2">
      <c r="A57" s="1037" t="s">
        <v>93</v>
      </c>
      <c r="B57" s="330" t="s">
        <v>69</v>
      </c>
      <c r="C57" s="339">
        <f>'9.Óvoda'!C57-'32._Óvoda_önként'!C57</f>
        <v>5207000</v>
      </c>
      <c r="D57" s="323">
        <f>'9.Óvoda'!D57-'32._Óvoda_önként'!D57</f>
        <v>6372910</v>
      </c>
      <c r="E57" s="107">
        <f>'9.Óvoda'!E57-'32._Óvoda_önként'!E57</f>
        <v>6372390</v>
      </c>
      <c r="F57" s="107">
        <f>'9.Óvoda'!F57-'32._Óvoda_önként'!F57</f>
        <v>7515390</v>
      </c>
      <c r="G57" s="107">
        <f>'9.Óvoda'!G57-'32._Óvoda_önként'!G57</f>
        <v>0</v>
      </c>
      <c r="H57" s="324">
        <f t="shared" si="9"/>
        <v>-520</v>
      </c>
      <c r="I57" s="503">
        <f>'9.Óvoda'!I57-'32._Óvoda_önként'!I57</f>
        <v>0</v>
      </c>
      <c r="J57" s="324">
        <f>'9.Óvoda'!J57-'32._Óvoda_önként'!J57</f>
        <v>3709691</v>
      </c>
      <c r="K57" s="324">
        <f>'9.Óvoda'!K57-'32._Óvoda_önként'!K57</f>
        <v>0</v>
      </c>
      <c r="L57" s="324">
        <f>'9.Óvoda'!L57-'32._Óvoda_önként'!L57</f>
        <v>49.361257366550504</v>
      </c>
    </row>
    <row r="58" spans="1:12" ht="12.2" customHeight="1" x14ac:dyDescent="0.2">
      <c r="A58" s="1037" t="s">
        <v>90</v>
      </c>
      <c r="B58" s="330" t="s">
        <v>80</v>
      </c>
      <c r="C58" s="339">
        <f>'9.Óvoda'!C58-'32._Óvoda_önként'!C58</f>
        <v>0</v>
      </c>
      <c r="D58" s="323">
        <f>'9.Óvoda'!D58-'32._Óvoda_önként'!D58</f>
        <v>0</v>
      </c>
      <c r="E58" s="107">
        <f>'9.Óvoda'!E58-'32._Óvoda_önként'!E58</f>
        <v>0</v>
      </c>
      <c r="F58" s="107">
        <f>'9.Óvoda'!F58-'32._Óvoda_önként'!F58</f>
        <v>0</v>
      </c>
      <c r="G58" s="107">
        <f>'9.Óvoda'!G58-'32._Óvoda_önként'!G58</f>
        <v>0</v>
      </c>
      <c r="H58" s="324">
        <f t="shared" si="9"/>
        <v>0</v>
      </c>
      <c r="I58" s="503">
        <f>'9.Óvoda'!I58-'32._Óvoda_önként'!I58</f>
        <v>0</v>
      </c>
      <c r="J58" s="324">
        <f>'9.Óvoda'!J58-'32._Óvoda_önként'!J58</f>
        <v>0</v>
      </c>
      <c r="K58" s="324">
        <f>'9.Óvoda'!K58-'32._Óvoda_önként'!K58</f>
        <v>0</v>
      </c>
      <c r="L58" s="324" t="e">
        <f>'9.Óvoda'!L58-'32._Óvoda_önként'!L58</f>
        <v>#VALUE!</v>
      </c>
    </row>
    <row r="59" spans="1:12" ht="12.2" customHeight="1" x14ac:dyDescent="0.2">
      <c r="A59" s="1037" t="s">
        <v>147</v>
      </c>
      <c r="B59" s="330" t="s">
        <v>88</v>
      </c>
      <c r="C59" s="339">
        <f>'9.Óvoda'!C59-'32._Óvoda_önként'!C59</f>
        <v>0</v>
      </c>
      <c r="D59" s="323">
        <f>'9.Óvoda'!D59-'32._Óvoda_önként'!D59</f>
        <v>0</v>
      </c>
      <c r="E59" s="107">
        <f>'9.Óvoda'!E59-'32._Óvoda_önként'!E59</f>
        <v>6337</v>
      </c>
      <c r="F59" s="107">
        <f>'9.Óvoda'!F59-'32._Óvoda_önként'!F59</f>
        <v>6337</v>
      </c>
      <c r="G59" s="107">
        <f>'9.Óvoda'!G59-'32._Óvoda_önként'!G59</f>
        <v>6337</v>
      </c>
      <c r="H59" s="324">
        <f t="shared" si="9"/>
        <v>6337</v>
      </c>
      <c r="I59" s="503">
        <f>'9.Óvoda'!I59-'32._Óvoda_önként'!I59</f>
        <v>6337</v>
      </c>
      <c r="J59" s="324">
        <f>'9.Óvoda'!J59-'32._Óvoda_önként'!J59</f>
        <v>0</v>
      </c>
      <c r="K59" s="324">
        <f>'9.Óvoda'!K59-'32._Óvoda_önként'!K59</f>
        <v>0</v>
      </c>
      <c r="L59" s="324">
        <f>'9.Óvoda'!L59-'32._Óvoda_önként'!L59</f>
        <v>0</v>
      </c>
    </row>
    <row r="60" spans="1:12" ht="12.2" customHeight="1" x14ac:dyDescent="0.2">
      <c r="A60" s="1037" t="s">
        <v>306</v>
      </c>
      <c r="B60" s="521" t="s">
        <v>235</v>
      </c>
      <c r="C60" s="339">
        <f>'9.Óvoda'!C60-'32._Óvoda_önként'!C60</f>
        <v>0</v>
      </c>
      <c r="D60" s="323">
        <f>'9.Óvoda'!D60-'32._Óvoda_önként'!D60</f>
        <v>0</v>
      </c>
      <c r="E60" s="107">
        <f>'9.Óvoda'!E60-'32._Óvoda_önként'!E60</f>
        <v>6337</v>
      </c>
      <c r="F60" s="107">
        <f>'9.Óvoda'!F60-'32._Óvoda_önként'!F60</f>
        <v>6337</v>
      </c>
      <c r="G60" s="107">
        <f>'9.Óvoda'!G60-'32._Óvoda_önként'!G60</f>
        <v>6337</v>
      </c>
      <c r="H60" s="324">
        <f t="shared" si="9"/>
        <v>6337</v>
      </c>
      <c r="I60" s="503">
        <f>'9.Óvoda'!I60-'32._Óvoda_önként'!I60</f>
        <v>6337</v>
      </c>
      <c r="J60" s="324">
        <f>'9.Óvoda'!J60-'32._Óvoda_önként'!J60</f>
        <v>0</v>
      </c>
      <c r="K60" s="324">
        <f>'9.Óvoda'!K60-'32._Óvoda_önként'!K60</f>
        <v>0</v>
      </c>
      <c r="L60" s="324">
        <f>'9.Óvoda'!L60-'32._Óvoda_önként'!L60</f>
        <v>0</v>
      </c>
    </row>
    <row r="61" spans="1:12" ht="12.2" customHeight="1" thickBot="1" x14ac:dyDescent="0.25">
      <c r="A61" s="84" t="s">
        <v>307</v>
      </c>
      <c r="B61" s="85" t="s">
        <v>234</v>
      </c>
      <c r="C61" s="92">
        <f>'9.Óvoda'!C61-'32._Óvoda_önként'!C61</f>
        <v>0</v>
      </c>
      <c r="D61" s="190">
        <f>'9.Óvoda'!D61-'32._Óvoda_önként'!D61</f>
        <v>0</v>
      </c>
      <c r="E61" s="593">
        <f>'9.Óvoda'!E61-'32._Óvoda_önként'!E61</f>
        <v>0</v>
      </c>
      <c r="F61" s="593">
        <f>'9.Óvoda'!F61-'32._Óvoda_önként'!F61</f>
        <v>0</v>
      </c>
      <c r="G61" s="593">
        <f>'9.Óvoda'!G61-'32._Óvoda_önként'!G61</f>
        <v>0</v>
      </c>
      <c r="H61" s="61">
        <f t="shared" si="9"/>
        <v>0</v>
      </c>
      <c r="I61" s="178">
        <f>'9.Óvoda'!I61-'32._Óvoda_önként'!I61</f>
        <v>0</v>
      </c>
      <c r="J61" s="61">
        <f>'9.Óvoda'!J61-'32._Óvoda_önként'!J61</f>
        <v>0</v>
      </c>
      <c r="K61" s="61">
        <f>'9.Óvoda'!K61-'32._Óvoda_önként'!K61</f>
        <v>0</v>
      </c>
      <c r="L61" s="61" t="e">
        <f>'9.Óvoda'!L61-'32._Óvoda_önként'!L61</f>
        <v>#VALUE!</v>
      </c>
    </row>
    <row r="62" spans="1:12" ht="12.2" customHeight="1" thickBot="1" x14ac:dyDescent="0.25">
      <c r="A62" s="55" t="s">
        <v>13</v>
      </c>
      <c r="B62" s="56" t="s">
        <v>548</v>
      </c>
      <c r="C62" s="89">
        <f>SUM(C63:C67)</f>
        <v>300000</v>
      </c>
      <c r="D62" s="127">
        <f t="shared" ref="D62:L62" si="10">SUM(D63:D67)</f>
        <v>811381</v>
      </c>
      <c r="E62" s="582">
        <f t="shared" si="10"/>
        <v>805564</v>
      </c>
      <c r="F62" s="582">
        <f t="shared" si="10"/>
        <v>805564</v>
      </c>
      <c r="G62" s="582">
        <f t="shared" si="10"/>
        <v>0</v>
      </c>
      <c r="H62" s="48">
        <f t="shared" si="9"/>
        <v>-5817</v>
      </c>
      <c r="I62" s="175">
        <f t="shared" si="10"/>
        <v>206964</v>
      </c>
      <c r="J62" s="48">
        <f t="shared" si="10"/>
        <v>206964</v>
      </c>
      <c r="K62" s="48" t="e">
        <f t="shared" si="10"/>
        <v>#VALUE!</v>
      </c>
      <c r="L62" s="48" t="e">
        <f t="shared" si="10"/>
        <v>#VALUE!</v>
      </c>
    </row>
    <row r="63" spans="1:12" s="31" customFormat="1" ht="12.2" customHeight="1" x14ac:dyDescent="0.2">
      <c r="A63" s="1037" t="s">
        <v>94</v>
      </c>
      <c r="B63" s="17" t="s">
        <v>119</v>
      </c>
      <c r="C63" s="122">
        <f>'9.Óvoda'!C63-'32._Óvoda_önként'!C63</f>
        <v>300000</v>
      </c>
      <c r="D63" s="189">
        <f>'9.Óvoda'!D63-'32._Óvoda_önként'!D63</f>
        <v>811381</v>
      </c>
      <c r="E63" s="586">
        <f>'9.Óvoda'!E63-'32._Óvoda_önként'!E63</f>
        <v>805564</v>
      </c>
      <c r="F63" s="586">
        <f>'9.Óvoda'!F63-'32._Óvoda_önként'!F63</f>
        <v>805564</v>
      </c>
      <c r="G63" s="586">
        <f>'9.Óvoda'!G63-'32._Óvoda_önként'!G63</f>
        <v>0</v>
      </c>
      <c r="H63" s="33">
        <f t="shared" si="9"/>
        <v>-5817</v>
      </c>
      <c r="I63" s="177">
        <f>'9.Óvoda'!I63-'32._Óvoda_önként'!I63</f>
        <v>206964</v>
      </c>
      <c r="J63" s="33">
        <f>'9.Óvoda'!J63-'32._Óvoda_önként'!J63</f>
        <v>206964</v>
      </c>
      <c r="K63" s="33">
        <f>'9.Óvoda'!K63-'32._Óvoda_önként'!K63</f>
        <v>25.691813437541892</v>
      </c>
      <c r="L63" s="33">
        <f>'9.Óvoda'!L63-'32._Óvoda_önként'!L63</f>
        <v>25.691813437541892</v>
      </c>
    </row>
    <row r="64" spans="1:12" s="31" customFormat="1" ht="12.2" customHeight="1" x14ac:dyDescent="0.2">
      <c r="A64" s="1037" t="s">
        <v>316</v>
      </c>
      <c r="B64" s="522" t="s">
        <v>236</v>
      </c>
      <c r="C64" s="122">
        <f>'9.Óvoda'!C64-'32._Óvoda_önként'!C64</f>
        <v>0</v>
      </c>
      <c r="D64" s="189">
        <f>'9.Óvoda'!D64-'32._Óvoda_önként'!D64</f>
        <v>0</v>
      </c>
      <c r="E64" s="586">
        <f>'9.Óvoda'!E64-'32._Óvoda_önként'!E64</f>
        <v>0</v>
      </c>
      <c r="F64" s="586">
        <f>'9.Óvoda'!F64-'32._Óvoda_önként'!F64</f>
        <v>0</v>
      </c>
      <c r="G64" s="586">
        <f>'9.Óvoda'!G64-'32._Óvoda_önként'!G64</f>
        <v>0</v>
      </c>
      <c r="H64" s="33">
        <f t="shared" si="9"/>
        <v>0</v>
      </c>
      <c r="I64" s="177">
        <f>'9.Óvoda'!I64-'32._Óvoda_önként'!I64</f>
        <v>0</v>
      </c>
      <c r="J64" s="33">
        <f>'9.Óvoda'!J64-'32._Óvoda_önként'!J64</f>
        <v>0</v>
      </c>
      <c r="K64" s="33">
        <f>'9.Óvoda'!K64-'32._Óvoda_önként'!K64</f>
        <v>0</v>
      </c>
      <c r="L64" s="33" t="e">
        <f>'9.Óvoda'!L64-'32._Óvoda_önként'!L64</f>
        <v>#VALUE!</v>
      </c>
    </row>
    <row r="65" spans="1:12" ht="12.2" customHeight="1" x14ac:dyDescent="0.2">
      <c r="A65" s="1037" t="s">
        <v>95</v>
      </c>
      <c r="B65" s="330" t="s">
        <v>2</v>
      </c>
      <c r="C65" s="339">
        <f>'9.Óvoda'!C65-'32._Óvoda_önként'!C65</f>
        <v>0</v>
      </c>
      <c r="D65" s="323">
        <f>'9.Óvoda'!D65-'32._Óvoda_önként'!D65</f>
        <v>0</v>
      </c>
      <c r="E65" s="107">
        <f>'9.Óvoda'!E65-'32._Óvoda_önként'!E65</f>
        <v>0</v>
      </c>
      <c r="F65" s="107">
        <f>'9.Óvoda'!F65-'32._Óvoda_önként'!F65</f>
        <v>0</v>
      </c>
      <c r="G65" s="107">
        <f>'9.Óvoda'!G65-'32._Óvoda_önként'!G65</f>
        <v>0</v>
      </c>
      <c r="H65" s="324">
        <f t="shared" si="9"/>
        <v>0</v>
      </c>
      <c r="I65" s="503">
        <f>'9.Óvoda'!I65-'32._Óvoda_önként'!I65</f>
        <v>0</v>
      </c>
      <c r="J65" s="324">
        <f>'9.Óvoda'!J65-'32._Óvoda_önként'!J65</f>
        <v>0</v>
      </c>
      <c r="K65" s="324" t="e">
        <f>'9.Óvoda'!K65-'32._Óvoda_önként'!K65</f>
        <v>#VALUE!</v>
      </c>
      <c r="L65" s="324" t="e">
        <f>'9.Óvoda'!L65-'32._Óvoda_önként'!L65</f>
        <v>#VALUE!</v>
      </c>
    </row>
    <row r="66" spans="1:12" ht="12.2" customHeight="1" x14ac:dyDescent="0.2">
      <c r="A66" s="1037" t="s">
        <v>342</v>
      </c>
      <c r="B66" s="523" t="s">
        <v>237</v>
      </c>
      <c r="C66" s="339">
        <f>'9.Óvoda'!C66-'32._Óvoda_önként'!C66</f>
        <v>0</v>
      </c>
      <c r="D66" s="323">
        <f>'9.Óvoda'!D66-'32._Óvoda_önként'!D66</f>
        <v>0</v>
      </c>
      <c r="E66" s="107">
        <f>'9.Óvoda'!E66-'32._Óvoda_önként'!E66</f>
        <v>0</v>
      </c>
      <c r="F66" s="107">
        <f>'9.Óvoda'!F66-'32._Óvoda_önként'!F66</f>
        <v>0</v>
      </c>
      <c r="G66" s="107">
        <f>'9.Óvoda'!G66-'32._Óvoda_önként'!G66</f>
        <v>0</v>
      </c>
      <c r="H66" s="324">
        <f t="shared" si="9"/>
        <v>0</v>
      </c>
      <c r="I66" s="503">
        <f>'9.Óvoda'!I66-'32._Óvoda_önként'!I66</f>
        <v>0</v>
      </c>
      <c r="J66" s="324">
        <f>'9.Óvoda'!J66-'32._Óvoda_önként'!J66</f>
        <v>0</v>
      </c>
      <c r="K66" s="324">
        <f>'9.Óvoda'!K66-'32._Óvoda_önként'!K66</f>
        <v>0</v>
      </c>
      <c r="L66" s="324" t="e">
        <f>'9.Óvoda'!L66-'32._Óvoda_önként'!L66</f>
        <v>#VALUE!</v>
      </c>
    </row>
    <row r="67" spans="1:12" ht="12.2" customHeight="1" x14ac:dyDescent="0.2">
      <c r="A67" s="1037" t="s">
        <v>96</v>
      </c>
      <c r="B67" s="17" t="s">
        <v>175</v>
      </c>
      <c r="C67" s="339">
        <f>'9.Óvoda'!C67-'32._Óvoda_önként'!C67</f>
        <v>0</v>
      </c>
      <c r="D67" s="323">
        <f>'9.Óvoda'!D67-'32._Óvoda_önként'!D67</f>
        <v>0</v>
      </c>
      <c r="E67" s="107">
        <f>'9.Óvoda'!E67-'32._Óvoda_önként'!E67</f>
        <v>0</v>
      </c>
      <c r="F67" s="107">
        <f>'9.Óvoda'!F67-'32._Óvoda_önként'!F67</f>
        <v>0</v>
      </c>
      <c r="G67" s="107">
        <f>'9.Óvoda'!G67-'32._Óvoda_önként'!G67</f>
        <v>0</v>
      </c>
      <c r="H67" s="324">
        <f t="shared" si="9"/>
        <v>0</v>
      </c>
      <c r="I67" s="503">
        <f>'9.Óvoda'!I67-'32._Óvoda_önként'!I67</f>
        <v>0</v>
      </c>
      <c r="J67" s="324">
        <f>'9.Óvoda'!J67-'32._Óvoda_önként'!J67</f>
        <v>0</v>
      </c>
      <c r="K67" s="324">
        <f>'9.Óvoda'!K67-'32._Óvoda_önként'!K67</f>
        <v>0</v>
      </c>
      <c r="L67" s="324" t="e">
        <f>'9.Óvoda'!L67-'32._Óvoda_önként'!L67</f>
        <v>#VALUE!</v>
      </c>
    </row>
    <row r="68" spans="1:12" ht="12.2" customHeight="1" x14ac:dyDescent="0.2">
      <c r="A68" s="1037" t="s">
        <v>317</v>
      </c>
      <c r="B68" s="521" t="s">
        <v>239</v>
      </c>
      <c r="C68" s="339">
        <f>'9.Óvoda'!C68-'32._Óvoda_önként'!C68</f>
        <v>0</v>
      </c>
      <c r="D68" s="323">
        <f>'9.Óvoda'!D68-'32._Óvoda_önként'!D68</f>
        <v>0</v>
      </c>
      <c r="E68" s="107">
        <f>'9.Óvoda'!E68-'32._Óvoda_önként'!E68</f>
        <v>0</v>
      </c>
      <c r="F68" s="107">
        <f>'9.Óvoda'!F68-'32._Óvoda_önként'!F68</f>
        <v>0</v>
      </c>
      <c r="G68" s="107">
        <f>'9.Óvoda'!G68-'32._Óvoda_önként'!G68</f>
        <v>0</v>
      </c>
      <c r="H68" s="324">
        <f t="shared" si="9"/>
        <v>0</v>
      </c>
      <c r="I68" s="503">
        <f>'9.Óvoda'!I68-'32._Óvoda_önként'!I68</f>
        <v>0</v>
      </c>
      <c r="J68" s="324">
        <f>'9.Óvoda'!J68-'32._Óvoda_önként'!J68</f>
        <v>0</v>
      </c>
      <c r="K68" s="324">
        <f>'9.Óvoda'!K68-'32._Óvoda_önként'!K68</f>
        <v>0</v>
      </c>
      <c r="L68" s="324" t="e">
        <f>'9.Óvoda'!L68-'32._Óvoda_önként'!L68</f>
        <v>#VALUE!</v>
      </c>
    </row>
    <row r="69" spans="1:12" ht="12.2" customHeight="1" thickBot="1" x14ac:dyDescent="0.25">
      <c r="A69" s="84" t="s">
        <v>318</v>
      </c>
      <c r="B69" s="85" t="s">
        <v>238</v>
      </c>
      <c r="C69" s="92">
        <f>'9.Óvoda'!C69-'32._Óvoda_önként'!C69</f>
        <v>0</v>
      </c>
      <c r="D69" s="323">
        <f>'9.Óvoda'!D69-'32._Óvoda_önként'!D69</f>
        <v>0</v>
      </c>
      <c r="E69" s="107">
        <f>'9.Óvoda'!E69-'32._Óvoda_önként'!E69</f>
        <v>0</v>
      </c>
      <c r="F69" s="107">
        <f>'9.Óvoda'!F69-'32._Óvoda_önként'!F69</f>
        <v>0</v>
      </c>
      <c r="G69" s="107">
        <f>'9.Óvoda'!G69-'32._Óvoda_önként'!G69</f>
        <v>0</v>
      </c>
      <c r="H69" s="324">
        <f t="shared" si="9"/>
        <v>0</v>
      </c>
      <c r="I69" s="503">
        <f>'9.Óvoda'!I69-'32._Óvoda_önként'!I69</f>
        <v>0</v>
      </c>
      <c r="J69" s="324">
        <f>'9.Óvoda'!J69-'32._Óvoda_önként'!J69</f>
        <v>0</v>
      </c>
      <c r="K69" s="324">
        <f>'9.Óvoda'!K69-'32._Óvoda_önként'!K69</f>
        <v>0</v>
      </c>
      <c r="L69" s="324" t="e">
        <f>'9.Óvoda'!L69-'32._Óvoda_önként'!L69</f>
        <v>#VALUE!</v>
      </c>
    </row>
    <row r="70" spans="1:12" ht="15" customHeight="1" thickBot="1" x14ac:dyDescent="0.25">
      <c r="A70" s="55" t="s">
        <v>14</v>
      </c>
      <c r="B70" s="67" t="s">
        <v>176</v>
      </c>
      <c r="C70" s="135">
        <f>+C53+C62</f>
        <v>424917000</v>
      </c>
      <c r="D70" s="134">
        <f t="shared" ref="D70:L70" si="11">+D53+D62</f>
        <v>432682293</v>
      </c>
      <c r="E70" s="592">
        <f t="shared" si="11"/>
        <v>539495123</v>
      </c>
      <c r="F70" s="592">
        <f t="shared" si="11"/>
        <v>540638123</v>
      </c>
      <c r="G70" s="592">
        <f t="shared" si="11"/>
        <v>6337</v>
      </c>
      <c r="H70" s="68">
        <f t="shared" si="9"/>
        <v>106812830</v>
      </c>
      <c r="I70" s="176">
        <f t="shared" si="11"/>
        <v>213301</v>
      </c>
      <c r="J70" s="68">
        <f t="shared" si="11"/>
        <v>365203922</v>
      </c>
      <c r="K70" s="68" t="e">
        <f t="shared" si="11"/>
        <v>#VALUE!</v>
      </c>
      <c r="L70" s="68" t="e">
        <f t="shared" si="11"/>
        <v>#VALUE!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634" t="s">
        <v>292</v>
      </c>
      <c r="B72" s="636"/>
      <c r="C72" s="136">
        <f>'9.Óvoda'!C72-'32._Óvoda_önként'!C72</f>
        <v>82</v>
      </c>
      <c r="D72" s="635">
        <f>'9.Óvoda'!D72-'32._Óvoda_önként'!D72</f>
        <v>82</v>
      </c>
      <c r="E72" s="520">
        <f>'9.Óvoda'!E72-'32._Óvoda_önként'!E72</f>
        <v>79</v>
      </c>
      <c r="F72" s="520">
        <f>'9.Óvoda'!F72-'32._Óvoda_önként'!F72</f>
        <v>79</v>
      </c>
      <c r="G72" s="520">
        <f>'9.Óvoda'!G72-'32._Óvoda_önként'!G72</f>
        <v>0</v>
      </c>
      <c r="H72" s="174">
        <f t="shared" si="9"/>
        <v>-3</v>
      </c>
      <c r="I72" s="174">
        <f>'9.Óvoda'!I72-'32._Óvoda_önként'!I72</f>
        <v>0</v>
      </c>
      <c r="J72" s="174">
        <f>'9.Óvoda'!J72-'32._Óvoda_önként'!J72</f>
        <v>79</v>
      </c>
      <c r="K72" s="174">
        <f>'9.Óvoda'!K72-'32._Óvoda_önként'!K72</f>
        <v>0</v>
      </c>
      <c r="L72" s="174">
        <f>'9.Óvoda'!L72-'32._Óvoda_önként'!L72</f>
        <v>100</v>
      </c>
    </row>
    <row r="73" spans="1:12" ht="14.25" hidden="1" customHeight="1" thickBot="1" x14ac:dyDescent="0.25">
      <c r="A73" s="69" t="s">
        <v>291</v>
      </c>
      <c r="B73" s="70"/>
      <c r="C73" s="609">
        <f>'9.Óvoda'!C73-'32._Óvoda_önként'!C73</f>
        <v>0</v>
      </c>
      <c r="D73" s="639">
        <f>'9.Óvoda'!D73-'32._Óvoda_önként'!D73</f>
        <v>0</v>
      </c>
      <c r="E73" s="607">
        <f>'9.Óvoda'!E73-'32._Óvoda_önként'!E73</f>
        <v>0</v>
      </c>
      <c r="F73" s="607">
        <f>'9.Óvoda'!F73-'32._Óvoda_önként'!F73</f>
        <v>0</v>
      </c>
      <c r="G73" s="607">
        <f>'9.Óvoda'!G73-'32._Óvoda_önként'!G73</f>
        <v>0</v>
      </c>
      <c r="H73" s="609">
        <f>'9.Óvoda'!H73-'32._Óvoda_önként'!H73</f>
        <v>0</v>
      </c>
      <c r="I73" s="609">
        <f>'9.Óvoda'!I73-'32._Óvoda_önként'!I73</f>
        <v>0</v>
      </c>
      <c r="J73" s="609">
        <f>'9.Óvoda'!J73-'32._Óvoda_önként'!J73</f>
        <v>0</v>
      </c>
      <c r="K73" s="609">
        <f>'9.Óvoda'!K73-'32._Óvoda_önként'!K73</f>
        <v>0</v>
      </c>
      <c r="L73" s="609" t="e">
        <f>'9.Óvoda'!L73-'32._Óvoda_önként'!L73</f>
        <v>#DIV/0!</v>
      </c>
    </row>
    <row r="74" spans="1:12" x14ac:dyDescent="0.2">
      <c r="D74" s="163"/>
      <c r="E74" s="163"/>
      <c r="F74" s="163"/>
      <c r="G74" s="163"/>
      <c r="H74" s="163"/>
      <c r="I74" s="163"/>
      <c r="J74" s="163"/>
      <c r="K74" s="163"/>
      <c r="L74" s="163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4"/>
  <sheetViews>
    <sheetView view="pageBreakPreview" zoomScale="120" zoomScaleNormal="100" zoomScaleSheetLayoutView="120" workbookViewId="0">
      <selection activeCell="A2" sqref="A2:H2"/>
    </sheetView>
  </sheetViews>
  <sheetFormatPr defaultRowHeight="12.75" x14ac:dyDescent="0.2"/>
  <cols>
    <col min="1" max="1" width="12" style="988" customWidth="1"/>
    <col min="2" max="2" width="67" style="25" customWidth="1"/>
    <col min="3" max="3" width="15.5" style="25" customWidth="1"/>
    <col min="4" max="5" width="17" style="25" customWidth="1"/>
    <col min="6" max="7" width="17" style="25" hidden="1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535" customFormat="1" ht="12.75" customHeight="1" x14ac:dyDescent="0.2">
      <c r="A1" s="1774" t="s">
        <v>809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730</v>
      </c>
      <c r="B2" s="1774"/>
      <c r="C2" s="1774"/>
      <c r="D2" s="1774"/>
      <c r="E2" s="1774"/>
      <c r="F2" s="1774"/>
      <c r="G2" s="1774"/>
      <c r="H2" s="1774"/>
    </row>
    <row r="3" spans="1:12" s="24" customFormat="1" ht="21.2" customHeight="1" thickBot="1" x14ac:dyDescent="0.25">
      <c r="A3" s="170"/>
      <c r="C3" s="982"/>
      <c r="D3" s="982"/>
      <c r="E3" s="982"/>
      <c r="F3" s="982"/>
      <c r="G3" s="982"/>
      <c r="H3" s="982"/>
      <c r="I3" s="982"/>
      <c r="J3" s="982"/>
      <c r="K3" s="982"/>
      <c r="L3" s="982"/>
    </row>
    <row r="4" spans="1:12" s="38" customFormat="1" ht="38.25" customHeight="1" x14ac:dyDescent="0.2">
      <c r="A4" s="36" t="s">
        <v>137</v>
      </c>
      <c r="B4" s="37" t="s">
        <v>289</v>
      </c>
      <c r="C4" s="1806" t="s">
        <v>183</v>
      </c>
      <c r="D4" s="1807"/>
      <c r="E4" s="1807"/>
      <c r="F4" s="1807"/>
      <c r="G4" s="1807"/>
      <c r="H4" s="1808" t="s">
        <v>183</v>
      </c>
    </row>
    <row r="5" spans="1:12" s="38" customFormat="1" ht="36.75" thickBot="1" x14ac:dyDescent="0.25">
      <c r="A5" s="39" t="s">
        <v>139</v>
      </c>
      <c r="B5" s="40" t="s">
        <v>403</v>
      </c>
      <c r="C5" s="1809" t="s">
        <v>141</v>
      </c>
      <c r="D5" s="1810"/>
      <c r="E5" s="1810"/>
      <c r="F5" s="1810"/>
      <c r="G5" s="1810"/>
      <c r="H5" s="1811" t="s">
        <v>141</v>
      </c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2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91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82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0</v>
      </c>
      <c r="D10" s="127">
        <f t="shared" ref="D10:L10" si="0">SUM(D11:D21)</f>
        <v>0</v>
      </c>
      <c r="E10" s="582">
        <f t="shared" si="0"/>
        <v>0</v>
      </c>
      <c r="F10" s="582">
        <f t="shared" si="0"/>
        <v>0</v>
      </c>
      <c r="G10" s="582">
        <f t="shared" si="0"/>
        <v>0</v>
      </c>
      <c r="H10" s="595">
        <f>+E10-D10</f>
        <v>0</v>
      </c>
      <c r="I10" s="1085">
        <f t="shared" si="0"/>
        <v>0</v>
      </c>
      <c r="J10" s="595">
        <f t="shared" si="0"/>
        <v>0</v>
      </c>
      <c r="K10" s="595">
        <f t="shared" si="0"/>
        <v>0</v>
      </c>
      <c r="L10" s="595">
        <f t="shared" si="0"/>
        <v>0</v>
      </c>
    </row>
    <row r="11" spans="1:12" s="26" customFormat="1" ht="12.2" customHeight="1" x14ac:dyDescent="0.2">
      <c r="A11" s="49" t="s">
        <v>91</v>
      </c>
      <c r="B11" s="50" t="s">
        <v>143</v>
      </c>
      <c r="C11" s="128"/>
      <c r="D11" s="192"/>
      <c r="E11" s="583"/>
      <c r="F11" s="583"/>
      <c r="G11" s="583"/>
      <c r="H11" s="540">
        <f t="shared" ref="H11:H48" si="1">+E11-D11</f>
        <v>0</v>
      </c>
      <c r="I11" s="1086"/>
      <c r="J11" s="540"/>
      <c r="K11" s="540"/>
      <c r="L11" s="540"/>
    </row>
    <row r="12" spans="1:12" s="26" customFormat="1" ht="12.2" customHeight="1" x14ac:dyDescent="0.2">
      <c r="A12" s="1037" t="s">
        <v>92</v>
      </c>
      <c r="B12" s="330" t="s">
        <v>144</v>
      </c>
      <c r="C12" s="331"/>
      <c r="D12" s="340"/>
      <c r="E12" s="88"/>
      <c r="F12" s="88"/>
      <c r="G12" s="88"/>
      <c r="H12" s="541">
        <f t="shared" si="1"/>
        <v>0</v>
      </c>
      <c r="I12" s="1087"/>
      <c r="J12" s="541"/>
      <c r="K12" s="541"/>
      <c r="L12" s="541"/>
    </row>
    <row r="13" spans="1:12" s="26" customFormat="1" ht="12.2" customHeight="1" x14ac:dyDescent="0.2">
      <c r="A13" s="1037" t="s">
        <v>93</v>
      </c>
      <c r="B13" s="330" t="s">
        <v>145</v>
      </c>
      <c r="C13" s="331"/>
      <c r="D13" s="340"/>
      <c r="E13" s="88"/>
      <c r="F13" s="88"/>
      <c r="G13" s="88"/>
      <c r="H13" s="541">
        <f t="shared" si="1"/>
        <v>0</v>
      </c>
      <c r="I13" s="1087"/>
      <c r="J13" s="541"/>
      <c r="K13" s="541"/>
      <c r="L13" s="541"/>
    </row>
    <row r="14" spans="1:12" s="26" customFormat="1" ht="12.2" customHeight="1" x14ac:dyDescent="0.2">
      <c r="A14" s="1037" t="s">
        <v>90</v>
      </c>
      <c r="B14" s="330" t="s">
        <v>146</v>
      </c>
      <c r="C14" s="331"/>
      <c r="D14" s="340"/>
      <c r="E14" s="88"/>
      <c r="F14" s="88"/>
      <c r="G14" s="88"/>
      <c r="H14" s="541">
        <f t="shared" si="1"/>
        <v>0</v>
      </c>
      <c r="I14" s="1087"/>
      <c r="J14" s="541"/>
      <c r="K14" s="541"/>
      <c r="L14" s="541"/>
    </row>
    <row r="15" spans="1:12" s="26" customFormat="1" ht="12.2" customHeight="1" x14ac:dyDescent="0.2">
      <c r="A15" s="1037" t="s">
        <v>147</v>
      </c>
      <c r="B15" s="330" t="s">
        <v>148</v>
      </c>
      <c r="C15" s="331"/>
      <c r="D15" s="340"/>
      <c r="E15" s="88"/>
      <c r="F15" s="88"/>
      <c r="G15" s="88"/>
      <c r="H15" s="541">
        <f t="shared" si="1"/>
        <v>0</v>
      </c>
      <c r="I15" s="1087"/>
      <c r="J15" s="541"/>
      <c r="K15" s="541"/>
      <c r="L15" s="541"/>
    </row>
    <row r="16" spans="1:12" s="26" customFormat="1" ht="12.2" customHeight="1" x14ac:dyDescent="0.2">
      <c r="A16" s="1037" t="s">
        <v>149</v>
      </c>
      <c r="B16" s="330" t="s">
        <v>150</v>
      </c>
      <c r="C16" s="331"/>
      <c r="D16" s="340"/>
      <c r="E16" s="88"/>
      <c r="F16" s="88"/>
      <c r="G16" s="88"/>
      <c r="H16" s="541">
        <f t="shared" si="1"/>
        <v>0</v>
      </c>
      <c r="I16" s="1087"/>
      <c r="J16" s="541"/>
      <c r="K16" s="541"/>
      <c r="L16" s="541"/>
    </row>
    <row r="17" spans="1:12" s="26" customFormat="1" ht="12.2" customHeight="1" x14ac:dyDescent="0.2">
      <c r="A17" s="1037" t="s">
        <v>151</v>
      </c>
      <c r="B17" s="52" t="s">
        <v>152</v>
      </c>
      <c r="C17" s="331"/>
      <c r="D17" s="340"/>
      <c r="E17" s="88"/>
      <c r="F17" s="88"/>
      <c r="G17" s="88"/>
      <c r="H17" s="541">
        <f t="shared" si="1"/>
        <v>0</v>
      </c>
      <c r="I17" s="1087"/>
      <c r="J17" s="541"/>
      <c r="K17" s="541"/>
      <c r="L17" s="541"/>
    </row>
    <row r="18" spans="1:12" s="26" customFormat="1" ht="12.2" customHeight="1" x14ac:dyDescent="0.2">
      <c r="A18" s="1037" t="s">
        <v>153</v>
      </c>
      <c r="B18" s="345" t="s">
        <v>302</v>
      </c>
      <c r="C18" s="121"/>
      <c r="D18" s="188"/>
      <c r="E18" s="90"/>
      <c r="F18" s="90"/>
      <c r="G18" s="90"/>
      <c r="H18" s="542">
        <f t="shared" si="1"/>
        <v>0</v>
      </c>
      <c r="I18" s="1088"/>
      <c r="J18" s="542"/>
      <c r="K18" s="542"/>
      <c r="L18" s="542"/>
    </row>
    <row r="19" spans="1:12" s="54" customFormat="1" ht="12.2" customHeight="1" x14ac:dyDescent="0.2">
      <c r="A19" s="1037" t="s">
        <v>154</v>
      </c>
      <c r="B19" s="330" t="s">
        <v>155</v>
      </c>
      <c r="C19" s="331"/>
      <c r="D19" s="340"/>
      <c r="E19" s="88"/>
      <c r="F19" s="88"/>
      <c r="G19" s="88"/>
      <c r="H19" s="541">
        <f t="shared" si="1"/>
        <v>0</v>
      </c>
      <c r="I19" s="1087"/>
      <c r="J19" s="541"/>
      <c r="K19" s="541"/>
      <c r="L19" s="541"/>
    </row>
    <row r="20" spans="1:12" s="54" customFormat="1" ht="12.2" customHeight="1" x14ac:dyDescent="0.2">
      <c r="A20" s="1037" t="s">
        <v>156</v>
      </c>
      <c r="B20" s="345" t="s">
        <v>275</v>
      </c>
      <c r="C20" s="333"/>
      <c r="D20" s="341"/>
      <c r="E20" s="88"/>
      <c r="F20" s="88"/>
      <c r="G20" s="331"/>
      <c r="H20" s="543">
        <f t="shared" si="1"/>
        <v>0</v>
      </c>
      <c r="I20" s="1089"/>
      <c r="J20" s="543"/>
      <c r="K20" s="543"/>
      <c r="L20" s="543"/>
    </row>
    <row r="21" spans="1:12" s="54" customFormat="1" ht="12.2" customHeight="1" thickBot="1" x14ac:dyDescent="0.25">
      <c r="A21" s="1037" t="s">
        <v>276</v>
      </c>
      <c r="B21" s="52" t="s">
        <v>157</v>
      </c>
      <c r="C21" s="333"/>
      <c r="D21" s="341"/>
      <c r="E21" s="90"/>
      <c r="F21" s="90"/>
      <c r="G21" s="90"/>
      <c r="H21" s="544">
        <f t="shared" si="1"/>
        <v>0</v>
      </c>
      <c r="I21" s="1090"/>
      <c r="J21" s="544"/>
      <c r="K21" s="544"/>
      <c r="L21" s="544"/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SUM(C23:C25)</f>
        <v>0</v>
      </c>
      <c r="D22" s="127">
        <f t="shared" ref="D22:L22" si="2">SUM(D23:D25)</f>
        <v>0</v>
      </c>
      <c r="E22" s="582">
        <f t="shared" si="2"/>
        <v>0</v>
      </c>
      <c r="F22" s="582">
        <f t="shared" si="2"/>
        <v>0</v>
      </c>
      <c r="G22" s="582">
        <f t="shared" si="2"/>
        <v>0</v>
      </c>
      <c r="H22" s="48">
        <f t="shared" si="1"/>
        <v>0</v>
      </c>
      <c r="I22" s="175">
        <f t="shared" si="2"/>
        <v>0</v>
      </c>
      <c r="J22" s="48">
        <f t="shared" si="2"/>
        <v>0</v>
      </c>
      <c r="K22" s="48">
        <f t="shared" si="2"/>
        <v>0</v>
      </c>
      <c r="L22" s="48">
        <f t="shared" si="2"/>
        <v>0</v>
      </c>
    </row>
    <row r="23" spans="1:12" s="54" customFormat="1" ht="12.2" customHeight="1" x14ac:dyDescent="0.2">
      <c r="A23" s="1037" t="s">
        <v>94</v>
      </c>
      <c r="B23" s="17" t="s">
        <v>159</v>
      </c>
      <c r="C23" s="331"/>
      <c r="D23" s="340"/>
      <c r="E23" s="584"/>
      <c r="F23" s="584"/>
      <c r="G23" s="584"/>
      <c r="H23" s="75">
        <f t="shared" si="1"/>
        <v>0</v>
      </c>
      <c r="I23" s="637"/>
      <c r="J23" s="75"/>
      <c r="K23" s="75"/>
      <c r="L23" s="75"/>
    </row>
    <row r="24" spans="1:12" s="54" customFormat="1" ht="12.2" customHeight="1" x14ac:dyDescent="0.2">
      <c r="A24" s="1037" t="s">
        <v>95</v>
      </c>
      <c r="B24" s="330" t="s">
        <v>160</v>
      </c>
      <c r="C24" s="331"/>
      <c r="D24" s="340"/>
      <c r="E24" s="88"/>
      <c r="F24" s="88"/>
      <c r="G24" s="88"/>
      <c r="H24" s="541">
        <f t="shared" si="1"/>
        <v>0</v>
      </c>
      <c r="I24" s="1087"/>
      <c r="J24" s="541"/>
      <c r="K24" s="541"/>
      <c r="L24" s="541"/>
    </row>
    <row r="25" spans="1:12" s="54" customFormat="1" ht="12.2" customHeight="1" x14ac:dyDescent="0.2">
      <c r="A25" s="1037" t="s">
        <v>96</v>
      </c>
      <c r="B25" s="330" t="s">
        <v>161</v>
      </c>
      <c r="C25" s="331"/>
      <c r="D25" s="340"/>
      <c r="E25" s="88"/>
      <c r="F25" s="88"/>
      <c r="G25" s="88"/>
      <c r="H25" s="541">
        <f t="shared" si="1"/>
        <v>0</v>
      </c>
      <c r="I25" s="1087"/>
      <c r="J25" s="541"/>
      <c r="K25" s="541"/>
      <c r="L25" s="541"/>
    </row>
    <row r="26" spans="1:12" s="54" customFormat="1" ht="12.2" customHeight="1" thickBot="1" x14ac:dyDescent="0.25">
      <c r="A26" s="1037" t="s">
        <v>317</v>
      </c>
      <c r="B26" s="335" t="s">
        <v>233</v>
      </c>
      <c r="C26" s="331"/>
      <c r="D26" s="340"/>
      <c r="E26" s="88"/>
      <c r="F26" s="88"/>
      <c r="G26" s="88"/>
      <c r="H26" s="545">
        <f t="shared" si="1"/>
        <v>0</v>
      </c>
      <c r="I26" s="1091"/>
      <c r="J26" s="545"/>
      <c r="K26" s="545"/>
      <c r="L26" s="545"/>
    </row>
    <row r="27" spans="1:12" s="54" customFormat="1" ht="12.2" customHeight="1" thickBot="1" x14ac:dyDescent="0.25">
      <c r="A27" s="55" t="s">
        <v>14</v>
      </c>
      <c r="B27" s="56" t="s">
        <v>83</v>
      </c>
      <c r="C27" s="130"/>
      <c r="D27" s="129"/>
      <c r="E27" s="585"/>
      <c r="F27" s="585"/>
      <c r="G27" s="585"/>
      <c r="H27" s="74">
        <f t="shared" si="1"/>
        <v>0</v>
      </c>
      <c r="I27" s="638"/>
      <c r="J27" s="74"/>
      <c r="K27" s="74"/>
      <c r="L27" s="74"/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+C29+C30</f>
        <v>0</v>
      </c>
      <c r="D28" s="127">
        <f t="shared" ref="D28:L28" si="3">+D29+D30</f>
        <v>0</v>
      </c>
      <c r="E28" s="582">
        <f t="shared" si="3"/>
        <v>0</v>
      </c>
      <c r="F28" s="582">
        <f t="shared" si="3"/>
        <v>0</v>
      </c>
      <c r="G28" s="582">
        <f t="shared" si="3"/>
        <v>0</v>
      </c>
      <c r="H28" s="74">
        <f t="shared" si="1"/>
        <v>0</v>
      </c>
      <c r="I28" s="638">
        <f t="shared" si="3"/>
        <v>0</v>
      </c>
      <c r="J28" s="74">
        <f t="shared" si="3"/>
        <v>0</v>
      </c>
      <c r="K28" s="74">
        <f t="shared" si="3"/>
        <v>0</v>
      </c>
      <c r="L28" s="74">
        <f t="shared" si="3"/>
        <v>0</v>
      </c>
    </row>
    <row r="29" spans="1:12" s="54" customFormat="1" ht="12.2" customHeight="1" x14ac:dyDescent="0.2">
      <c r="A29" s="58" t="s">
        <v>100</v>
      </c>
      <c r="B29" s="59" t="s">
        <v>160</v>
      </c>
      <c r="C29" s="122"/>
      <c r="D29" s="189"/>
      <c r="E29" s="586"/>
      <c r="F29" s="586"/>
      <c r="G29" s="586"/>
      <c r="H29" s="546">
        <f t="shared" si="1"/>
        <v>0</v>
      </c>
      <c r="I29" s="1092"/>
      <c r="J29" s="546"/>
      <c r="K29" s="546"/>
      <c r="L29" s="546"/>
    </row>
    <row r="30" spans="1:12" s="54" customFormat="1" ht="12.2" customHeight="1" x14ac:dyDescent="0.2">
      <c r="A30" s="58" t="s">
        <v>101</v>
      </c>
      <c r="B30" s="336" t="s">
        <v>163</v>
      </c>
      <c r="C30" s="120"/>
      <c r="D30" s="193"/>
      <c r="E30" s="107"/>
      <c r="F30" s="107"/>
      <c r="G30" s="339"/>
      <c r="H30" s="534">
        <f t="shared" si="1"/>
        <v>0</v>
      </c>
      <c r="I30" s="630"/>
      <c r="J30" s="534"/>
      <c r="K30" s="534"/>
      <c r="L30" s="534"/>
    </row>
    <row r="31" spans="1:12" s="54" customFormat="1" ht="12.2" customHeight="1" thickBot="1" x14ac:dyDescent="0.25">
      <c r="A31" s="1037" t="s">
        <v>281</v>
      </c>
      <c r="B31" s="102" t="s">
        <v>165</v>
      </c>
      <c r="C31" s="92"/>
      <c r="D31" s="190"/>
      <c r="E31" s="587"/>
      <c r="F31" s="587"/>
      <c r="G31" s="587"/>
      <c r="H31" s="547">
        <f t="shared" si="1"/>
        <v>0</v>
      </c>
      <c r="I31" s="1093"/>
      <c r="J31" s="547"/>
      <c r="K31" s="547"/>
      <c r="L31" s="547"/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+C33+C34+C35</f>
        <v>0</v>
      </c>
      <c r="D32" s="127">
        <f t="shared" ref="D32:L32" si="4">+D33+D34+D35</f>
        <v>0</v>
      </c>
      <c r="E32" s="582">
        <f t="shared" si="4"/>
        <v>0</v>
      </c>
      <c r="F32" s="582">
        <f t="shared" si="4"/>
        <v>0</v>
      </c>
      <c r="G32" s="582">
        <f t="shared" si="4"/>
        <v>0</v>
      </c>
      <c r="H32" s="74">
        <f t="shared" si="1"/>
        <v>0</v>
      </c>
      <c r="I32" s="638">
        <f t="shared" si="4"/>
        <v>0</v>
      </c>
      <c r="J32" s="74">
        <f t="shared" si="4"/>
        <v>0</v>
      </c>
      <c r="K32" s="74">
        <f t="shared" si="4"/>
        <v>0</v>
      </c>
      <c r="L32" s="74">
        <f t="shared" si="4"/>
        <v>0</v>
      </c>
    </row>
    <row r="33" spans="1:12" s="54" customFormat="1" ht="12.2" customHeight="1" x14ac:dyDescent="0.2">
      <c r="A33" s="58" t="s">
        <v>89</v>
      </c>
      <c r="B33" s="59" t="s">
        <v>167</v>
      </c>
      <c r="C33" s="122"/>
      <c r="D33" s="189"/>
      <c r="E33" s="586"/>
      <c r="F33" s="586"/>
      <c r="G33" s="586"/>
      <c r="H33" s="546">
        <f t="shared" si="1"/>
        <v>0</v>
      </c>
      <c r="I33" s="1092"/>
      <c r="J33" s="546"/>
      <c r="K33" s="546"/>
      <c r="L33" s="546"/>
    </row>
    <row r="34" spans="1:12" s="54" customFormat="1" ht="12.2" customHeight="1" x14ac:dyDescent="0.2">
      <c r="A34" s="58" t="s">
        <v>102</v>
      </c>
      <c r="B34" s="336" t="s">
        <v>168</v>
      </c>
      <c r="C34" s="120"/>
      <c r="D34" s="193"/>
      <c r="E34" s="107"/>
      <c r="F34" s="107"/>
      <c r="G34" s="339"/>
      <c r="H34" s="534">
        <f t="shared" si="1"/>
        <v>0</v>
      </c>
      <c r="I34" s="630"/>
      <c r="J34" s="534"/>
      <c r="K34" s="534"/>
      <c r="L34" s="534"/>
    </row>
    <row r="35" spans="1:12" s="54" customFormat="1" ht="12.2" customHeight="1" thickBot="1" x14ac:dyDescent="0.25">
      <c r="A35" s="1037" t="s">
        <v>103</v>
      </c>
      <c r="B35" s="62" t="s">
        <v>169</v>
      </c>
      <c r="C35" s="92"/>
      <c r="D35" s="190"/>
      <c r="E35" s="587"/>
      <c r="F35" s="587"/>
      <c r="G35" s="587"/>
      <c r="H35" s="548">
        <f t="shared" si="1"/>
        <v>0</v>
      </c>
      <c r="I35" s="1094"/>
      <c r="J35" s="548"/>
      <c r="K35" s="548"/>
      <c r="L35" s="548"/>
    </row>
    <row r="36" spans="1:12" s="26" customFormat="1" ht="12.2" customHeight="1" thickBot="1" x14ac:dyDescent="0.25">
      <c r="A36" s="55" t="s">
        <v>17</v>
      </c>
      <c r="B36" s="56" t="s">
        <v>170</v>
      </c>
      <c r="C36" s="130"/>
      <c r="D36" s="129"/>
      <c r="E36" s="585"/>
      <c r="F36" s="585"/>
      <c r="G36" s="585"/>
      <c r="H36" s="74">
        <f t="shared" si="1"/>
        <v>0</v>
      </c>
      <c r="I36" s="638"/>
      <c r="J36" s="74"/>
      <c r="K36" s="74"/>
      <c r="L36" s="74"/>
    </row>
    <row r="37" spans="1:12" s="26" customFormat="1" ht="12.2" customHeight="1" thickBot="1" x14ac:dyDescent="0.25">
      <c r="A37" s="1038" t="s">
        <v>104</v>
      </c>
      <c r="B37" s="337" t="s">
        <v>165</v>
      </c>
      <c r="C37" s="130"/>
      <c r="D37" s="129"/>
      <c r="E37" s="588"/>
      <c r="F37" s="588"/>
      <c r="G37" s="588"/>
      <c r="H37" s="549">
        <f t="shared" si="1"/>
        <v>0</v>
      </c>
      <c r="I37" s="1095"/>
      <c r="J37" s="549"/>
      <c r="K37" s="549"/>
      <c r="L37" s="549"/>
    </row>
    <row r="38" spans="1:12" s="26" customFormat="1" ht="12.2" customHeight="1" thickBot="1" x14ac:dyDescent="0.25">
      <c r="A38" s="55" t="s">
        <v>18</v>
      </c>
      <c r="B38" s="56" t="s">
        <v>555</v>
      </c>
      <c r="C38" s="130"/>
      <c r="D38" s="129"/>
      <c r="E38" s="585"/>
      <c r="F38" s="585"/>
      <c r="G38" s="585"/>
      <c r="H38" s="74">
        <f t="shared" si="1"/>
        <v>0</v>
      </c>
      <c r="I38" s="638"/>
      <c r="J38" s="74"/>
      <c r="K38" s="74"/>
      <c r="L38" s="74"/>
    </row>
    <row r="39" spans="1:12" s="26" customFormat="1" ht="12.2" customHeight="1" x14ac:dyDescent="0.2">
      <c r="A39" s="12" t="s">
        <v>107</v>
      </c>
      <c r="B39" s="95" t="s">
        <v>212</v>
      </c>
      <c r="C39" s="131"/>
      <c r="D39" s="194"/>
      <c r="E39" s="589"/>
      <c r="F39" s="589"/>
      <c r="G39" s="589"/>
      <c r="H39" s="550">
        <f t="shared" si="1"/>
        <v>0</v>
      </c>
      <c r="I39" s="1096"/>
      <c r="J39" s="550"/>
      <c r="K39" s="550"/>
      <c r="L39" s="550"/>
    </row>
    <row r="40" spans="1:12" s="26" customFormat="1" ht="12.2" customHeight="1" x14ac:dyDescent="0.2">
      <c r="A40" s="1003" t="s">
        <v>108</v>
      </c>
      <c r="B40" s="346" t="s">
        <v>213</v>
      </c>
      <c r="C40" s="338"/>
      <c r="D40" s="342"/>
      <c r="E40" s="590"/>
      <c r="F40" s="590"/>
      <c r="G40" s="590"/>
      <c r="H40" s="551">
        <f t="shared" si="1"/>
        <v>0</v>
      </c>
      <c r="I40" s="1097"/>
      <c r="J40" s="551"/>
      <c r="K40" s="551"/>
      <c r="L40" s="551"/>
    </row>
    <row r="41" spans="1:12" s="26" customFormat="1" ht="12.2" customHeight="1" thickBot="1" x14ac:dyDescent="0.25">
      <c r="A41" s="1003" t="s">
        <v>323</v>
      </c>
      <c r="B41" s="103" t="s">
        <v>165</v>
      </c>
      <c r="C41" s="133"/>
      <c r="D41" s="132"/>
      <c r="E41" s="591"/>
      <c r="F41" s="591"/>
      <c r="G41" s="591"/>
      <c r="H41" s="552">
        <f t="shared" si="1"/>
        <v>0</v>
      </c>
      <c r="I41" s="1098"/>
      <c r="J41" s="552"/>
      <c r="K41" s="552"/>
      <c r="L41" s="552"/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0</v>
      </c>
      <c r="D42" s="127">
        <f t="shared" ref="D42:L42" si="5">+D10+D22+D27+D28+D32+D36+D38</f>
        <v>0</v>
      </c>
      <c r="E42" s="582">
        <f t="shared" si="5"/>
        <v>0</v>
      </c>
      <c r="F42" s="582">
        <f t="shared" si="5"/>
        <v>0</v>
      </c>
      <c r="G42" s="582">
        <f t="shared" si="5"/>
        <v>0</v>
      </c>
      <c r="H42" s="74">
        <f t="shared" si="1"/>
        <v>0</v>
      </c>
      <c r="I42" s="638">
        <f t="shared" si="5"/>
        <v>0</v>
      </c>
      <c r="J42" s="74">
        <f t="shared" si="5"/>
        <v>0</v>
      </c>
      <c r="K42" s="74">
        <f t="shared" si="5"/>
        <v>0</v>
      </c>
      <c r="L42" s="74">
        <f t="shared" si="5"/>
        <v>0</v>
      </c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SUM(C44:C47)</f>
        <v>1143000</v>
      </c>
      <c r="D43" s="127">
        <f t="shared" ref="D43:L43" si="6">SUM(D44:D47)</f>
        <v>1143000</v>
      </c>
      <c r="E43" s="582">
        <f t="shared" si="6"/>
        <v>1143000</v>
      </c>
      <c r="F43" s="582">
        <f t="shared" si="6"/>
        <v>0</v>
      </c>
      <c r="G43" s="582">
        <f t="shared" si="6"/>
        <v>0</v>
      </c>
      <c r="H43" s="74">
        <f t="shared" si="1"/>
        <v>0</v>
      </c>
      <c r="I43" s="638">
        <f t="shared" si="6"/>
        <v>0</v>
      </c>
      <c r="J43" s="74">
        <f t="shared" si="6"/>
        <v>0</v>
      </c>
      <c r="K43" s="74">
        <f t="shared" si="6"/>
        <v>0</v>
      </c>
      <c r="L43" s="74">
        <f t="shared" si="6"/>
        <v>0</v>
      </c>
    </row>
    <row r="44" spans="1:12" s="26" customFormat="1" ht="12.2" customHeight="1" x14ac:dyDescent="0.2">
      <c r="A44" s="58" t="s">
        <v>171</v>
      </c>
      <c r="B44" s="59" t="s">
        <v>131</v>
      </c>
      <c r="C44" s="122"/>
      <c r="D44" s="189"/>
      <c r="E44" s="586"/>
      <c r="F44" s="586"/>
      <c r="G44" s="586"/>
      <c r="H44" s="546">
        <f t="shared" si="1"/>
        <v>0</v>
      </c>
      <c r="I44" s="1092"/>
      <c r="J44" s="546"/>
      <c r="K44" s="546"/>
      <c r="L44" s="546"/>
    </row>
    <row r="45" spans="1:12" s="26" customFormat="1" ht="12.2" customHeight="1" x14ac:dyDescent="0.2">
      <c r="A45" s="71" t="s">
        <v>172</v>
      </c>
      <c r="B45" s="59" t="s">
        <v>186</v>
      </c>
      <c r="C45" s="120"/>
      <c r="D45" s="193"/>
      <c r="E45" s="91"/>
      <c r="F45" s="91"/>
      <c r="G45" s="91"/>
      <c r="H45" s="553">
        <f t="shared" si="1"/>
        <v>0</v>
      </c>
      <c r="I45" s="1099"/>
      <c r="J45" s="553"/>
      <c r="K45" s="553"/>
      <c r="L45" s="553"/>
    </row>
    <row r="46" spans="1:12" s="26" customFormat="1" ht="12.2" customHeight="1" x14ac:dyDescent="0.2">
      <c r="A46" s="1037" t="s">
        <v>173</v>
      </c>
      <c r="B46" s="336" t="s">
        <v>177</v>
      </c>
      <c r="C46" s="339">
        <f>C70-C42-C44-C63-C65-C68+C38+C32+C28</f>
        <v>1143000</v>
      </c>
      <c r="D46" s="323">
        <f t="shared" ref="D46:L46" si="7">D70-D42-D63-D65-D68</f>
        <v>1143000</v>
      </c>
      <c r="E46" s="107">
        <f t="shared" si="7"/>
        <v>1143000</v>
      </c>
      <c r="F46" s="107">
        <f t="shared" si="7"/>
        <v>0</v>
      </c>
      <c r="G46" s="107">
        <f t="shared" si="7"/>
        <v>0</v>
      </c>
      <c r="H46" s="534">
        <f t="shared" si="1"/>
        <v>0</v>
      </c>
      <c r="I46" s="630">
        <f t="shared" si="7"/>
        <v>0</v>
      </c>
      <c r="J46" s="534">
        <f t="shared" si="7"/>
        <v>0</v>
      </c>
      <c r="K46" s="534">
        <f t="shared" si="7"/>
        <v>0</v>
      </c>
      <c r="L46" s="534">
        <f t="shared" si="7"/>
        <v>0</v>
      </c>
    </row>
    <row r="47" spans="1:12" s="54" customFormat="1" ht="12.2" customHeight="1" thickBot="1" x14ac:dyDescent="0.25">
      <c r="A47" s="58" t="s">
        <v>178</v>
      </c>
      <c r="B47" s="62" t="s">
        <v>179</v>
      </c>
      <c r="C47" s="1034">
        <f>C62</f>
        <v>0</v>
      </c>
      <c r="D47" s="195">
        <f t="shared" ref="D47:L47" si="8">D62</f>
        <v>0</v>
      </c>
      <c r="E47" s="587">
        <f t="shared" si="8"/>
        <v>0</v>
      </c>
      <c r="F47" s="587">
        <f t="shared" si="8"/>
        <v>0</v>
      </c>
      <c r="G47" s="587">
        <f t="shared" si="8"/>
        <v>0</v>
      </c>
      <c r="H47" s="548">
        <f t="shared" si="1"/>
        <v>0</v>
      </c>
      <c r="I47" s="1094">
        <f t="shared" si="8"/>
        <v>0</v>
      </c>
      <c r="J47" s="548">
        <f t="shared" si="8"/>
        <v>0</v>
      </c>
      <c r="K47" s="548">
        <f t="shared" si="8"/>
        <v>0</v>
      </c>
      <c r="L47" s="548">
        <f t="shared" si="8"/>
        <v>0</v>
      </c>
    </row>
    <row r="48" spans="1:12" s="54" customFormat="1" ht="15" customHeight="1" thickBot="1" x14ac:dyDescent="0.25">
      <c r="A48" s="63" t="s">
        <v>21</v>
      </c>
      <c r="B48" s="524" t="s">
        <v>174</v>
      </c>
      <c r="C48" s="135">
        <f>+C42+C43</f>
        <v>1143000</v>
      </c>
      <c r="D48" s="134">
        <f t="shared" ref="D48:L48" si="9">+D42+D43</f>
        <v>1143000</v>
      </c>
      <c r="E48" s="592">
        <f t="shared" si="9"/>
        <v>1143000</v>
      </c>
      <c r="F48" s="592">
        <f t="shared" si="9"/>
        <v>0</v>
      </c>
      <c r="G48" s="592">
        <f t="shared" si="9"/>
        <v>0</v>
      </c>
      <c r="H48" s="557">
        <f t="shared" si="1"/>
        <v>0</v>
      </c>
      <c r="I48" s="1100">
        <f t="shared" si="9"/>
        <v>0</v>
      </c>
      <c r="J48" s="557">
        <f t="shared" si="9"/>
        <v>0</v>
      </c>
      <c r="K48" s="557">
        <f t="shared" si="9"/>
        <v>0</v>
      </c>
      <c r="L48" s="557">
        <f t="shared" si="9"/>
        <v>0</v>
      </c>
    </row>
    <row r="49" spans="1:12" s="54" customFormat="1" ht="15" customHeight="1" x14ac:dyDescent="0.2">
      <c r="A49" s="64"/>
      <c r="B49" s="65"/>
      <c r="C49" s="66"/>
      <c r="D49" s="66"/>
      <c r="E49" s="66"/>
      <c r="F49" s="66"/>
      <c r="G49" s="66"/>
      <c r="H49" s="66"/>
      <c r="I49" s="66"/>
      <c r="J49" s="66"/>
      <c r="K49" s="66"/>
      <c r="L49" s="66"/>
    </row>
    <row r="50" spans="1:12" s="54" customFormat="1" ht="15" customHeight="1" x14ac:dyDescent="0.2">
      <c r="A50" s="64"/>
      <c r="B50" s="65"/>
      <c r="C50" s="66"/>
      <c r="D50" s="66"/>
      <c r="E50" s="66"/>
      <c r="F50" s="66"/>
      <c r="G50" s="66"/>
      <c r="H50" s="66"/>
      <c r="I50" s="66"/>
      <c r="J50" s="66"/>
      <c r="K50" s="66"/>
      <c r="L50" s="66"/>
    </row>
    <row r="51" spans="1:12" ht="13.5" thickBot="1" x14ac:dyDescent="0.25">
      <c r="A51" s="1912" t="s">
        <v>362</v>
      </c>
      <c r="B51" s="1912"/>
      <c r="C51" s="1912"/>
      <c r="D51" s="1912"/>
      <c r="E51" s="1912"/>
      <c r="F51" s="1912"/>
      <c r="G51" s="1912"/>
      <c r="H51" s="1912"/>
    </row>
    <row r="52" spans="1:12" s="554" customFormat="1" ht="55.5" customHeight="1" thickBot="1" x14ac:dyDescent="0.25">
      <c r="A52" s="641"/>
      <c r="B52" s="642" t="s">
        <v>38</v>
      </c>
      <c r="C52" s="21" t="str">
        <f>C7</f>
        <v>2023. évi eredeti előirányzat
2/2023. (II.14.)</v>
      </c>
      <c r="D52" s="166" t="str">
        <f t="shared" ref="D52:L52" si="10">D7</f>
        <v>Módosított előirányzat a 14/2023.  (VI.29.)  rendelet szerint</v>
      </c>
      <c r="E52" s="21" t="str">
        <f t="shared" si="10"/>
        <v>Módosított előirányzat a 18/2023. (IX.26.)  rendelet szerint</v>
      </c>
      <c r="F52" s="21" t="str">
        <f t="shared" si="10"/>
        <v>Módosított előirányzat 2023.09.30-án</v>
      </c>
      <c r="G52" s="21" t="str">
        <f t="shared" si="10"/>
        <v>Módosított előirányzat a …../2023. (II…..)  rendelet szerint</v>
      </c>
      <c r="H52" s="32" t="str">
        <f t="shared" si="10"/>
        <v>Változás a 14/2023. (VI.29.) rendelethez képest</v>
      </c>
      <c r="I52" s="166" t="str">
        <f t="shared" si="10"/>
        <v>2023. évi teljesítés              2023.06.30-ig</v>
      </c>
      <c r="J52" s="21" t="str">
        <f t="shared" si="10"/>
        <v>2023. évi teljesítés              2023.09.30-ig</v>
      </c>
      <c r="K52" s="21" t="str">
        <f t="shared" si="10"/>
        <v>2023. évi teljesítés              2023.12.31-ig</v>
      </c>
      <c r="L52" s="21" t="str">
        <f t="shared" si="10"/>
        <v>Teljesítés %-a</v>
      </c>
    </row>
    <row r="53" spans="1:12" s="31" customFormat="1" ht="12.2" customHeight="1" thickBot="1" x14ac:dyDescent="0.25">
      <c r="A53" s="55" t="s">
        <v>12</v>
      </c>
      <c r="B53" s="56" t="s">
        <v>547</v>
      </c>
      <c r="C53" s="89">
        <f>SUM(C54:C59)-C55</f>
        <v>1143000</v>
      </c>
      <c r="D53" s="127">
        <f t="shared" ref="D53:L53" si="11">SUM(D54:D59)-D55</f>
        <v>1143000</v>
      </c>
      <c r="E53" s="582">
        <f t="shared" si="11"/>
        <v>1143000</v>
      </c>
      <c r="F53" s="582">
        <f t="shared" si="11"/>
        <v>0</v>
      </c>
      <c r="G53" s="582">
        <f t="shared" si="11"/>
        <v>0</v>
      </c>
      <c r="H53" s="48">
        <f t="shared" ref="H53:H70" si="12">+E53-D53</f>
        <v>0</v>
      </c>
      <c r="I53" s="175">
        <f t="shared" si="11"/>
        <v>0</v>
      </c>
      <c r="J53" s="48">
        <f t="shared" si="11"/>
        <v>0</v>
      </c>
      <c r="K53" s="48">
        <f t="shared" si="11"/>
        <v>0</v>
      </c>
      <c r="L53" s="48">
        <f t="shared" si="11"/>
        <v>0</v>
      </c>
    </row>
    <row r="54" spans="1:12" ht="12.2" customHeight="1" x14ac:dyDescent="0.2">
      <c r="A54" s="1037" t="s">
        <v>91</v>
      </c>
      <c r="B54" s="17" t="s">
        <v>68</v>
      </c>
      <c r="C54" s="122"/>
      <c r="D54" s="189"/>
      <c r="E54" s="586"/>
      <c r="F54" s="586"/>
      <c r="G54" s="586"/>
      <c r="H54" s="33">
        <f t="shared" si="12"/>
        <v>0</v>
      </c>
      <c r="I54" s="177"/>
      <c r="J54" s="33"/>
      <c r="K54" s="33"/>
      <c r="L54" s="33"/>
    </row>
    <row r="55" spans="1:12" ht="12.2" customHeight="1" x14ac:dyDescent="0.2">
      <c r="A55" s="1037" t="s">
        <v>305</v>
      </c>
      <c r="B55" s="335" t="s">
        <v>270</v>
      </c>
      <c r="C55" s="122"/>
      <c r="D55" s="189"/>
      <c r="E55" s="586"/>
      <c r="F55" s="586"/>
      <c r="G55" s="586"/>
      <c r="H55" s="33">
        <f t="shared" si="12"/>
        <v>0</v>
      </c>
      <c r="I55" s="177"/>
      <c r="J55" s="33"/>
      <c r="K55" s="33"/>
      <c r="L55" s="33"/>
    </row>
    <row r="56" spans="1:12" ht="12.2" customHeight="1" x14ac:dyDescent="0.2">
      <c r="A56" s="1037" t="s">
        <v>92</v>
      </c>
      <c r="B56" s="330" t="s">
        <v>87</v>
      </c>
      <c r="C56" s="339"/>
      <c r="D56" s="323"/>
      <c r="E56" s="107"/>
      <c r="F56" s="107"/>
      <c r="G56" s="107"/>
      <c r="H56" s="324">
        <f t="shared" si="12"/>
        <v>0</v>
      </c>
      <c r="I56" s="503"/>
      <c r="J56" s="324"/>
      <c r="K56" s="324"/>
      <c r="L56" s="324"/>
    </row>
    <row r="57" spans="1:12" ht="12.2" customHeight="1" x14ac:dyDescent="0.2">
      <c r="A57" s="1037" t="s">
        <v>93</v>
      </c>
      <c r="B57" s="330" t="s">
        <v>69</v>
      </c>
      <c r="C57" s="339">
        <v>1143000</v>
      </c>
      <c r="D57" s="323">
        <v>1143000</v>
      </c>
      <c r="E57" s="107">
        <v>1143000</v>
      </c>
      <c r="F57" s="107"/>
      <c r="G57" s="107"/>
      <c r="H57" s="324">
        <f t="shared" si="12"/>
        <v>0</v>
      </c>
      <c r="I57" s="503"/>
      <c r="J57" s="324"/>
      <c r="K57" s="324"/>
      <c r="L57" s="324"/>
    </row>
    <row r="58" spans="1:12" ht="12.2" customHeight="1" x14ac:dyDescent="0.2">
      <c r="A58" s="1037" t="s">
        <v>90</v>
      </c>
      <c r="B58" s="330" t="s">
        <v>80</v>
      </c>
      <c r="C58" s="339"/>
      <c r="D58" s="323"/>
      <c r="E58" s="107"/>
      <c r="F58" s="107"/>
      <c r="G58" s="107"/>
      <c r="H58" s="324">
        <f t="shared" si="12"/>
        <v>0</v>
      </c>
      <c r="I58" s="503"/>
      <c r="J58" s="324"/>
      <c r="K58" s="324"/>
      <c r="L58" s="324"/>
    </row>
    <row r="59" spans="1:12" ht="12.2" customHeight="1" x14ac:dyDescent="0.2">
      <c r="A59" s="1037" t="s">
        <v>147</v>
      </c>
      <c r="B59" s="330" t="s">
        <v>88</v>
      </c>
      <c r="C59" s="339">
        <f>SUM(C60:C61)</f>
        <v>0</v>
      </c>
      <c r="D59" s="323">
        <f t="shared" ref="D59:L59" si="13">SUM(D60:D61)</f>
        <v>0</v>
      </c>
      <c r="E59" s="107">
        <f t="shared" si="13"/>
        <v>0</v>
      </c>
      <c r="F59" s="107">
        <f t="shared" si="13"/>
        <v>0</v>
      </c>
      <c r="G59" s="107">
        <f t="shared" si="13"/>
        <v>0</v>
      </c>
      <c r="H59" s="324">
        <f t="shared" si="12"/>
        <v>0</v>
      </c>
      <c r="I59" s="503">
        <f t="shared" si="13"/>
        <v>0</v>
      </c>
      <c r="J59" s="324">
        <f t="shared" si="13"/>
        <v>0</v>
      </c>
      <c r="K59" s="324">
        <f t="shared" si="13"/>
        <v>0</v>
      </c>
      <c r="L59" s="324">
        <f t="shared" si="13"/>
        <v>0</v>
      </c>
    </row>
    <row r="60" spans="1:12" ht="12.2" customHeight="1" x14ac:dyDescent="0.2">
      <c r="A60" s="1037" t="s">
        <v>306</v>
      </c>
      <c r="B60" s="521" t="s">
        <v>235</v>
      </c>
      <c r="C60" s="339"/>
      <c r="D60" s="323"/>
      <c r="E60" s="107"/>
      <c r="F60" s="107"/>
      <c r="G60" s="107"/>
      <c r="H60" s="324">
        <f t="shared" si="12"/>
        <v>0</v>
      </c>
      <c r="I60" s="503"/>
      <c r="J60" s="324"/>
      <c r="K60" s="324"/>
      <c r="L60" s="324"/>
    </row>
    <row r="61" spans="1:12" ht="12.2" customHeight="1" thickBot="1" x14ac:dyDescent="0.25">
      <c r="A61" s="84" t="s">
        <v>307</v>
      </c>
      <c r="B61" s="85" t="s">
        <v>234</v>
      </c>
      <c r="C61" s="92"/>
      <c r="D61" s="190"/>
      <c r="E61" s="593"/>
      <c r="F61" s="593"/>
      <c r="G61" s="593"/>
      <c r="H61" s="61">
        <f t="shared" si="12"/>
        <v>0</v>
      </c>
      <c r="I61" s="178"/>
      <c r="J61" s="61"/>
      <c r="K61" s="61"/>
      <c r="L61" s="61"/>
    </row>
    <row r="62" spans="1:12" ht="12.2" customHeight="1" thickBot="1" x14ac:dyDescent="0.25">
      <c r="A62" s="55" t="s">
        <v>13</v>
      </c>
      <c r="B62" s="56" t="s">
        <v>548</v>
      </c>
      <c r="C62" s="89">
        <f>SUM(C63:C67)</f>
        <v>0</v>
      </c>
      <c r="D62" s="127">
        <f t="shared" ref="D62:L62" si="14">SUM(D63:D67)</f>
        <v>0</v>
      </c>
      <c r="E62" s="582">
        <f t="shared" si="14"/>
        <v>0</v>
      </c>
      <c r="F62" s="582">
        <f t="shared" si="14"/>
        <v>0</v>
      </c>
      <c r="G62" s="582">
        <f t="shared" si="14"/>
        <v>0</v>
      </c>
      <c r="H62" s="48">
        <f t="shared" si="12"/>
        <v>0</v>
      </c>
      <c r="I62" s="175">
        <f t="shared" si="14"/>
        <v>0</v>
      </c>
      <c r="J62" s="48">
        <f t="shared" si="14"/>
        <v>0</v>
      </c>
      <c r="K62" s="48">
        <f t="shared" si="14"/>
        <v>0</v>
      </c>
      <c r="L62" s="48">
        <f t="shared" si="14"/>
        <v>0</v>
      </c>
    </row>
    <row r="63" spans="1:12" s="31" customFormat="1" ht="12.2" customHeight="1" x14ac:dyDescent="0.2">
      <c r="A63" s="1037" t="s">
        <v>94</v>
      </c>
      <c r="B63" s="17" t="s">
        <v>119</v>
      </c>
      <c r="C63" s="122"/>
      <c r="D63" s="189"/>
      <c r="E63" s="586"/>
      <c r="F63" s="586"/>
      <c r="G63" s="586"/>
      <c r="H63" s="33">
        <f t="shared" si="12"/>
        <v>0</v>
      </c>
      <c r="I63" s="177"/>
      <c r="J63" s="33"/>
      <c r="K63" s="33"/>
      <c r="L63" s="33"/>
    </row>
    <row r="64" spans="1:12" s="31" customFormat="1" ht="12.2" customHeight="1" x14ac:dyDescent="0.2">
      <c r="A64" s="1037" t="s">
        <v>316</v>
      </c>
      <c r="B64" s="522" t="s">
        <v>236</v>
      </c>
      <c r="C64" s="122"/>
      <c r="D64" s="189"/>
      <c r="E64" s="586"/>
      <c r="F64" s="586"/>
      <c r="G64" s="586"/>
      <c r="H64" s="33">
        <f t="shared" si="12"/>
        <v>0</v>
      </c>
      <c r="I64" s="177"/>
      <c r="J64" s="33"/>
      <c r="K64" s="33"/>
      <c r="L64" s="33"/>
    </row>
    <row r="65" spans="1:12" ht="12.2" customHeight="1" x14ac:dyDescent="0.2">
      <c r="A65" s="1037" t="s">
        <v>95</v>
      </c>
      <c r="B65" s="330" t="s">
        <v>2</v>
      </c>
      <c r="C65" s="339"/>
      <c r="D65" s="323"/>
      <c r="E65" s="107"/>
      <c r="F65" s="107"/>
      <c r="G65" s="107"/>
      <c r="H65" s="324">
        <f t="shared" si="12"/>
        <v>0</v>
      </c>
      <c r="I65" s="503"/>
      <c r="J65" s="324"/>
      <c r="K65" s="324"/>
      <c r="L65" s="324"/>
    </row>
    <row r="66" spans="1:12" ht="12.2" customHeight="1" x14ac:dyDescent="0.2">
      <c r="A66" s="1037" t="s">
        <v>342</v>
      </c>
      <c r="B66" s="523" t="s">
        <v>237</v>
      </c>
      <c r="C66" s="339"/>
      <c r="D66" s="323"/>
      <c r="E66" s="107"/>
      <c r="F66" s="107"/>
      <c r="G66" s="107"/>
      <c r="H66" s="324">
        <f t="shared" si="12"/>
        <v>0</v>
      </c>
      <c r="I66" s="503"/>
      <c r="J66" s="324"/>
      <c r="K66" s="324"/>
      <c r="L66" s="324"/>
    </row>
    <row r="67" spans="1:12" ht="12.2" customHeight="1" x14ac:dyDescent="0.2">
      <c r="A67" s="1037" t="s">
        <v>96</v>
      </c>
      <c r="B67" s="17" t="s">
        <v>175</v>
      </c>
      <c r="C67" s="339">
        <f>SUM(C68:C69)</f>
        <v>0</v>
      </c>
      <c r="D67" s="323">
        <f t="shared" ref="D67:L67" si="15">SUM(D68:D69)</f>
        <v>0</v>
      </c>
      <c r="E67" s="107">
        <f t="shared" si="15"/>
        <v>0</v>
      </c>
      <c r="F67" s="107">
        <f t="shared" si="15"/>
        <v>0</v>
      </c>
      <c r="G67" s="107">
        <f t="shared" si="15"/>
        <v>0</v>
      </c>
      <c r="H67" s="324">
        <f t="shared" si="12"/>
        <v>0</v>
      </c>
      <c r="I67" s="503">
        <f t="shared" si="15"/>
        <v>0</v>
      </c>
      <c r="J67" s="324">
        <f t="shared" si="15"/>
        <v>0</v>
      </c>
      <c r="K67" s="324">
        <f t="shared" si="15"/>
        <v>0</v>
      </c>
      <c r="L67" s="324">
        <f t="shared" si="15"/>
        <v>0</v>
      </c>
    </row>
    <row r="68" spans="1:12" ht="12.2" customHeight="1" x14ac:dyDescent="0.2">
      <c r="A68" s="1037" t="s">
        <v>317</v>
      </c>
      <c r="B68" s="521" t="s">
        <v>239</v>
      </c>
      <c r="C68" s="339"/>
      <c r="D68" s="323"/>
      <c r="E68" s="107"/>
      <c r="F68" s="107"/>
      <c r="G68" s="107"/>
      <c r="H68" s="324">
        <f t="shared" si="12"/>
        <v>0</v>
      </c>
      <c r="I68" s="503"/>
      <c r="J68" s="324"/>
      <c r="K68" s="324"/>
      <c r="L68" s="324"/>
    </row>
    <row r="69" spans="1:12" ht="12.2" customHeight="1" thickBot="1" x14ac:dyDescent="0.25">
      <c r="A69" s="84" t="s">
        <v>318</v>
      </c>
      <c r="B69" s="85" t="s">
        <v>238</v>
      </c>
      <c r="C69" s="92"/>
      <c r="D69" s="323"/>
      <c r="E69" s="107"/>
      <c r="F69" s="107"/>
      <c r="G69" s="107"/>
      <c r="H69" s="324">
        <f t="shared" si="12"/>
        <v>0</v>
      </c>
      <c r="I69" s="503"/>
      <c r="J69" s="324"/>
      <c r="K69" s="324"/>
      <c r="L69" s="324"/>
    </row>
    <row r="70" spans="1:12" ht="15" customHeight="1" thickBot="1" x14ac:dyDescent="0.25">
      <c r="A70" s="55" t="s">
        <v>14</v>
      </c>
      <c r="B70" s="67" t="s">
        <v>176</v>
      </c>
      <c r="C70" s="135">
        <f>+C53+C62</f>
        <v>1143000</v>
      </c>
      <c r="D70" s="134">
        <f t="shared" ref="D70:L70" si="16">+D53+D62</f>
        <v>1143000</v>
      </c>
      <c r="E70" s="592">
        <f t="shared" si="16"/>
        <v>1143000</v>
      </c>
      <c r="F70" s="592">
        <f t="shared" si="16"/>
        <v>0</v>
      </c>
      <c r="G70" s="592">
        <f t="shared" si="16"/>
        <v>0</v>
      </c>
      <c r="H70" s="68">
        <f t="shared" si="12"/>
        <v>0</v>
      </c>
      <c r="I70" s="176">
        <f t="shared" si="16"/>
        <v>0</v>
      </c>
      <c r="J70" s="68">
        <f t="shared" si="16"/>
        <v>0</v>
      </c>
      <c r="K70" s="68">
        <f t="shared" si="16"/>
        <v>0</v>
      </c>
      <c r="L70" s="68">
        <f t="shared" si="16"/>
        <v>0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634" t="s">
        <v>292</v>
      </c>
      <c r="B72" s="636"/>
      <c r="C72" s="136"/>
      <c r="D72" s="635"/>
      <c r="E72" s="520"/>
      <c r="F72" s="520"/>
      <c r="G72" s="520"/>
      <c r="H72" s="174">
        <f>+E72-D72</f>
        <v>0</v>
      </c>
      <c r="I72" s="174"/>
      <c r="J72" s="174"/>
      <c r="K72" s="174"/>
      <c r="L72" s="174"/>
    </row>
    <row r="73" spans="1:12" ht="14.25" hidden="1" customHeight="1" thickBot="1" x14ac:dyDescent="0.25">
      <c r="A73" s="69" t="s">
        <v>291</v>
      </c>
      <c r="B73" s="70"/>
      <c r="C73" s="609"/>
      <c r="D73" s="639"/>
      <c r="E73" s="607"/>
      <c r="F73" s="607"/>
      <c r="G73" s="607"/>
      <c r="H73" s="609"/>
      <c r="I73" s="609"/>
      <c r="J73" s="609"/>
      <c r="K73" s="609"/>
      <c r="L73" s="609"/>
    </row>
    <row r="74" spans="1:12" x14ac:dyDescent="0.2">
      <c r="D74" s="163"/>
      <c r="E74" s="163"/>
      <c r="F74" s="163"/>
      <c r="G74" s="163"/>
      <c r="H74" s="163"/>
      <c r="I74" s="163"/>
      <c r="J74" s="163"/>
      <c r="K74" s="163"/>
      <c r="L74" s="163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9"/>
  <sheetViews>
    <sheetView view="pageBreakPreview" topLeftCell="A71" zoomScale="130" zoomScaleNormal="166" zoomScaleSheetLayoutView="130" workbookViewId="0">
      <selection activeCell="J50" sqref="J50"/>
    </sheetView>
  </sheetViews>
  <sheetFormatPr defaultColWidth="9.33203125" defaultRowHeight="12.75" x14ac:dyDescent="0.2"/>
  <cols>
    <col min="1" max="1" width="13.33203125" style="81" customWidth="1"/>
    <col min="2" max="2" width="65.33203125" style="82" customWidth="1"/>
    <col min="3" max="3" width="14" style="344" customWidth="1"/>
    <col min="4" max="4" width="16.33203125" style="83" hidden="1" customWidth="1"/>
    <col min="5" max="5" width="15" style="83" customWidth="1"/>
    <col min="6" max="6" width="14.33203125" style="1713" customWidth="1"/>
    <col min="7" max="7" width="17.5" style="83" hidden="1" customWidth="1"/>
    <col min="8" max="8" width="16.6640625" style="83" hidden="1" customWidth="1"/>
    <col min="9" max="9" width="15.83203125" style="83" hidden="1" customWidth="1"/>
    <col min="10" max="10" width="15" style="83" customWidth="1"/>
    <col min="11" max="11" width="15.83203125" style="83" hidden="1" customWidth="1"/>
    <col min="12" max="12" width="8.83203125" style="142" customWidth="1"/>
    <col min="13" max="13" width="15.33203125" style="25" customWidth="1"/>
    <col min="14" max="14" width="17.1640625" style="25" customWidth="1"/>
    <col min="15" max="15" width="30.33203125" style="25" customWidth="1"/>
    <col min="16" max="16" width="14.33203125" style="25" bestFit="1" customWidth="1"/>
    <col min="17" max="17" width="12.6640625" style="25" bestFit="1" customWidth="1"/>
    <col min="18" max="16384" width="9.33203125" style="25"/>
  </cols>
  <sheetData>
    <row r="1" spans="1:14" ht="12.75" customHeight="1" x14ac:dyDescent="0.2">
      <c r="A1" s="1773" t="s">
        <v>816</v>
      </c>
      <c r="B1" s="1773"/>
      <c r="C1" s="1773"/>
      <c r="D1" s="1773"/>
      <c r="E1" s="1773"/>
      <c r="F1" s="1773"/>
      <c r="G1" s="1773"/>
      <c r="H1" s="1773"/>
      <c r="I1" s="1773"/>
      <c r="J1" s="1773"/>
      <c r="K1" s="1773"/>
      <c r="L1" s="1773"/>
    </row>
    <row r="2" spans="1:14" ht="12.75" customHeight="1" x14ac:dyDescent="0.2">
      <c r="A2" s="1773"/>
      <c r="B2" s="1773"/>
      <c r="C2" s="1773"/>
      <c r="D2" s="1773"/>
      <c r="E2" s="1773"/>
      <c r="F2" s="1773"/>
      <c r="G2" s="1773"/>
      <c r="H2" s="1773"/>
    </row>
    <row r="3" spans="1:14" s="24" customFormat="1" ht="12.2" customHeight="1" thickBot="1" x14ac:dyDescent="0.25">
      <c r="A3" s="1773"/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</row>
    <row r="4" spans="1:14" s="38" customFormat="1" ht="15.95" customHeight="1" x14ac:dyDescent="0.2">
      <c r="A4" s="36" t="s">
        <v>84</v>
      </c>
      <c r="B4" s="37" t="s">
        <v>9</v>
      </c>
      <c r="C4" s="1794" t="s">
        <v>141</v>
      </c>
      <c r="D4" s="1795"/>
      <c r="E4" s="1795"/>
      <c r="F4" s="1795"/>
      <c r="G4" s="1795"/>
      <c r="H4" s="1795"/>
      <c r="I4" s="1795"/>
      <c r="J4" s="1795"/>
      <c r="K4" s="1795"/>
      <c r="L4" s="1796"/>
      <c r="M4" s="151"/>
    </row>
    <row r="5" spans="1:14" s="38" customFormat="1" ht="27" customHeight="1" thickBot="1" x14ac:dyDescent="0.25">
      <c r="A5" s="39" t="s">
        <v>578</v>
      </c>
      <c r="B5" s="40" t="s">
        <v>140</v>
      </c>
      <c r="C5" s="1797">
        <v>1</v>
      </c>
      <c r="D5" s="1798"/>
      <c r="E5" s="1798"/>
      <c r="F5" s="1798"/>
      <c r="G5" s="1798"/>
      <c r="H5" s="1798"/>
      <c r="I5" s="1798"/>
      <c r="J5" s="1798"/>
      <c r="K5" s="1798"/>
      <c r="L5" s="1799"/>
      <c r="M5" s="151"/>
    </row>
    <row r="6" spans="1:14" s="38" customFormat="1" ht="12.2" customHeight="1" x14ac:dyDescent="0.2">
      <c r="A6" s="108"/>
      <c r="B6" s="168"/>
      <c r="C6" s="343"/>
      <c r="D6" s="109"/>
      <c r="E6" s="109"/>
      <c r="F6" s="1688"/>
      <c r="G6" s="109"/>
      <c r="H6" s="109"/>
      <c r="I6" s="108"/>
      <c r="J6" s="108"/>
      <c r="K6" s="108"/>
      <c r="L6" s="145"/>
    </row>
    <row r="7" spans="1:14" s="38" customFormat="1" ht="14.1" customHeight="1" x14ac:dyDescent="0.2">
      <c r="A7" s="1800" t="s">
        <v>11</v>
      </c>
      <c r="B7" s="1800"/>
      <c r="C7" s="1800"/>
      <c r="D7" s="1800"/>
      <c r="E7" s="1800"/>
      <c r="F7" s="1800"/>
      <c r="G7" s="1800"/>
      <c r="H7" s="1800"/>
      <c r="I7" s="1800"/>
      <c r="J7" s="1800"/>
      <c r="K7" s="1800"/>
      <c r="L7" s="1800"/>
    </row>
    <row r="8" spans="1:14" s="41" customFormat="1" ht="12.2" customHeight="1" thickBot="1" x14ac:dyDescent="0.25">
      <c r="A8" s="1793" t="s">
        <v>362</v>
      </c>
      <c r="B8" s="1793"/>
      <c r="C8" s="1793"/>
      <c r="D8" s="1793"/>
      <c r="E8" s="1793"/>
      <c r="F8" s="1793"/>
      <c r="G8" s="1793"/>
      <c r="H8" s="1793"/>
      <c r="I8" s="1793"/>
      <c r="J8" s="1793"/>
      <c r="K8" s="1793"/>
      <c r="L8" s="1793"/>
    </row>
    <row r="9" spans="1:14" ht="53.45" customHeight="1" thickBot="1" x14ac:dyDescent="0.25">
      <c r="A9" s="986" t="s">
        <v>142</v>
      </c>
      <c r="B9" s="42" t="s">
        <v>36</v>
      </c>
      <c r="C9" s="1031" t="str">
        <f>'1. mell.bevétel_össz'!C8</f>
        <v>2023. évi eredeti előirányzat
2/2023. (II.14.)</v>
      </c>
      <c r="D9" s="191" t="str">
        <f>'1. mell.bevétel_össz'!D8</f>
        <v>Módosított előirányzat a 14/2023.  (VI.29.)  rendelet szerint</v>
      </c>
      <c r="E9" s="42" t="str">
        <f>'1. mell.bevétel_össz'!E8</f>
        <v>Módosított előirányzat a 18/2023. (IX.26.)  rendelet szerint</v>
      </c>
      <c r="F9" s="1689" t="str">
        <f>'1. mell.bevétel_össz'!F8</f>
        <v>Módosított előirányzat 2023.09.30-án</v>
      </c>
      <c r="G9" s="42" t="str">
        <f>'1. mell.bevétel_össz'!G8</f>
        <v>Módosított előirányzat a …../2023. (II…..)  rendelet szerint</v>
      </c>
      <c r="H9" s="126" t="str">
        <f>'1. mell.bevétel_össz'!H8</f>
        <v>Változás a 14/2023. (VI.29.) rendelethez képest</v>
      </c>
      <c r="I9" s="1439" t="str">
        <f>'1. mell.bevétel_össz'!I8</f>
        <v>2023. évi teljesítés              2023.06.30-ig</v>
      </c>
      <c r="J9" s="42" t="str">
        <f>'1. mell.bevétel_össz'!J8</f>
        <v>2023. évi teljesítés              2023.09.30-ig</v>
      </c>
      <c r="K9" s="1453" t="str">
        <f>'1. mell.bevétel_össz'!K8</f>
        <v>2023. évi teljesítés              2023.12.31-ig</v>
      </c>
      <c r="L9" s="1464" t="str">
        <f>'1. mell.bevétel_össz'!L8</f>
        <v>Teljesítés %-a</v>
      </c>
      <c r="M9" s="157"/>
    </row>
    <row r="10" spans="1:14" s="46" customFormat="1" ht="12.95" customHeight="1" thickBot="1" x14ac:dyDescent="0.25">
      <c r="A10" s="43" t="s">
        <v>297</v>
      </c>
      <c r="B10" s="44" t="s">
        <v>298</v>
      </c>
      <c r="C10" s="989" t="s">
        <v>299</v>
      </c>
      <c r="D10" s="182" t="s">
        <v>300</v>
      </c>
      <c r="E10" s="44" t="s">
        <v>300</v>
      </c>
      <c r="F10" s="1690" t="s">
        <v>301</v>
      </c>
      <c r="G10" s="44" t="s">
        <v>424</v>
      </c>
      <c r="H10" s="180" t="s">
        <v>388</v>
      </c>
      <c r="I10" s="1415" t="s">
        <v>299</v>
      </c>
      <c r="J10" s="44" t="s">
        <v>388</v>
      </c>
      <c r="K10" s="620" t="s">
        <v>299</v>
      </c>
      <c r="L10" s="137" t="s">
        <v>424</v>
      </c>
      <c r="M10" s="153"/>
      <c r="N10" s="46" t="s">
        <v>385</v>
      </c>
    </row>
    <row r="11" spans="1:14" s="46" customFormat="1" ht="15.95" customHeight="1" thickBot="1" x14ac:dyDescent="0.25">
      <c r="A11" s="1801" t="s">
        <v>37</v>
      </c>
      <c r="B11" s="1802"/>
      <c r="C11" s="1802"/>
      <c r="D11" s="1802"/>
      <c r="E11" s="1802"/>
      <c r="F11" s="1802"/>
      <c r="G11" s="1802"/>
      <c r="H11" s="1802"/>
      <c r="I11" s="1802"/>
      <c r="J11" s="1802"/>
      <c r="K11" s="1802"/>
      <c r="L11" s="1803"/>
      <c r="M11" s="153"/>
    </row>
    <row r="12" spans="1:14" s="46" customFormat="1" ht="12.2" customHeight="1" thickBot="1" x14ac:dyDescent="0.25">
      <c r="A12" s="14" t="s">
        <v>12</v>
      </c>
      <c r="B12" s="72" t="s">
        <v>622</v>
      </c>
      <c r="C12" s="566">
        <f>C20+C21+C22+C23+C24</f>
        <v>1325699056</v>
      </c>
      <c r="D12" s="113">
        <f>D20+D21+D22+D23+D24</f>
        <v>1548430832</v>
      </c>
      <c r="E12" s="113">
        <f>E20+E21+E22+E23+E24</f>
        <v>1605476814</v>
      </c>
      <c r="F12" s="1691">
        <f t="shared" ref="F12:I12" si="0">F20+F21+F22+F23+F24</f>
        <v>1614153526</v>
      </c>
      <c r="G12" s="186">
        <f t="shared" si="0"/>
        <v>0</v>
      </c>
      <c r="H12" s="186">
        <f t="shared" si="0"/>
        <v>57045982</v>
      </c>
      <c r="I12" s="186">
        <f t="shared" si="0"/>
        <v>0</v>
      </c>
      <c r="J12" s="186">
        <f>J20+J21+J22+J23+J24</f>
        <v>1247875332</v>
      </c>
      <c r="K12" s="1454">
        <f>+K13+K14+K15+K17+K18+K19</f>
        <v>0</v>
      </c>
      <c r="L12" s="1465">
        <f t="shared" ref="L12:L43" si="1">IF(F12=0,"",J12/F12*100)</f>
        <v>77.308342230142983</v>
      </c>
      <c r="M12" s="153"/>
    </row>
    <row r="13" spans="1:14" s="26" customFormat="1" ht="12.2" customHeight="1" x14ac:dyDescent="0.2">
      <c r="A13" s="12" t="s">
        <v>91</v>
      </c>
      <c r="B13" s="73" t="s">
        <v>188</v>
      </c>
      <c r="C13" s="567">
        <v>347696168</v>
      </c>
      <c r="D13" s="114">
        <f>347696168+11877600</f>
        <v>359573768</v>
      </c>
      <c r="E13" s="114">
        <v>359573768</v>
      </c>
      <c r="F13" s="1692">
        <v>359573768</v>
      </c>
      <c r="G13" s="114"/>
      <c r="H13" s="626">
        <f t="shared" ref="H13:H76" si="2">+E13-D13</f>
        <v>0</v>
      </c>
      <c r="I13" s="1441">
        <v>0</v>
      </c>
      <c r="J13" s="114">
        <v>273276053</v>
      </c>
      <c r="K13" s="1455">
        <v>0</v>
      </c>
      <c r="L13" s="1466">
        <f t="shared" si="1"/>
        <v>75.999997029816697</v>
      </c>
      <c r="M13" s="154"/>
    </row>
    <row r="14" spans="1:14" s="54" customFormat="1" ht="12.2" customHeight="1" x14ac:dyDescent="0.2">
      <c r="A14" s="1003" t="s">
        <v>92</v>
      </c>
      <c r="B14" s="345" t="s">
        <v>532</v>
      </c>
      <c r="C14" s="568">
        <v>377696960</v>
      </c>
      <c r="D14" s="401">
        <f>377696960+46946586</f>
        <v>424643546</v>
      </c>
      <c r="E14" s="401">
        <f>424643546-7440190-878579</f>
        <v>416324777</v>
      </c>
      <c r="F14" s="1693">
        <v>416324777</v>
      </c>
      <c r="G14" s="401"/>
      <c r="H14" s="627">
        <f t="shared" si="2"/>
        <v>-8318769</v>
      </c>
      <c r="I14" s="1442"/>
      <c r="J14" s="401">
        <v>318569711</v>
      </c>
      <c r="K14" s="1456"/>
      <c r="L14" s="1467">
        <f t="shared" si="1"/>
        <v>76.519517597675915</v>
      </c>
      <c r="M14" s="155"/>
    </row>
    <row r="15" spans="1:14" s="54" customFormat="1" ht="12.2" customHeight="1" x14ac:dyDescent="0.2">
      <c r="A15" s="1003" t="s">
        <v>93</v>
      </c>
      <c r="B15" s="345" t="s">
        <v>533</v>
      </c>
      <c r="C15" s="568">
        <v>400034324</v>
      </c>
      <c r="D15" s="401">
        <f>400034324+6449161+821373+6253251+1021662+6340186+977214+6643804+2299293+50246627+19316810+6659163+1175823</f>
        <v>508238691</v>
      </c>
      <c r="E15" s="401">
        <f>508238691+6567677+1067153+6550585+1113131+14861089+329540+6633131+1128049</f>
        <v>546489046</v>
      </c>
      <c r="F15" s="1693">
        <f>546489046+6493782+2182930</f>
        <v>555165758</v>
      </c>
      <c r="G15" s="401"/>
      <c r="H15" s="627">
        <f t="shared" si="2"/>
        <v>38250355</v>
      </c>
      <c r="I15" s="1442"/>
      <c r="J15" s="401">
        <v>434866984</v>
      </c>
      <c r="K15" s="1456"/>
      <c r="L15" s="1467">
        <f t="shared" si="1"/>
        <v>78.331016950076389</v>
      </c>
      <c r="M15" s="155"/>
    </row>
    <row r="16" spans="1:14" s="54" customFormat="1" ht="12.2" customHeight="1" x14ac:dyDescent="0.2">
      <c r="A16" s="1003" t="s">
        <v>90</v>
      </c>
      <c r="B16" s="345" t="s">
        <v>534</v>
      </c>
      <c r="C16" s="568">
        <v>142059812</v>
      </c>
      <c r="D16" s="401">
        <f>142059812+7315242</f>
        <v>149375054</v>
      </c>
      <c r="E16" s="401">
        <f>149375054+12094733</f>
        <v>161469787</v>
      </c>
      <c r="F16" s="1693">
        <v>161469787</v>
      </c>
      <c r="G16" s="401"/>
      <c r="H16" s="627">
        <f t="shared" si="2"/>
        <v>12094733</v>
      </c>
      <c r="I16" s="1442"/>
      <c r="J16" s="401">
        <v>119572409</v>
      </c>
      <c r="K16" s="1456"/>
      <c r="L16" s="1467">
        <f t="shared" si="1"/>
        <v>74.052496892189495</v>
      </c>
      <c r="M16" s="155"/>
    </row>
    <row r="17" spans="1:13" s="54" customFormat="1" ht="12.2" customHeight="1" x14ac:dyDescent="0.2">
      <c r="A17" s="1003" t="s">
        <v>147</v>
      </c>
      <c r="B17" s="345" t="s">
        <v>189</v>
      </c>
      <c r="C17" s="568">
        <v>33741611</v>
      </c>
      <c r="D17" s="401">
        <f>33741611+6540000+24748744</f>
        <v>65030355</v>
      </c>
      <c r="E17" s="401">
        <v>65030355</v>
      </c>
      <c r="F17" s="1693">
        <v>65030355</v>
      </c>
      <c r="G17" s="401"/>
      <c r="H17" s="627">
        <f t="shared" si="2"/>
        <v>0</v>
      </c>
      <c r="I17" s="1442"/>
      <c r="J17" s="401">
        <v>49423075</v>
      </c>
      <c r="K17" s="1456"/>
      <c r="L17" s="1467">
        <f t="shared" si="1"/>
        <v>76.000007996265737</v>
      </c>
      <c r="M17" s="155"/>
    </row>
    <row r="18" spans="1:13" s="54" customFormat="1" ht="12.2" customHeight="1" x14ac:dyDescent="0.2">
      <c r="A18" s="1005" t="s">
        <v>149</v>
      </c>
      <c r="B18" s="345" t="s">
        <v>271</v>
      </c>
      <c r="C18" s="568"/>
      <c r="D18" s="401"/>
      <c r="E18" s="401"/>
      <c r="F18" s="1693"/>
      <c r="G18" s="401"/>
      <c r="H18" s="627">
        <f t="shared" si="2"/>
        <v>0</v>
      </c>
      <c r="I18" s="1442">
        <v>0</v>
      </c>
      <c r="J18" s="401"/>
      <c r="K18" s="1456">
        <v>0</v>
      </c>
      <c r="L18" s="1467" t="str">
        <f t="shared" si="1"/>
        <v/>
      </c>
      <c r="M18" s="155"/>
    </row>
    <row r="19" spans="1:13" s="26" customFormat="1" ht="14.25" customHeight="1" x14ac:dyDescent="0.2">
      <c r="A19" s="1005" t="s">
        <v>151</v>
      </c>
      <c r="B19" s="345" t="s">
        <v>272</v>
      </c>
      <c r="C19" s="568"/>
      <c r="D19" s="504"/>
      <c r="E19" s="1451">
        <v>15019663</v>
      </c>
      <c r="F19" s="1694">
        <v>15019663</v>
      </c>
      <c r="G19" s="504"/>
      <c r="H19" s="629">
        <f t="shared" si="2"/>
        <v>15019663</v>
      </c>
      <c r="I19" s="1443"/>
      <c r="J19" s="1451">
        <v>15019663</v>
      </c>
      <c r="K19" s="1457"/>
      <c r="L19" s="1468">
        <f t="shared" si="1"/>
        <v>100</v>
      </c>
      <c r="M19" s="154"/>
    </row>
    <row r="20" spans="1:13" s="26" customFormat="1" ht="12.2" customHeight="1" x14ac:dyDescent="0.2">
      <c r="A20" s="1010" t="s">
        <v>153</v>
      </c>
      <c r="B20" s="687" t="s">
        <v>623</v>
      </c>
      <c r="C20" s="1025">
        <f>SUM(C13:C19)</f>
        <v>1301228875</v>
      </c>
      <c r="D20" s="1113">
        <f>SUM(D13:D19)</f>
        <v>1506861414</v>
      </c>
      <c r="E20" s="1113">
        <f>SUM(E13:E19)</f>
        <v>1563907396</v>
      </c>
      <c r="F20" s="1695">
        <f t="shared" ref="F20:J20" si="3">SUM(F13:F19)</f>
        <v>1572584108</v>
      </c>
      <c r="G20" s="1325">
        <f t="shared" si="3"/>
        <v>0</v>
      </c>
      <c r="H20" s="1325">
        <f t="shared" si="3"/>
        <v>57045982</v>
      </c>
      <c r="I20" s="1325">
        <f t="shared" si="3"/>
        <v>0</v>
      </c>
      <c r="J20" s="1113">
        <f t="shared" si="3"/>
        <v>1210727895</v>
      </c>
      <c r="K20" s="1678">
        <f t="shared" ref="K20" si="4">+K21+K22+K23+K24</f>
        <v>0</v>
      </c>
      <c r="L20" s="1679">
        <f t="shared" si="1"/>
        <v>76.989706867875839</v>
      </c>
      <c r="M20" s="154"/>
    </row>
    <row r="21" spans="1:13" s="26" customFormat="1" ht="12.2" customHeight="1" x14ac:dyDescent="0.2">
      <c r="A21" s="12" t="s">
        <v>154</v>
      </c>
      <c r="B21" s="73" t="s">
        <v>159</v>
      </c>
      <c r="C21" s="567"/>
      <c r="D21" s="114"/>
      <c r="E21" s="114"/>
      <c r="F21" s="1692"/>
      <c r="G21" s="114"/>
      <c r="H21" s="626">
        <f t="shared" si="2"/>
        <v>0</v>
      </c>
      <c r="I21" s="1441"/>
      <c r="J21" s="114"/>
      <c r="K21" s="1455"/>
      <c r="L21" s="1466" t="str">
        <f t="shared" si="1"/>
        <v/>
      </c>
      <c r="M21" s="154"/>
    </row>
    <row r="22" spans="1:13" s="26" customFormat="1" ht="12.2" customHeight="1" x14ac:dyDescent="0.2">
      <c r="A22" s="12" t="s">
        <v>156</v>
      </c>
      <c r="B22" s="345" t="s">
        <v>190</v>
      </c>
      <c r="C22" s="568"/>
      <c r="D22" s="401"/>
      <c r="E22" s="401"/>
      <c r="F22" s="1693"/>
      <c r="G22" s="401"/>
      <c r="H22" s="627">
        <f t="shared" si="2"/>
        <v>0</v>
      </c>
      <c r="I22" s="1442"/>
      <c r="J22" s="401"/>
      <c r="K22" s="1456"/>
      <c r="L22" s="1467" t="str">
        <f t="shared" si="1"/>
        <v/>
      </c>
      <c r="M22" s="154"/>
    </row>
    <row r="23" spans="1:13" s="26" customFormat="1" ht="12.2" customHeight="1" x14ac:dyDescent="0.2">
      <c r="A23" s="12" t="s">
        <v>276</v>
      </c>
      <c r="B23" s="345" t="s">
        <v>191</v>
      </c>
      <c r="C23" s="568"/>
      <c r="D23" s="401"/>
      <c r="E23" s="401"/>
      <c r="F23" s="1693"/>
      <c r="G23" s="401"/>
      <c r="H23" s="627">
        <f t="shared" si="2"/>
        <v>0</v>
      </c>
      <c r="I23" s="1442"/>
      <c r="J23" s="401"/>
      <c r="K23" s="1456"/>
      <c r="L23" s="1467" t="str">
        <f t="shared" si="1"/>
        <v/>
      </c>
      <c r="M23" s="154"/>
    </row>
    <row r="24" spans="1:13" s="26" customFormat="1" ht="12.2" customHeight="1" x14ac:dyDescent="0.2">
      <c r="A24" s="12" t="s">
        <v>595</v>
      </c>
      <c r="B24" s="345" t="s">
        <v>192</v>
      </c>
      <c r="C24" s="568">
        <v>24470181</v>
      </c>
      <c r="D24" s="401">
        <f>24470181+609383+4791735+11698119</f>
        <v>41569418</v>
      </c>
      <c r="E24" s="401">
        <f>41569418</f>
        <v>41569418</v>
      </c>
      <c r="F24" s="1693">
        <v>41569418</v>
      </c>
      <c r="G24" s="401"/>
      <c r="H24" s="627">
        <f t="shared" si="2"/>
        <v>0</v>
      </c>
      <c r="I24" s="1442"/>
      <c r="J24" s="401">
        <v>37147437</v>
      </c>
      <c r="K24" s="1456"/>
      <c r="L24" s="1467">
        <f t="shared" si="1"/>
        <v>89.362417823602925</v>
      </c>
      <c r="M24" s="154"/>
    </row>
    <row r="25" spans="1:13" s="54" customFormat="1" ht="12.2" customHeight="1" thickBot="1" x14ac:dyDescent="0.25">
      <c r="A25" s="12" t="s">
        <v>596</v>
      </c>
      <c r="B25" s="496" t="s">
        <v>643</v>
      </c>
      <c r="C25" s="569"/>
      <c r="D25" s="504">
        <v>16489854</v>
      </c>
      <c r="E25" s="1451">
        <v>16489854</v>
      </c>
      <c r="F25" s="1694">
        <v>16489854</v>
      </c>
      <c r="G25" s="504"/>
      <c r="H25" s="629">
        <f t="shared" si="2"/>
        <v>0</v>
      </c>
      <c r="I25" s="1443"/>
      <c r="J25" s="1694">
        <v>16489854</v>
      </c>
      <c r="K25" s="1457"/>
      <c r="L25" s="1468">
        <f t="shared" si="1"/>
        <v>100</v>
      </c>
      <c r="M25" s="154"/>
    </row>
    <row r="26" spans="1:13" s="54" customFormat="1" ht="12.2" customHeight="1" thickBot="1" x14ac:dyDescent="0.25">
      <c r="A26" s="14" t="s">
        <v>13</v>
      </c>
      <c r="B26" s="72" t="s">
        <v>597</v>
      </c>
      <c r="C26" s="566">
        <f t="shared" ref="C26:K26" si="5">+C27+C28+C29+C30</f>
        <v>0</v>
      </c>
      <c r="D26" s="113">
        <f t="shared" si="5"/>
        <v>229697587</v>
      </c>
      <c r="E26" s="113">
        <f t="shared" si="5"/>
        <v>229697587</v>
      </c>
      <c r="F26" s="1691">
        <f t="shared" si="5"/>
        <v>229697587</v>
      </c>
      <c r="G26" s="186">
        <f t="shared" si="5"/>
        <v>0</v>
      </c>
      <c r="H26" s="628">
        <f t="shared" si="2"/>
        <v>0</v>
      </c>
      <c r="I26" s="1440">
        <f t="shared" si="5"/>
        <v>0</v>
      </c>
      <c r="J26" s="113">
        <f t="shared" si="5"/>
        <v>229697587</v>
      </c>
      <c r="K26" s="1454">
        <f t="shared" si="5"/>
        <v>0</v>
      </c>
      <c r="L26" s="1465">
        <f t="shared" si="1"/>
        <v>100</v>
      </c>
      <c r="M26" s="154"/>
    </row>
    <row r="27" spans="1:13" s="54" customFormat="1" ht="12.2" customHeight="1" x14ac:dyDescent="0.2">
      <c r="A27" s="12" t="s">
        <v>94</v>
      </c>
      <c r="B27" s="716" t="s">
        <v>193</v>
      </c>
      <c r="C27" s="567"/>
      <c r="D27" s="114"/>
      <c r="E27" s="114"/>
      <c r="F27" s="1692"/>
      <c r="G27" s="114"/>
      <c r="H27" s="626">
        <f t="shared" si="2"/>
        <v>0</v>
      </c>
      <c r="I27" s="1441"/>
      <c r="J27" s="114"/>
      <c r="K27" s="1455"/>
      <c r="L27" s="1466" t="str">
        <f t="shared" si="1"/>
        <v/>
      </c>
      <c r="M27" s="154"/>
    </row>
    <row r="28" spans="1:13" s="54" customFormat="1" ht="12.2" customHeight="1" x14ac:dyDescent="0.2">
      <c r="A28" s="1003" t="s">
        <v>95</v>
      </c>
      <c r="B28" s="717" t="s">
        <v>194</v>
      </c>
      <c r="C28" s="568"/>
      <c r="D28" s="401"/>
      <c r="E28" s="401"/>
      <c r="F28" s="1693"/>
      <c r="G28" s="401"/>
      <c r="H28" s="627">
        <f t="shared" si="2"/>
        <v>0</v>
      </c>
      <c r="I28" s="1442"/>
      <c r="J28" s="401"/>
      <c r="K28" s="1456"/>
      <c r="L28" s="1467" t="str">
        <f t="shared" si="1"/>
        <v/>
      </c>
      <c r="M28" s="154"/>
    </row>
    <row r="29" spans="1:13" s="54" customFormat="1" ht="12.2" customHeight="1" x14ac:dyDescent="0.2">
      <c r="A29" s="1003" t="s">
        <v>96</v>
      </c>
      <c r="B29" s="717" t="s">
        <v>196</v>
      </c>
      <c r="C29" s="568"/>
      <c r="D29" s="401"/>
      <c r="E29" s="401"/>
      <c r="F29" s="1693"/>
      <c r="G29" s="401"/>
      <c r="H29" s="627">
        <f t="shared" si="2"/>
        <v>0</v>
      </c>
      <c r="I29" s="1442"/>
      <c r="J29" s="401"/>
      <c r="K29" s="1456"/>
      <c r="L29" s="1467" t="str">
        <f t="shared" si="1"/>
        <v/>
      </c>
      <c r="M29" s="155"/>
    </row>
    <row r="30" spans="1:13" s="54" customFormat="1" ht="12.2" customHeight="1" x14ac:dyDescent="0.2">
      <c r="A30" s="1003" t="s">
        <v>97</v>
      </c>
      <c r="B30" s="717" t="s">
        <v>197</v>
      </c>
      <c r="C30" s="568"/>
      <c r="D30" s="401">
        <f>56894300+172803287</f>
        <v>229697587</v>
      </c>
      <c r="E30" s="401">
        <v>229697587</v>
      </c>
      <c r="F30" s="1693">
        <v>229697587</v>
      </c>
      <c r="G30" s="401"/>
      <c r="H30" s="627">
        <f t="shared" si="2"/>
        <v>0</v>
      </c>
      <c r="I30" s="1442"/>
      <c r="J30" s="401">
        <v>229697587</v>
      </c>
      <c r="K30" s="1456"/>
      <c r="L30" s="1467">
        <f t="shared" si="1"/>
        <v>100</v>
      </c>
      <c r="M30" s="155"/>
    </row>
    <row r="31" spans="1:13" s="54" customFormat="1" ht="12.2" customHeight="1" thickBot="1" x14ac:dyDescent="0.25">
      <c r="A31" s="1005" t="s">
        <v>321</v>
      </c>
      <c r="B31" s="496" t="s">
        <v>273</v>
      </c>
      <c r="C31" s="569"/>
      <c r="D31" s="401">
        <f>56894300+172803287</f>
        <v>229697587</v>
      </c>
      <c r="E31" s="1451">
        <v>229697587</v>
      </c>
      <c r="F31" s="1694">
        <v>229697587</v>
      </c>
      <c r="G31" s="504"/>
      <c r="H31" s="629">
        <f t="shared" si="2"/>
        <v>0</v>
      </c>
      <c r="I31" s="1443"/>
      <c r="J31" s="401">
        <v>229697587</v>
      </c>
      <c r="K31" s="1457"/>
      <c r="L31" s="1468">
        <f t="shared" si="1"/>
        <v>100</v>
      </c>
      <c r="M31" s="155"/>
    </row>
    <row r="32" spans="1:13" s="54" customFormat="1" ht="12.2" customHeight="1" thickBot="1" x14ac:dyDescent="0.25">
      <c r="A32" s="14" t="s">
        <v>625</v>
      </c>
      <c r="B32" s="72" t="s">
        <v>598</v>
      </c>
      <c r="C32" s="532">
        <f t="shared" ref="C32:K32" si="6">C33+C35+C37+C38+C41</f>
        <v>3877000000</v>
      </c>
      <c r="D32" s="1023">
        <f t="shared" si="6"/>
        <v>3877000000</v>
      </c>
      <c r="E32" s="1023">
        <f>E33+E35+E37+E38+E41</f>
        <v>5377000000</v>
      </c>
      <c r="F32" s="1696">
        <f t="shared" si="6"/>
        <v>5377000000</v>
      </c>
      <c r="G32" s="187">
        <f t="shared" si="6"/>
        <v>0</v>
      </c>
      <c r="H32" s="638">
        <f t="shared" si="2"/>
        <v>1500000000</v>
      </c>
      <c r="I32" s="1444">
        <f t="shared" si="6"/>
        <v>0</v>
      </c>
      <c r="J32" s="1023">
        <f t="shared" si="6"/>
        <v>5896649464</v>
      </c>
      <c r="K32" s="624">
        <f t="shared" si="6"/>
        <v>0</v>
      </c>
      <c r="L32" s="1469">
        <f t="shared" si="1"/>
        <v>109.66430098567974</v>
      </c>
      <c r="M32" s="155"/>
    </row>
    <row r="33" spans="1:13" s="54" customFormat="1" ht="12.2" customHeight="1" x14ac:dyDescent="0.2">
      <c r="A33" s="12" t="s">
        <v>98</v>
      </c>
      <c r="B33" s="716" t="s">
        <v>278</v>
      </c>
      <c r="C33" s="570">
        <f t="shared" ref="C33:K33" si="7">C34</f>
        <v>650000000</v>
      </c>
      <c r="D33" s="115">
        <f t="shared" si="7"/>
        <v>650000000</v>
      </c>
      <c r="E33" s="115">
        <f t="shared" si="7"/>
        <v>650000000</v>
      </c>
      <c r="F33" s="1697">
        <f t="shared" si="7"/>
        <v>650000000</v>
      </c>
      <c r="G33" s="115">
        <f t="shared" si="7"/>
        <v>0</v>
      </c>
      <c r="H33" s="637">
        <f t="shared" si="2"/>
        <v>0</v>
      </c>
      <c r="I33" s="1445">
        <f t="shared" si="7"/>
        <v>0</v>
      </c>
      <c r="J33" s="115">
        <f t="shared" si="7"/>
        <v>667954053</v>
      </c>
      <c r="K33" s="1458">
        <f t="shared" si="7"/>
        <v>0</v>
      </c>
      <c r="L33" s="1470">
        <f t="shared" si="1"/>
        <v>102.76216199999999</v>
      </c>
      <c r="M33" s="155"/>
    </row>
    <row r="34" spans="1:13" s="54" customFormat="1" ht="12.2" customHeight="1" x14ac:dyDescent="0.2">
      <c r="A34" s="1003" t="s">
        <v>599</v>
      </c>
      <c r="B34" s="717" t="s">
        <v>230</v>
      </c>
      <c r="C34" s="568">
        <v>650000000</v>
      </c>
      <c r="D34" s="401">
        <v>650000000</v>
      </c>
      <c r="E34" s="401">
        <v>650000000</v>
      </c>
      <c r="F34" s="1693">
        <v>650000000</v>
      </c>
      <c r="G34" s="401"/>
      <c r="H34" s="627">
        <f t="shared" si="2"/>
        <v>0</v>
      </c>
      <c r="I34" s="1442"/>
      <c r="J34" s="401">
        <v>667954053</v>
      </c>
      <c r="K34" s="1456"/>
      <c r="L34" s="1467">
        <f t="shared" si="1"/>
        <v>102.76216199999999</v>
      </c>
      <c r="M34" s="155"/>
    </row>
    <row r="35" spans="1:13" s="54" customFormat="1" ht="12.2" customHeight="1" x14ac:dyDescent="0.2">
      <c r="A35" s="1003" t="s">
        <v>99</v>
      </c>
      <c r="B35" s="716" t="s">
        <v>279</v>
      </c>
      <c r="C35" s="568">
        <f t="shared" ref="C35:K35" si="8">C36</f>
        <v>3200000000</v>
      </c>
      <c r="D35" s="401">
        <f t="shared" si="8"/>
        <v>3200000000</v>
      </c>
      <c r="E35" s="401">
        <f t="shared" si="8"/>
        <v>4700000000</v>
      </c>
      <c r="F35" s="1693">
        <f t="shared" si="8"/>
        <v>4700000000</v>
      </c>
      <c r="G35" s="401">
        <f t="shared" si="8"/>
        <v>0</v>
      </c>
      <c r="H35" s="627">
        <f t="shared" si="2"/>
        <v>1500000000</v>
      </c>
      <c r="I35" s="1442">
        <f t="shared" si="8"/>
        <v>0</v>
      </c>
      <c r="J35" s="401">
        <f t="shared" si="8"/>
        <v>5199156612</v>
      </c>
      <c r="K35" s="1456">
        <f t="shared" si="8"/>
        <v>0</v>
      </c>
      <c r="L35" s="1467">
        <f t="shared" si="1"/>
        <v>110.62035344680852</v>
      </c>
      <c r="M35" s="155"/>
    </row>
    <row r="36" spans="1:13" s="54" customFormat="1" ht="12.2" customHeight="1" x14ac:dyDescent="0.2">
      <c r="A36" s="1003" t="s">
        <v>600</v>
      </c>
      <c r="B36" s="717" t="s">
        <v>280</v>
      </c>
      <c r="C36" s="568">
        <f>200000000+3000000000</f>
        <v>3200000000</v>
      </c>
      <c r="D36" s="401">
        <v>3200000000</v>
      </c>
      <c r="E36" s="401">
        <f>3200000000+1500000000</f>
        <v>4700000000</v>
      </c>
      <c r="F36" s="1693">
        <v>4700000000</v>
      </c>
      <c r="G36" s="401"/>
      <c r="H36" s="627">
        <f t="shared" si="2"/>
        <v>1500000000</v>
      </c>
      <c r="I36" s="1442"/>
      <c r="J36" s="401">
        <v>5199156612</v>
      </c>
      <c r="K36" s="1456"/>
      <c r="L36" s="1467">
        <f t="shared" si="1"/>
        <v>110.62035344680852</v>
      </c>
      <c r="M36" s="155"/>
    </row>
    <row r="37" spans="1:13" s="54" customFormat="1" ht="12.2" customHeight="1" x14ac:dyDescent="0.2">
      <c r="A37" s="1003" t="s">
        <v>106</v>
      </c>
      <c r="B37" s="717" t="s">
        <v>198</v>
      </c>
      <c r="C37" s="568"/>
      <c r="D37" s="401"/>
      <c r="E37" s="401"/>
      <c r="F37" s="1693"/>
      <c r="G37" s="401"/>
      <c r="H37" s="627">
        <f t="shared" si="2"/>
        <v>0</v>
      </c>
      <c r="I37" s="1442"/>
      <c r="J37" s="401"/>
      <c r="K37" s="1456"/>
      <c r="L37" s="1467" t="str">
        <f t="shared" si="1"/>
        <v/>
      </c>
      <c r="M37" s="155"/>
    </row>
    <row r="38" spans="1:13" s="54" customFormat="1" ht="12.2" customHeight="1" x14ac:dyDescent="0.2">
      <c r="A38" s="1003" t="s">
        <v>195</v>
      </c>
      <c r="B38" s="717" t="s">
        <v>199</v>
      </c>
      <c r="C38" s="568">
        <f t="shared" ref="C38:K38" si="9">SUM(C39:C40)</f>
        <v>12000000</v>
      </c>
      <c r="D38" s="401">
        <f t="shared" si="9"/>
        <v>12000000</v>
      </c>
      <c r="E38" s="401">
        <f t="shared" si="9"/>
        <v>12000000</v>
      </c>
      <c r="F38" s="1693">
        <f t="shared" si="9"/>
        <v>12000000</v>
      </c>
      <c r="G38" s="401">
        <f t="shared" si="9"/>
        <v>0</v>
      </c>
      <c r="H38" s="627">
        <f t="shared" si="2"/>
        <v>0</v>
      </c>
      <c r="I38" s="1442">
        <f t="shared" si="9"/>
        <v>0</v>
      </c>
      <c r="J38" s="401">
        <f t="shared" si="9"/>
        <v>12566010</v>
      </c>
      <c r="K38" s="1456">
        <f t="shared" si="9"/>
        <v>0</v>
      </c>
      <c r="L38" s="1467">
        <f t="shared" si="1"/>
        <v>104.71675</v>
      </c>
      <c r="M38" s="155"/>
    </row>
    <row r="39" spans="1:13" s="54" customFormat="1" ht="12.2" customHeight="1" x14ac:dyDescent="0.2">
      <c r="A39" s="1005" t="s">
        <v>322</v>
      </c>
      <c r="B39" s="717" t="s">
        <v>231</v>
      </c>
      <c r="C39" s="569">
        <v>12000000</v>
      </c>
      <c r="D39" s="504">
        <v>12000000</v>
      </c>
      <c r="E39" s="1451">
        <v>12000000</v>
      </c>
      <c r="F39" s="1694">
        <v>12000000</v>
      </c>
      <c r="G39" s="504"/>
      <c r="H39" s="629">
        <f t="shared" si="2"/>
        <v>0</v>
      </c>
      <c r="I39" s="1443"/>
      <c r="J39" s="1451">
        <v>12566010</v>
      </c>
      <c r="K39" s="1457"/>
      <c r="L39" s="1468">
        <f t="shared" si="1"/>
        <v>104.71675</v>
      </c>
      <c r="M39" s="155"/>
    </row>
    <row r="40" spans="1:13" s="54" customFormat="1" ht="12.2" customHeight="1" x14ac:dyDescent="0.2">
      <c r="A40" s="1005" t="s">
        <v>601</v>
      </c>
      <c r="B40" s="717" t="s">
        <v>792</v>
      </c>
      <c r="C40" s="569"/>
      <c r="D40" s="504"/>
      <c r="E40" s="1451"/>
      <c r="F40" s="1694"/>
      <c r="G40" s="504"/>
      <c r="H40" s="629">
        <f t="shared" si="2"/>
        <v>0</v>
      </c>
      <c r="I40" s="1443"/>
      <c r="J40" s="1451"/>
      <c r="K40" s="1457"/>
      <c r="L40" s="1468" t="str">
        <f t="shared" si="1"/>
        <v/>
      </c>
      <c r="M40" s="155"/>
    </row>
    <row r="41" spans="1:13" s="54" customFormat="1" ht="12.2" customHeight="1" thickBot="1" x14ac:dyDescent="0.25">
      <c r="A41" s="1005" t="s">
        <v>602</v>
      </c>
      <c r="B41" s="496" t="s">
        <v>118</v>
      </c>
      <c r="C41" s="569">
        <v>15000000</v>
      </c>
      <c r="D41" s="504">
        <v>15000000</v>
      </c>
      <c r="E41" s="1451">
        <v>15000000</v>
      </c>
      <c r="F41" s="1694">
        <v>15000000</v>
      </c>
      <c r="G41" s="504"/>
      <c r="H41" s="629">
        <f t="shared" si="2"/>
        <v>0</v>
      </c>
      <c r="I41" s="1443"/>
      <c r="J41" s="1451">
        <v>16972789</v>
      </c>
      <c r="K41" s="1457"/>
      <c r="L41" s="1468">
        <f t="shared" si="1"/>
        <v>113.15192666666667</v>
      </c>
      <c r="M41" s="155"/>
    </row>
    <row r="42" spans="1:13" s="54" customFormat="1" ht="12.2" customHeight="1" thickBot="1" x14ac:dyDescent="0.25">
      <c r="A42" s="14" t="s">
        <v>15</v>
      </c>
      <c r="B42" s="72" t="s">
        <v>626</v>
      </c>
      <c r="C42" s="566">
        <f t="shared" ref="C42:K42" si="10">SUM(C43:C53)</f>
        <v>422833371</v>
      </c>
      <c r="D42" s="113">
        <f t="shared" si="10"/>
        <v>422833371</v>
      </c>
      <c r="E42" s="113">
        <f t="shared" si="10"/>
        <v>672833371</v>
      </c>
      <c r="F42" s="1691">
        <f t="shared" si="10"/>
        <v>672833371</v>
      </c>
      <c r="G42" s="186">
        <f t="shared" si="10"/>
        <v>0</v>
      </c>
      <c r="H42" s="628">
        <f t="shared" si="2"/>
        <v>250000000</v>
      </c>
      <c r="I42" s="1440">
        <f t="shared" si="10"/>
        <v>0</v>
      </c>
      <c r="J42" s="113">
        <f t="shared" si="10"/>
        <v>651797854</v>
      </c>
      <c r="K42" s="1454">
        <f t="shared" si="10"/>
        <v>0</v>
      </c>
      <c r="L42" s="1465">
        <f t="shared" si="1"/>
        <v>96.873591901552686</v>
      </c>
      <c r="M42" s="155"/>
    </row>
    <row r="43" spans="1:13" s="54" customFormat="1" ht="12.2" customHeight="1" x14ac:dyDescent="0.2">
      <c r="A43" s="12" t="s">
        <v>100</v>
      </c>
      <c r="B43" s="716" t="s">
        <v>143</v>
      </c>
      <c r="C43" s="567"/>
      <c r="D43" s="114"/>
      <c r="E43" s="114"/>
      <c r="F43" s="1692"/>
      <c r="G43" s="114"/>
      <c r="H43" s="626">
        <f t="shared" si="2"/>
        <v>0</v>
      </c>
      <c r="I43" s="1441"/>
      <c r="J43" s="114"/>
      <c r="K43" s="1455"/>
      <c r="L43" s="1466" t="str">
        <f t="shared" si="1"/>
        <v/>
      </c>
      <c r="M43" s="155"/>
    </row>
    <row r="44" spans="1:13" s="54" customFormat="1" ht="12.2" customHeight="1" x14ac:dyDescent="0.2">
      <c r="A44" s="1003" t="s">
        <v>101</v>
      </c>
      <c r="B44" s="717" t="s">
        <v>144</v>
      </c>
      <c r="C44" s="568">
        <f>294000+1552800+2000000+15000000</f>
        <v>18846800</v>
      </c>
      <c r="D44" s="401">
        <v>18846800</v>
      </c>
      <c r="E44" s="401">
        <v>18846800</v>
      </c>
      <c r="F44" s="1693">
        <v>18846800</v>
      </c>
      <c r="G44" s="401"/>
      <c r="H44" s="627">
        <f t="shared" si="2"/>
        <v>0</v>
      </c>
      <c r="I44" s="1442"/>
      <c r="J44" s="401">
        <v>10313564</v>
      </c>
      <c r="K44" s="1456"/>
      <c r="L44" s="1467">
        <f t="shared" ref="L44:L75" si="11">IF(F44=0,"",J44/F44*100)</f>
        <v>54.723157246853582</v>
      </c>
      <c r="M44" s="155"/>
    </row>
    <row r="45" spans="1:13" s="54" customFormat="1" ht="12.2" customHeight="1" x14ac:dyDescent="0.2">
      <c r="A45" s="1003" t="s">
        <v>164</v>
      </c>
      <c r="B45" s="717" t="s">
        <v>274</v>
      </c>
      <c r="C45" s="568">
        <v>2349696</v>
      </c>
      <c r="D45" s="401">
        <v>2349696</v>
      </c>
      <c r="E45" s="401">
        <v>2349696</v>
      </c>
      <c r="F45" s="1693">
        <v>2349696</v>
      </c>
      <c r="G45" s="401"/>
      <c r="H45" s="627">
        <f t="shared" si="2"/>
        <v>0</v>
      </c>
      <c r="I45" s="1442"/>
      <c r="J45" s="401">
        <v>1958429</v>
      </c>
      <c r="K45" s="1456"/>
      <c r="L45" s="1467">
        <f t="shared" si="11"/>
        <v>83.348186318570569</v>
      </c>
      <c r="M45" s="155"/>
    </row>
    <row r="46" spans="1:13" s="54" customFormat="1" ht="12.2" customHeight="1" x14ac:dyDescent="0.2">
      <c r="A46" s="1003" t="s">
        <v>200</v>
      </c>
      <c r="B46" s="717" t="s">
        <v>146</v>
      </c>
      <c r="C46" s="568">
        <v>78517110</v>
      </c>
      <c r="D46" s="401">
        <v>78517110</v>
      </c>
      <c r="E46" s="401">
        <v>78517110</v>
      </c>
      <c r="F46" s="1693">
        <v>78517110</v>
      </c>
      <c r="G46" s="401"/>
      <c r="H46" s="627">
        <f t="shared" si="2"/>
        <v>0</v>
      </c>
      <c r="I46" s="1442"/>
      <c r="J46" s="401">
        <v>28556024</v>
      </c>
      <c r="K46" s="1456"/>
      <c r="L46" s="1467">
        <f t="shared" si="11"/>
        <v>36.36917354701415</v>
      </c>
      <c r="M46" s="155"/>
    </row>
    <row r="47" spans="1:13" s="54" customFormat="1" ht="12.2" customHeight="1" x14ac:dyDescent="0.2">
      <c r="A47" s="1003" t="s">
        <v>282</v>
      </c>
      <c r="B47" s="717" t="s">
        <v>148</v>
      </c>
      <c r="C47" s="568"/>
      <c r="D47" s="401"/>
      <c r="E47" s="401"/>
      <c r="F47" s="1693"/>
      <c r="G47" s="401"/>
      <c r="H47" s="627">
        <f t="shared" si="2"/>
        <v>0</v>
      </c>
      <c r="I47" s="1442"/>
      <c r="J47" s="401"/>
      <c r="K47" s="1456"/>
      <c r="L47" s="1467" t="str">
        <f t="shared" si="11"/>
        <v/>
      </c>
      <c r="M47" s="155"/>
    </row>
    <row r="48" spans="1:13" s="54" customFormat="1" ht="12.2" customHeight="1" x14ac:dyDescent="0.2">
      <c r="A48" s="1003" t="s">
        <v>603</v>
      </c>
      <c r="B48" s="717" t="s">
        <v>203</v>
      </c>
      <c r="C48" s="568">
        <v>41077765</v>
      </c>
      <c r="D48" s="401">
        <v>41077765</v>
      </c>
      <c r="E48" s="401">
        <v>41077765</v>
      </c>
      <c r="F48" s="1693">
        <v>41077765</v>
      </c>
      <c r="G48" s="401"/>
      <c r="H48" s="627">
        <f t="shared" si="2"/>
        <v>0</v>
      </c>
      <c r="I48" s="1442"/>
      <c r="J48" s="401">
        <v>20271354</v>
      </c>
      <c r="K48" s="1456"/>
      <c r="L48" s="1467">
        <f t="shared" si="11"/>
        <v>49.348726738175749</v>
      </c>
      <c r="M48" s="155"/>
    </row>
    <row r="49" spans="1:13" s="54" customFormat="1" ht="12.2" customHeight="1" x14ac:dyDescent="0.2">
      <c r="A49" s="1003" t="s">
        <v>604</v>
      </c>
      <c r="B49" s="717" t="s">
        <v>204</v>
      </c>
      <c r="C49" s="568"/>
      <c r="D49" s="401"/>
      <c r="E49" s="401"/>
      <c r="F49" s="1693"/>
      <c r="G49" s="401"/>
      <c r="H49" s="627">
        <f t="shared" si="2"/>
        <v>0</v>
      </c>
      <c r="I49" s="1442"/>
      <c r="J49" s="401"/>
      <c r="K49" s="1456"/>
      <c r="L49" s="1467" t="str">
        <f t="shared" si="11"/>
        <v/>
      </c>
      <c r="M49" s="155"/>
    </row>
    <row r="50" spans="1:13" s="54" customFormat="1" ht="12.2" customHeight="1" x14ac:dyDescent="0.2">
      <c r="A50" s="1003" t="s">
        <v>605</v>
      </c>
      <c r="B50" s="717" t="s">
        <v>302</v>
      </c>
      <c r="C50" s="568">
        <v>280630000</v>
      </c>
      <c r="D50" s="401">
        <v>280630000</v>
      </c>
      <c r="E50" s="401">
        <f>280630000+250000000</f>
        <v>530630000</v>
      </c>
      <c r="F50" s="1693">
        <v>530630000</v>
      </c>
      <c r="G50" s="401"/>
      <c r="H50" s="627">
        <f t="shared" si="2"/>
        <v>250000000</v>
      </c>
      <c r="I50" s="1442"/>
      <c r="J50" s="401">
        <f>65737700+513618454</f>
        <v>579356154</v>
      </c>
      <c r="K50" s="1456"/>
      <c r="L50" s="1467">
        <f t="shared" si="11"/>
        <v>109.18269867892883</v>
      </c>
      <c r="M50" s="155"/>
    </row>
    <row r="51" spans="1:13" s="54" customFormat="1" ht="12.2" customHeight="1" x14ac:dyDescent="0.2">
      <c r="A51" s="1003" t="s">
        <v>606</v>
      </c>
      <c r="B51" s="717" t="s">
        <v>155</v>
      </c>
      <c r="C51" s="568"/>
      <c r="D51" s="401"/>
      <c r="E51" s="401"/>
      <c r="F51" s="1693"/>
      <c r="G51" s="401"/>
      <c r="H51" s="627">
        <f t="shared" si="2"/>
        <v>0</v>
      </c>
      <c r="I51" s="1442"/>
      <c r="J51" s="401"/>
      <c r="K51" s="1456"/>
      <c r="L51" s="1467" t="str">
        <f t="shared" si="11"/>
        <v/>
      </c>
      <c r="M51" s="155"/>
    </row>
    <row r="52" spans="1:13" s="54" customFormat="1" ht="12.2" customHeight="1" x14ac:dyDescent="0.2">
      <c r="A52" s="1005" t="s">
        <v>607</v>
      </c>
      <c r="B52" s="496" t="s">
        <v>275</v>
      </c>
      <c r="C52" s="568"/>
      <c r="D52" s="401"/>
      <c r="E52" s="401"/>
      <c r="F52" s="1693"/>
      <c r="G52" s="401"/>
      <c r="H52" s="627">
        <f t="shared" si="2"/>
        <v>0</v>
      </c>
      <c r="I52" s="1442"/>
      <c r="J52" s="401"/>
      <c r="K52" s="1456"/>
      <c r="L52" s="1467" t="str">
        <f t="shared" si="11"/>
        <v/>
      </c>
      <c r="M52" s="155"/>
    </row>
    <row r="53" spans="1:13" s="54" customFormat="1" ht="12.2" customHeight="1" thickBot="1" x14ac:dyDescent="0.25">
      <c r="A53" s="1005" t="s">
        <v>608</v>
      </c>
      <c r="B53" s="496" t="s">
        <v>157</v>
      </c>
      <c r="C53" s="568">
        <v>1412000</v>
      </c>
      <c r="D53" s="401">
        <v>1412000</v>
      </c>
      <c r="E53" s="401">
        <v>1412000</v>
      </c>
      <c r="F53" s="1693">
        <v>1412000</v>
      </c>
      <c r="G53" s="401"/>
      <c r="H53" s="627">
        <f t="shared" si="2"/>
        <v>0</v>
      </c>
      <c r="I53" s="1442"/>
      <c r="J53" s="401">
        <v>11342329</v>
      </c>
      <c r="K53" s="1456"/>
      <c r="L53" s="1467">
        <f t="shared" si="11"/>
        <v>803.28109065155809</v>
      </c>
      <c r="M53" s="155"/>
    </row>
    <row r="54" spans="1:13" s="54" customFormat="1" ht="12.2" customHeight="1" thickBot="1" x14ac:dyDescent="0.25">
      <c r="A54" s="14" t="s">
        <v>16</v>
      </c>
      <c r="B54" s="72" t="s">
        <v>609</v>
      </c>
      <c r="C54" s="566">
        <f t="shared" ref="C54:K54" si="12">SUM(C55:C59)</f>
        <v>57720000</v>
      </c>
      <c r="D54" s="113">
        <f t="shared" si="12"/>
        <v>57720000</v>
      </c>
      <c r="E54" s="113">
        <f t="shared" si="12"/>
        <v>57720000</v>
      </c>
      <c r="F54" s="1691">
        <f t="shared" si="12"/>
        <v>57720000</v>
      </c>
      <c r="G54" s="186">
        <f t="shared" si="12"/>
        <v>0</v>
      </c>
      <c r="H54" s="628">
        <f t="shared" si="2"/>
        <v>0</v>
      </c>
      <c r="I54" s="1440">
        <f t="shared" si="12"/>
        <v>0</v>
      </c>
      <c r="J54" s="113">
        <f t="shared" si="12"/>
        <v>41066134</v>
      </c>
      <c r="K54" s="1454">
        <f t="shared" si="12"/>
        <v>0</v>
      </c>
      <c r="L54" s="1465">
        <f t="shared" si="11"/>
        <v>71.147148302148295</v>
      </c>
      <c r="M54" s="155"/>
    </row>
    <row r="55" spans="1:13" s="54" customFormat="1" ht="12.2" customHeight="1" x14ac:dyDescent="0.2">
      <c r="A55" s="12" t="s">
        <v>89</v>
      </c>
      <c r="B55" s="716" t="s">
        <v>167</v>
      </c>
      <c r="C55" s="572"/>
      <c r="D55" s="116"/>
      <c r="E55" s="116"/>
      <c r="F55" s="1698"/>
      <c r="G55" s="116"/>
      <c r="H55" s="668">
        <f t="shared" si="2"/>
        <v>0</v>
      </c>
      <c r="I55" s="1446"/>
      <c r="J55" s="116"/>
      <c r="K55" s="1459"/>
      <c r="L55" s="1471" t="str">
        <f t="shared" si="11"/>
        <v/>
      </c>
      <c r="M55" s="155"/>
    </row>
    <row r="56" spans="1:13" s="54" customFormat="1" ht="12.2" customHeight="1" x14ac:dyDescent="0.2">
      <c r="A56" s="1003" t="s">
        <v>102</v>
      </c>
      <c r="B56" s="717" t="s">
        <v>168</v>
      </c>
      <c r="C56" s="573">
        <v>57720000</v>
      </c>
      <c r="D56" s="402">
        <v>57720000</v>
      </c>
      <c r="E56" s="402">
        <v>57720000</v>
      </c>
      <c r="F56" s="1699">
        <v>57720000</v>
      </c>
      <c r="G56" s="402"/>
      <c r="H56" s="666">
        <f t="shared" si="2"/>
        <v>0</v>
      </c>
      <c r="I56" s="1447"/>
      <c r="J56" s="402">
        <v>41066134</v>
      </c>
      <c r="K56" s="1460"/>
      <c r="L56" s="1472">
        <f t="shared" si="11"/>
        <v>71.147148302148295</v>
      </c>
      <c r="M56" s="158"/>
    </row>
    <row r="57" spans="1:13" s="54" customFormat="1" ht="12.2" customHeight="1" x14ac:dyDescent="0.2">
      <c r="A57" s="1003" t="s">
        <v>103</v>
      </c>
      <c r="B57" s="717" t="s">
        <v>169</v>
      </c>
      <c r="C57" s="573"/>
      <c r="D57" s="402"/>
      <c r="E57" s="402"/>
      <c r="F57" s="1699"/>
      <c r="G57" s="402"/>
      <c r="H57" s="666">
        <f t="shared" si="2"/>
        <v>0</v>
      </c>
      <c r="I57" s="1447"/>
      <c r="J57" s="402"/>
      <c r="K57" s="1460"/>
      <c r="L57" s="1472" t="str">
        <f t="shared" si="11"/>
        <v/>
      </c>
      <c r="M57" s="155"/>
    </row>
    <row r="58" spans="1:13" s="54" customFormat="1" ht="12.2" customHeight="1" x14ac:dyDescent="0.2">
      <c r="A58" s="1003" t="s">
        <v>201</v>
      </c>
      <c r="B58" s="717" t="s">
        <v>207</v>
      </c>
      <c r="C58" s="573"/>
      <c r="D58" s="402"/>
      <c r="E58" s="402"/>
      <c r="F58" s="1699"/>
      <c r="G58" s="402"/>
      <c r="H58" s="666">
        <f t="shared" si="2"/>
        <v>0</v>
      </c>
      <c r="I58" s="1447"/>
      <c r="J58" s="402"/>
      <c r="K58" s="1460"/>
      <c r="L58" s="1472" t="str">
        <f t="shared" si="11"/>
        <v/>
      </c>
      <c r="M58" s="155"/>
    </row>
    <row r="59" spans="1:13" s="54" customFormat="1" ht="12.2" customHeight="1" thickBot="1" x14ac:dyDescent="0.25">
      <c r="A59" s="1005" t="s">
        <v>202</v>
      </c>
      <c r="B59" s="496" t="s">
        <v>209</v>
      </c>
      <c r="C59" s="571"/>
      <c r="D59" s="1029"/>
      <c r="E59" s="1452"/>
      <c r="F59" s="1700"/>
      <c r="G59" s="1029"/>
      <c r="H59" s="667">
        <f t="shared" si="2"/>
        <v>0</v>
      </c>
      <c r="I59" s="1448"/>
      <c r="J59" s="1452"/>
      <c r="K59" s="1461"/>
      <c r="L59" s="1473" t="str">
        <f t="shared" si="11"/>
        <v/>
      </c>
      <c r="M59" s="155"/>
    </row>
    <row r="60" spans="1:13" s="54" customFormat="1" ht="12.2" customHeight="1" thickBot="1" x14ac:dyDescent="0.25">
      <c r="A60" s="14" t="s">
        <v>17</v>
      </c>
      <c r="B60" s="72" t="s">
        <v>627</v>
      </c>
      <c r="C60" s="566">
        <f t="shared" ref="C60:K60" si="13">SUM(C61:C62)</f>
        <v>500000</v>
      </c>
      <c r="D60" s="113">
        <f t="shared" si="13"/>
        <v>500000</v>
      </c>
      <c r="E60" s="113">
        <f t="shared" si="13"/>
        <v>500000</v>
      </c>
      <c r="F60" s="1691">
        <f t="shared" si="13"/>
        <v>500000</v>
      </c>
      <c r="G60" s="186">
        <f t="shared" si="13"/>
        <v>0</v>
      </c>
      <c r="H60" s="628">
        <f t="shared" si="2"/>
        <v>0</v>
      </c>
      <c r="I60" s="1440">
        <f t="shared" si="13"/>
        <v>0</v>
      </c>
      <c r="J60" s="113">
        <f t="shared" si="13"/>
        <v>13636313</v>
      </c>
      <c r="K60" s="1454">
        <f t="shared" si="13"/>
        <v>0</v>
      </c>
      <c r="L60" s="1465">
        <f t="shared" si="11"/>
        <v>2727.2626</v>
      </c>
      <c r="M60" s="155"/>
    </row>
    <row r="61" spans="1:13" s="54" customFormat="1" ht="12.2" customHeight="1" x14ac:dyDescent="0.2">
      <c r="A61" s="1003" t="s">
        <v>104</v>
      </c>
      <c r="B61" s="717" t="s">
        <v>210</v>
      </c>
      <c r="C61" s="568"/>
      <c r="D61" s="401"/>
      <c r="E61" s="401"/>
      <c r="F61" s="1693"/>
      <c r="G61" s="401"/>
      <c r="H61" s="627">
        <f t="shared" si="2"/>
        <v>0</v>
      </c>
      <c r="I61" s="1442"/>
      <c r="J61" s="401"/>
      <c r="K61" s="1456"/>
      <c r="L61" s="1467" t="str">
        <f t="shared" si="11"/>
        <v/>
      </c>
      <c r="M61" s="155"/>
    </row>
    <row r="62" spans="1:13" s="54" customFormat="1" ht="12.2" customHeight="1" x14ac:dyDescent="0.2">
      <c r="A62" s="1003" t="s">
        <v>105</v>
      </c>
      <c r="B62" s="717" t="s">
        <v>211</v>
      </c>
      <c r="C62" s="568">
        <v>500000</v>
      </c>
      <c r="D62" s="401">
        <v>500000</v>
      </c>
      <c r="E62" s="401">
        <v>500000</v>
      </c>
      <c r="F62" s="1693">
        <v>500000</v>
      </c>
      <c r="G62" s="401"/>
      <c r="H62" s="627">
        <f t="shared" si="2"/>
        <v>0</v>
      </c>
      <c r="I62" s="1442"/>
      <c r="J62" s="401">
        <v>13636313</v>
      </c>
      <c r="K62" s="1456"/>
      <c r="L62" s="1467">
        <f t="shared" si="11"/>
        <v>2727.2626</v>
      </c>
      <c r="M62" s="155"/>
    </row>
    <row r="63" spans="1:13" s="54" customFormat="1" ht="12.2" customHeight="1" thickBot="1" x14ac:dyDescent="0.25">
      <c r="A63" s="1005" t="s">
        <v>610</v>
      </c>
      <c r="B63" s="496" t="s">
        <v>642</v>
      </c>
      <c r="C63" s="569"/>
      <c r="D63" s="504"/>
      <c r="E63" s="1451"/>
      <c r="F63" s="1694"/>
      <c r="G63" s="504"/>
      <c r="H63" s="629">
        <f t="shared" si="2"/>
        <v>0</v>
      </c>
      <c r="I63" s="1443"/>
      <c r="J63" s="1451"/>
      <c r="K63" s="1457"/>
      <c r="L63" s="1468" t="str">
        <f t="shared" si="11"/>
        <v/>
      </c>
      <c r="M63" s="155"/>
    </row>
    <row r="64" spans="1:13" s="54" customFormat="1" ht="12.2" customHeight="1" thickBot="1" x14ac:dyDescent="0.25">
      <c r="A64" s="14" t="s">
        <v>18</v>
      </c>
      <c r="B64" s="347" t="s">
        <v>380</v>
      </c>
      <c r="C64" s="566">
        <f t="shared" ref="C64:K64" si="14">SUM(C65:C66)</f>
        <v>22141000</v>
      </c>
      <c r="D64" s="113">
        <f t="shared" si="14"/>
        <v>22141000</v>
      </c>
      <c r="E64" s="113">
        <f t="shared" si="14"/>
        <v>22141000</v>
      </c>
      <c r="F64" s="1691">
        <f t="shared" si="14"/>
        <v>22141000</v>
      </c>
      <c r="G64" s="186">
        <f t="shared" si="14"/>
        <v>0</v>
      </c>
      <c r="H64" s="628">
        <f t="shared" si="2"/>
        <v>0</v>
      </c>
      <c r="I64" s="1440">
        <f t="shared" si="14"/>
        <v>0</v>
      </c>
      <c r="J64" s="113">
        <f t="shared" si="14"/>
        <v>22377406</v>
      </c>
      <c r="K64" s="1454">
        <f t="shared" si="14"/>
        <v>0</v>
      </c>
      <c r="L64" s="1465">
        <f t="shared" si="11"/>
        <v>101.06772955151078</v>
      </c>
      <c r="M64" s="155"/>
    </row>
    <row r="65" spans="1:14" s="54" customFormat="1" ht="12.2" customHeight="1" x14ac:dyDescent="0.2">
      <c r="A65" s="12" t="s">
        <v>107</v>
      </c>
      <c r="B65" s="717" t="s">
        <v>212</v>
      </c>
      <c r="C65" s="573">
        <f>4473000+13320000+4168000+180000</f>
        <v>22141000</v>
      </c>
      <c r="D65" s="402">
        <v>22141000</v>
      </c>
      <c r="E65" s="402">
        <v>22141000</v>
      </c>
      <c r="F65" s="1699">
        <v>22141000</v>
      </c>
      <c r="G65" s="402"/>
      <c r="H65" s="666">
        <f t="shared" si="2"/>
        <v>0</v>
      </c>
      <c r="I65" s="1447"/>
      <c r="J65" s="402">
        <v>22047644</v>
      </c>
      <c r="K65" s="1460"/>
      <c r="L65" s="1472">
        <f t="shared" si="11"/>
        <v>99.578356894449215</v>
      </c>
      <c r="M65" s="155"/>
    </row>
    <row r="66" spans="1:14" s="54" customFormat="1" ht="12.2" customHeight="1" x14ac:dyDescent="0.2">
      <c r="A66" s="1003" t="s">
        <v>108</v>
      </c>
      <c r="B66" s="717" t="s">
        <v>213</v>
      </c>
      <c r="C66" s="573"/>
      <c r="D66" s="402"/>
      <c r="E66" s="402"/>
      <c r="F66" s="1699"/>
      <c r="G66" s="402"/>
      <c r="H66" s="666">
        <f t="shared" si="2"/>
        <v>0</v>
      </c>
      <c r="I66" s="1447"/>
      <c r="J66" s="402">
        <v>329762</v>
      </c>
      <c r="K66" s="1460"/>
      <c r="L66" s="1472" t="str">
        <f t="shared" si="11"/>
        <v/>
      </c>
      <c r="M66" s="155"/>
    </row>
    <row r="67" spans="1:14" s="54" customFormat="1" ht="12.2" customHeight="1" thickBot="1" x14ac:dyDescent="0.25">
      <c r="A67" s="172" t="s">
        <v>323</v>
      </c>
      <c r="B67" s="718" t="s">
        <v>368</v>
      </c>
      <c r="C67" s="573"/>
      <c r="D67" s="402"/>
      <c r="E67" s="402"/>
      <c r="F67" s="1699"/>
      <c r="G67" s="402"/>
      <c r="H67" s="666">
        <f t="shared" si="2"/>
        <v>0</v>
      </c>
      <c r="I67" s="1447"/>
      <c r="J67" s="402"/>
      <c r="K67" s="1460"/>
      <c r="L67" s="1472" t="str">
        <f t="shared" si="11"/>
        <v/>
      </c>
      <c r="M67" s="155"/>
    </row>
    <row r="68" spans="1:14" s="54" customFormat="1" ht="12.2" customHeight="1" thickBot="1" x14ac:dyDescent="0.25">
      <c r="A68" s="348" t="s">
        <v>19</v>
      </c>
      <c r="B68" s="719" t="s">
        <v>628</v>
      </c>
      <c r="C68" s="532">
        <f>+C12+C26+C32+C42+C54+C60+C64</f>
        <v>5705893427</v>
      </c>
      <c r="D68" s="1023">
        <f t="shared" ref="D68:K68" si="15">+D12+D26+D32+D42+D54+D60+D64</f>
        <v>6158322790</v>
      </c>
      <c r="E68" s="1023">
        <f t="shared" si="15"/>
        <v>7965368772</v>
      </c>
      <c r="F68" s="1696">
        <f t="shared" si="15"/>
        <v>7974045484</v>
      </c>
      <c r="G68" s="187">
        <f t="shared" si="15"/>
        <v>0</v>
      </c>
      <c r="H68" s="638">
        <f t="shared" si="2"/>
        <v>1807045982</v>
      </c>
      <c r="I68" s="1444">
        <f t="shared" si="15"/>
        <v>0</v>
      </c>
      <c r="J68" s="1023">
        <f t="shared" si="15"/>
        <v>8103100090</v>
      </c>
      <c r="K68" s="624">
        <f t="shared" si="15"/>
        <v>0</v>
      </c>
      <c r="L68" s="1469">
        <f t="shared" si="11"/>
        <v>101.61843328156266</v>
      </c>
      <c r="M68" s="155"/>
    </row>
    <row r="69" spans="1:14" s="54" customFormat="1" ht="12.2" customHeight="1" thickBot="1" x14ac:dyDescent="0.25">
      <c r="A69" s="63" t="s">
        <v>20</v>
      </c>
      <c r="B69" s="347" t="s">
        <v>629</v>
      </c>
      <c r="C69" s="566">
        <f t="shared" ref="C69:K69" si="16">SUM(C70:C72)</f>
        <v>0</v>
      </c>
      <c r="D69" s="113">
        <f t="shared" si="16"/>
        <v>0</v>
      </c>
      <c r="E69" s="113">
        <f t="shared" si="16"/>
        <v>0</v>
      </c>
      <c r="F69" s="1691">
        <f t="shared" si="16"/>
        <v>0</v>
      </c>
      <c r="G69" s="186">
        <f t="shared" si="16"/>
        <v>0</v>
      </c>
      <c r="H69" s="628">
        <f t="shared" si="2"/>
        <v>0</v>
      </c>
      <c r="I69" s="1440">
        <f t="shared" si="16"/>
        <v>0</v>
      </c>
      <c r="J69" s="113">
        <f t="shared" si="16"/>
        <v>0</v>
      </c>
      <c r="K69" s="1454">
        <f t="shared" si="16"/>
        <v>0</v>
      </c>
      <c r="L69" s="1465" t="str">
        <f t="shared" si="11"/>
        <v/>
      </c>
      <c r="M69" s="155"/>
    </row>
    <row r="70" spans="1:14" s="54" customFormat="1" ht="12.2" customHeight="1" x14ac:dyDescent="0.2">
      <c r="A70" s="12" t="s">
        <v>171</v>
      </c>
      <c r="B70" s="716" t="s">
        <v>215</v>
      </c>
      <c r="C70" s="573"/>
      <c r="D70" s="402"/>
      <c r="E70" s="402"/>
      <c r="F70" s="1699"/>
      <c r="G70" s="402"/>
      <c r="H70" s="666">
        <f t="shared" si="2"/>
        <v>0</v>
      </c>
      <c r="I70" s="1447"/>
      <c r="J70" s="402"/>
      <c r="K70" s="1460"/>
      <c r="L70" s="1472" t="str">
        <f t="shared" si="11"/>
        <v/>
      </c>
      <c r="M70" s="155"/>
    </row>
    <row r="71" spans="1:14" s="54" customFormat="1" ht="12.2" customHeight="1" x14ac:dyDescent="0.2">
      <c r="A71" s="1003" t="s">
        <v>172</v>
      </c>
      <c r="B71" s="717" t="s">
        <v>324</v>
      </c>
      <c r="C71" s="573"/>
      <c r="D71" s="402"/>
      <c r="E71" s="402"/>
      <c r="F71" s="1699"/>
      <c r="G71" s="402"/>
      <c r="H71" s="666">
        <f t="shared" si="2"/>
        <v>0</v>
      </c>
      <c r="I71" s="1447"/>
      <c r="J71" s="402"/>
      <c r="K71" s="1460"/>
      <c r="L71" s="1472" t="str">
        <f t="shared" si="11"/>
        <v/>
      </c>
      <c r="M71" s="155"/>
    </row>
    <row r="72" spans="1:14" s="54" customFormat="1" ht="12.2" customHeight="1" thickBot="1" x14ac:dyDescent="0.25">
      <c r="A72" s="1005" t="s">
        <v>173</v>
      </c>
      <c r="B72" s="717" t="s">
        <v>513</v>
      </c>
      <c r="C72" s="1026"/>
      <c r="D72" s="143"/>
      <c r="E72" s="143"/>
      <c r="F72" s="1701"/>
      <c r="G72" s="143"/>
      <c r="H72" s="1115">
        <f t="shared" si="2"/>
        <v>0</v>
      </c>
      <c r="I72" s="1449"/>
      <c r="J72" s="143"/>
      <c r="K72" s="1462"/>
      <c r="L72" s="1474" t="str">
        <f t="shared" si="11"/>
        <v/>
      </c>
      <c r="M72" s="155"/>
    </row>
    <row r="73" spans="1:14" s="54" customFormat="1" ht="12.2" customHeight="1" thickBot="1" x14ac:dyDescent="0.25">
      <c r="A73" s="63" t="s">
        <v>21</v>
      </c>
      <c r="B73" s="347" t="s">
        <v>611</v>
      </c>
      <c r="C73" s="1027">
        <f>SUM(C74:C76)</f>
        <v>1013629000</v>
      </c>
      <c r="D73" s="1030">
        <f>SUM(D74:D76)</f>
        <v>1482574500</v>
      </c>
      <c r="E73" s="1030">
        <f t="shared" ref="E73:K73" si="17">SUM(E74:E76)</f>
        <v>1482574500</v>
      </c>
      <c r="F73" s="1702">
        <f t="shared" si="17"/>
        <v>1482574500</v>
      </c>
      <c r="G73" s="202">
        <f t="shared" si="17"/>
        <v>0</v>
      </c>
      <c r="H73" s="1116">
        <f t="shared" si="2"/>
        <v>0</v>
      </c>
      <c r="I73" s="1450">
        <f t="shared" si="17"/>
        <v>0</v>
      </c>
      <c r="J73" s="1030">
        <f t="shared" si="17"/>
        <v>1279185500</v>
      </c>
      <c r="K73" s="1463">
        <f t="shared" si="17"/>
        <v>0</v>
      </c>
      <c r="L73" s="1475">
        <f t="shared" si="11"/>
        <v>86.281363938203441</v>
      </c>
      <c r="M73" s="155"/>
    </row>
    <row r="74" spans="1:14" s="54" customFormat="1" ht="12.2" customHeight="1" x14ac:dyDescent="0.2">
      <c r="A74" s="12" t="s">
        <v>214</v>
      </c>
      <c r="B74" s="716" t="s">
        <v>218</v>
      </c>
      <c r="C74" s="568">
        <v>1013629000</v>
      </c>
      <c r="D74" s="402">
        <f>1013629000+468945500</f>
        <v>1482574500</v>
      </c>
      <c r="E74" s="402">
        <v>1482574500</v>
      </c>
      <c r="F74" s="1699">
        <v>1482574500</v>
      </c>
      <c r="G74" s="402"/>
      <c r="H74" s="666">
        <f t="shared" si="2"/>
        <v>0</v>
      </c>
      <c r="I74" s="1447"/>
      <c r="J74" s="402">
        <f>652820000+626365500</f>
        <v>1279185500</v>
      </c>
      <c r="K74" s="1460"/>
      <c r="L74" s="1472">
        <f t="shared" si="11"/>
        <v>86.281363938203441</v>
      </c>
      <c r="M74" s="155"/>
    </row>
    <row r="75" spans="1:14" s="54" customFormat="1" ht="12.2" customHeight="1" x14ac:dyDescent="0.2">
      <c r="A75" s="12" t="s">
        <v>640</v>
      </c>
      <c r="B75" s="716" t="s">
        <v>390</v>
      </c>
      <c r="C75" s="568"/>
      <c r="D75" s="402"/>
      <c r="E75" s="402"/>
      <c r="F75" s="1699"/>
      <c r="G75" s="402"/>
      <c r="H75" s="666">
        <f t="shared" si="2"/>
        <v>0</v>
      </c>
      <c r="I75" s="1447"/>
      <c r="J75" s="402"/>
      <c r="K75" s="1460"/>
      <c r="L75" s="1472" t="str">
        <f t="shared" si="11"/>
        <v/>
      </c>
      <c r="M75" s="155"/>
    </row>
    <row r="76" spans="1:14" s="54" customFormat="1" ht="12.75" customHeight="1" thickBot="1" x14ac:dyDescent="0.25">
      <c r="A76" s="1003" t="s">
        <v>216</v>
      </c>
      <c r="B76" s="717" t="s">
        <v>535</v>
      </c>
      <c r="C76" s="573"/>
      <c r="D76" s="402"/>
      <c r="E76" s="402"/>
      <c r="F76" s="1699"/>
      <c r="G76" s="402"/>
      <c r="H76" s="666">
        <f t="shared" si="2"/>
        <v>0</v>
      </c>
      <c r="I76" s="1447"/>
      <c r="J76" s="402"/>
      <c r="K76" s="1460"/>
      <c r="L76" s="1472" t="str">
        <f t="shared" ref="L76:L85" si="18">IF(F76=0,"",J76/F76*100)</f>
        <v/>
      </c>
      <c r="M76" s="155"/>
    </row>
    <row r="77" spans="1:14" s="54" customFormat="1" ht="12.2" customHeight="1" thickBot="1" x14ac:dyDescent="0.25">
      <c r="A77" s="63" t="s">
        <v>22</v>
      </c>
      <c r="B77" s="347" t="s">
        <v>612</v>
      </c>
      <c r="C77" s="566">
        <f t="shared" ref="C77:K77" si="19">SUM(C78:C79)</f>
        <v>0</v>
      </c>
      <c r="D77" s="113">
        <f t="shared" si="19"/>
        <v>45474169</v>
      </c>
      <c r="E77" s="113">
        <f t="shared" si="19"/>
        <v>45474169</v>
      </c>
      <c r="F77" s="1691">
        <f t="shared" si="19"/>
        <v>45474169</v>
      </c>
      <c r="G77" s="186">
        <f t="shared" si="19"/>
        <v>0</v>
      </c>
      <c r="H77" s="628">
        <f t="shared" ref="H77:H84" si="20">+E77-D77</f>
        <v>0</v>
      </c>
      <c r="I77" s="1440">
        <f t="shared" si="19"/>
        <v>0</v>
      </c>
      <c r="J77" s="113">
        <f t="shared" si="19"/>
        <v>45474169</v>
      </c>
      <c r="K77" s="1454">
        <f t="shared" si="19"/>
        <v>0</v>
      </c>
      <c r="L77" s="1465">
        <f t="shared" si="18"/>
        <v>100</v>
      </c>
      <c r="M77" s="155"/>
    </row>
    <row r="78" spans="1:14" s="54" customFormat="1" ht="12.2" customHeight="1" x14ac:dyDescent="0.2">
      <c r="A78" s="12" t="s">
        <v>217</v>
      </c>
      <c r="B78" s="59" t="s">
        <v>369</v>
      </c>
      <c r="C78" s="573"/>
      <c r="D78" s="402">
        <v>45474169</v>
      </c>
      <c r="E78" s="402">
        <v>45474169</v>
      </c>
      <c r="F78" s="1699">
        <v>45474169</v>
      </c>
      <c r="G78" s="402"/>
      <c r="H78" s="666">
        <f t="shared" si="20"/>
        <v>0</v>
      </c>
      <c r="I78" s="1447"/>
      <c r="J78" s="402">
        <v>45474169</v>
      </c>
      <c r="K78" s="1460"/>
      <c r="L78" s="1472">
        <f t="shared" si="18"/>
        <v>100</v>
      </c>
      <c r="M78" s="155"/>
    </row>
    <row r="79" spans="1:14" s="54" customFormat="1" ht="12.2" customHeight="1" thickBot="1" x14ac:dyDescent="0.25">
      <c r="A79" s="1005" t="s">
        <v>219</v>
      </c>
      <c r="B79" s="59" t="s">
        <v>370</v>
      </c>
      <c r="C79" s="573"/>
      <c r="D79" s="402"/>
      <c r="E79" s="402"/>
      <c r="F79" s="1699"/>
      <c r="G79" s="402"/>
      <c r="H79" s="666">
        <f t="shared" si="20"/>
        <v>0</v>
      </c>
      <c r="I79" s="1447"/>
      <c r="J79" s="402"/>
      <c r="K79" s="1460"/>
      <c r="L79" s="1472" t="str">
        <f t="shared" si="18"/>
        <v/>
      </c>
      <c r="M79" s="155"/>
    </row>
    <row r="80" spans="1:14" s="26" customFormat="1" ht="12.2" customHeight="1" thickBot="1" x14ac:dyDescent="0.25">
      <c r="A80" s="63" t="s">
        <v>23</v>
      </c>
      <c r="B80" s="347" t="s">
        <v>613</v>
      </c>
      <c r="C80" s="566">
        <f t="shared" ref="C80:K80" si="21">SUM(C81:C83)</f>
        <v>4200000000</v>
      </c>
      <c r="D80" s="113">
        <f t="shared" si="21"/>
        <v>5662567692</v>
      </c>
      <c r="E80" s="113">
        <f t="shared" si="21"/>
        <v>6461524380</v>
      </c>
      <c r="F80" s="1691">
        <f t="shared" si="21"/>
        <v>6731480322</v>
      </c>
      <c r="G80" s="186">
        <f t="shared" si="21"/>
        <v>0</v>
      </c>
      <c r="H80" s="628">
        <f t="shared" si="20"/>
        <v>798956688</v>
      </c>
      <c r="I80" s="1440">
        <f t="shared" si="21"/>
        <v>0</v>
      </c>
      <c r="J80" s="113">
        <f t="shared" si="21"/>
        <v>74155604157</v>
      </c>
      <c r="K80" s="1454">
        <f t="shared" si="21"/>
        <v>0</v>
      </c>
      <c r="L80" s="1465">
        <f t="shared" si="18"/>
        <v>1101.6240204200362</v>
      </c>
      <c r="M80" s="154"/>
      <c r="N80" s="111"/>
    </row>
    <row r="81" spans="1:15" s="54" customFormat="1" ht="12.2" customHeight="1" x14ac:dyDescent="0.2">
      <c r="A81" s="12" t="s">
        <v>220</v>
      </c>
      <c r="B81" s="716" t="s">
        <v>303</v>
      </c>
      <c r="C81" s="573"/>
      <c r="D81" s="402">
        <f>389271334+256887003+253048039+296839635+266521681</f>
        <v>1462567692</v>
      </c>
      <c r="E81" s="402">
        <f>1462567692+275440984+262367735+261147969</f>
        <v>2261524380</v>
      </c>
      <c r="F81" s="1699">
        <f>2261524380+269955942</f>
        <v>2531480322</v>
      </c>
      <c r="G81" s="402"/>
      <c r="H81" s="666">
        <f t="shared" si="20"/>
        <v>798956688</v>
      </c>
      <c r="I81" s="1447"/>
      <c r="J81" s="402">
        <v>2531480322</v>
      </c>
      <c r="K81" s="1460"/>
      <c r="L81" s="1472">
        <f t="shared" si="18"/>
        <v>100</v>
      </c>
      <c r="M81" s="155"/>
    </row>
    <row r="82" spans="1:15" s="54" customFormat="1" ht="12.2" customHeight="1" x14ac:dyDescent="0.2">
      <c r="A82" s="1003" t="s">
        <v>221</v>
      </c>
      <c r="B82" s="717" t="s">
        <v>304</v>
      </c>
      <c r="C82" s="573"/>
      <c r="D82" s="402"/>
      <c r="E82" s="402"/>
      <c r="F82" s="1699"/>
      <c r="G82" s="402"/>
      <c r="H82" s="666">
        <f t="shared" si="20"/>
        <v>0</v>
      </c>
      <c r="I82" s="1447"/>
      <c r="J82" s="402"/>
      <c r="K82" s="1460"/>
      <c r="L82" s="1472" t="str">
        <f t="shared" si="18"/>
        <v/>
      </c>
      <c r="M82" s="155"/>
    </row>
    <row r="83" spans="1:15" s="54" customFormat="1" ht="12.2" customHeight="1" thickBot="1" x14ac:dyDescent="0.25">
      <c r="A83" s="1005" t="s">
        <v>325</v>
      </c>
      <c r="B83" s="496" t="s">
        <v>378</v>
      </c>
      <c r="C83" s="573">
        <v>4200000000</v>
      </c>
      <c r="D83" s="402">
        <v>4200000000</v>
      </c>
      <c r="E83" s="402">
        <v>4200000000</v>
      </c>
      <c r="F83" s="1699">
        <v>4200000000</v>
      </c>
      <c r="G83" s="402"/>
      <c r="H83" s="666">
        <f t="shared" si="20"/>
        <v>0</v>
      </c>
      <c r="I83" s="1447"/>
      <c r="J83" s="402">
        <v>71624123835</v>
      </c>
      <c r="K83" s="1460"/>
      <c r="L83" s="1472">
        <f t="shared" si="18"/>
        <v>1705.3362817857142</v>
      </c>
      <c r="M83" s="155"/>
    </row>
    <row r="84" spans="1:15" s="26" customFormat="1" ht="12.2" customHeight="1" thickBot="1" x14ac:dyDescent="0.25">
      <c r="A84" s="63" t="s">
        <v>24</v>
      </c>
      <c r="B84" s="347" t="s">
        <v>614</v>
      </c>
      <c r="C84" s="532">
        <f>+C69+C73+C77+C80</f>
        <v>5213629000</v>
      </c>
      <c r="D84" s="1023">
        <f t="shared" ref="D84:K84" si="22">+D69+D73+D77+D80</f>
        <v>7190616361</v>
      </c>
      <c r="E84" s="1023">
        <f t="shared" si="22"/>
        <v>7989573049</v>
      </c>
      <c r="F84" s="1696">
        <f t="shared" si="22"/>
        <v>8259528991</v>
      </c>
      <c r="G84" s="187">
        <f t="shared" si="22"/>
        <v>0</v>
      </c>
      <c r="H84" s="638">
        <f t="shared" si="20"/>
        <v>798956688</v>
      </c>
      <c r="I84" s="1444">
        <f t="shared" si="22"/>
        <v>0</v>
      </c>
      <c r="J84" s="1023">
        <f t="shared" si="22"/>
        <v>75480263826</v>
      </c>
      <c r="K84" s="624">
        <f t="shared" si="22"/>
        <v>0</v>
      </c>
      <c r="L84" s="1469">
        <f t="shared" si="18"/>
        <v>913.85675754933618</v>
      </c>
      <c r="M84" s="154"/>
    </row>
    <row r="85" spans="1:15" s="26" customFormat="1" ht="12.2" customHeight="1" thickBot="1" x14ac:dyDescent="0.25">
      <c r="A85" s="80" t="s">
        <v>25</v>
      </c>
      <c r="B85" s="561" t="s">
        <v>635</v>
      </c>
      <c r="C85" s="532">
        <f>+C68+C84</f>
        <v>10919522427</v>
      </c>
      <c r="D85" s="1023">
        <f>+D68+D84</f>
        <v>13348939151</v>
      </c>
      <c r="E85" s="1023">
        <f t="shared" ref="E85:K85" si="23">+E68+E84</f>
        <v>15954941821</v>
      </c>
      <c r="F85" s="1696">
        <f t="shared" si="23"/>
        <v>16233574475</v>
      </c>
      <c r="G85" s="187">
        <f t="shared" si="23"/>
        <v>0</v>
      </c>
      <c r="H85" s="638">
        <f>+E85-D85</f>
        <v>2606002670</v>
      </c>
      <c r="I85" s="1444">
        <f t="shared" si="23"/>
        <v>0</v>
      </c>
      <c r="J85" s="1023">
        <f t="shared" si="23"/>
        <v>83583363916</v>
      </c>
      <c r="K85" s="624">
        <f t="shared" si="23"/>
        <v>0</v>
      </c>
      <c r="L85" s="1469">
        <f t="shared" si="18"/>
        <v>514.87960365549736</v>
      </c>
      <c r="M85" s="154"/>
      <c r="N85" s="111"/>
      <c r="O85" s="111"/>
    </row>
    <row r="86" spans="1:15" s="54" customFormat="1" ht="15" customHeight="1" x14ac:dyDescent="0.2">
      <c r="A86" s="64"/>
      <c r="B86" s="65"/>
      <c r="C86" s="66"/>
      <c r="D86" s="144"/>
      <c r="E86" s="144"/>
      <c r="F86" s="1703"/>
      <c r="G86" s="144"/>
      <c r="H86" s="144"/>
      <c r="I86" s="144"/>
      <c r="J86" s="144"/>
      <c r="K86" s="144"/>
      <c r="L86" s="146"/>
    </row>
    <row r="87" spans="1:15" s="54" customFormat="1" ht="15" customHeight="1" x14ac:dyDescent="0.2">
      <c r="A87" s="1800" t="s">
        <v>34</v>
      </c>
      <c r="B87" s="1800"/>
      <c r="C87" s="1800"/>
      <c r="D87" s="1800"/>
      <c r="E87" s="1800"/>
      <c r="F87" s="1800"/>
      <c r="G87" s="1800"/>
      <c r="H87" s="1800"/>
      <c r="I87" s="1800"/>
      <c r="J87" s="1800"/>
      <c r="K87" s="1800"/>
      <c r="L87" s="1800"/>
    </row>
    <row r="88" spans="1:15" ht="15.75" thickBot="1" x14ac:dyDescent="0.25">
      <c r="A88" s="1793" t="s">
        <v>362</v>
      </c>
      <c r="B88" s="1793"/>
      <c r="C88" s="1793"/>
      <c r="D88" s="1793"/>
      <c r="E88" s="1793"/>
      <c r="F88" s="1793"/>
      <c r="G88" s="1793"/>
      <c r="H88" s="1793"/>
      <c r="I88" s="1793"/>
      <c r="J88" s="1793"/>
      <c r="K88" s="1793"/>
      <c r="L88" s="1793"/>
    </row>
    <row r="89" spans="1:15" s="46" customFormat="1" ht="63" customHeight="1" thickBot="1" x14ac:dyDescent="0.25">
      <c r="A89" s="1723" t="s">
        <v>142</v>
      </c>
      <c r="B89" s="42" t="s">
        <v>36</v>
      </c>
      <c r="C89" s="21" t="str">
        <f>'1. mell.bevétel_össz'!C8</f>
        <v>2023. évi eredeti előirányzat
2/2023. (II.14.)</v>
      </c>
      <c r="D89" s="42" t="str">
        <f>'1. mell.bevétel_össz'!D8</f>
        <v>Módosított előirányzat a 14/2023.  (VI.29.)  rendelet szerint</v>
      </c>
      <c r="E89" s="42" t="str">
        <f>'1. mell.bevétel_össz'!E8</f>
        <v>Módosított előirányzat a 18/2023. (IX.26.)  rendelet szerint</v>
      </c>
      <c r="F89" s="1689" t="str">
        <f>'1. mell.bevétel_össz'!F8</f>
        <v>Módosított előirányzat 2023.09.30-án</v>
      </c>
      <c r="G89" s="42" t="str">
        <f>'1. mell.bevétel_össz'!G8</f>
        <v>Módosított előirányzat a …../2023. (II…..)  rendelet szerint</v>
      </c>
      <c r="H89" s="126" t="str">
        <f>'1. mell.bevétel_össz'!H8</f>
        <v>Változás a 14/2023. (VI.29.) rendelethez képest</v>
      </c>
      <c r="I89" s="1439" t="str">
        <f>'1. mell.bevétel_össz'!I8</f>
        <v>2023. évi teljesítés              2023.06.30-ig</v>
      </c>
      <c r="J89" s="42" t="str">
        <f>'1. mell.bevétel_össz'!J8</f>
        <v>2023. évi teljesítés              2023.09.30-ig</v>
      </c>
      <c r="K89" s="1453" t="str">
        <f>'1. mell.bevétel_össz'!K8</f>
        <v>2023. évi teljesítés              2023.12.31-ig</v>
      </c>
      <c r="L89" s="1464" t="str">
        <f>'1. mell.bevétel_össz'!L8</f>
        <v>Teljesítés %-a</v>
      </c>
      <c r="M89" s="1483"/>
    </row>
    <row r="90" spans="1:15" s="31" customFormat="1" ht="12.2" customHeight="1" thickBot="1" x14ac:dyDescent="0.25">
      <c r="A90" s="76" t="s">
        <v>12</v>
      </c>
      <c r="B90" s="815" t="s">
        <v>547</v>
      </c>
      <c r="C90" s="1021">
        <f>C91+C93+C94+C95+C96</f>
        <v>6432969968</v>
      </c>
      <c r="D90" s="1021">
        <f>D91+D93+D94+D95+D96</f>
        <v>6520264985</v>
      </c>
      <c r="E90" s="183">
        <f>E91+E93+E94+E95+E96</f>
        <v>7523015174</v>
      </c>
      <c r="F90" s="1704">
        <f t="shared" ref="F90:K90" si="24">F91+F93+F94+F95+F96</f>
        <v>7531691886</v>
      </c>
      <c r="G90" s="183">
        <f t="shared" si="24"/>
        <v>0</v>
      </c>
      <c r="H90" s="183">
        <f t="shared" si="24"/>
        <v>1002750189</v>
      </c>
      <c r="I90" s="183">
        <f t="shared" si="24"/>
        <v>0</v>
      </c>
      <c r="J90" s="183">
        <f>J91+J93+J94+J95+J96</f>
        <v>4346088198</v>
      </c>
      <c r="K90" s="1479">
        <f t="shared" si="24"/>
        <v>0</v>
      </c>
      <c r="L90" s="1736">
        <f t="shared" ref="L90:L136" si="25">IF(F90=0,"",J90/F90*100)</f>
        <v>57.704009454748963</v>
      </c>
      <c r="M90" s="1484"/>
    </row>
    <row r="91" spans="1:15" ht="12.2" customHeight="1" x14ac:dyDescent="0.2">
      <c r="A91" s="99" t="s">
        <v>91</v>
      </c>
      <c r="B91" s="50" t="s">
        <v>68</v>
      </c>
      <c r="C91" s="117">
        <v>154215828</v>
      </c>
      <c r="D91" s="117">
        <f>154215828-63969+545554+150000+1304776+4129396</f>
        <v>160281585</v>
      </c>
      <c r="E91" s="117">
        <f>160281585+222000+150000-150000+450000+3296674-195000</f>
        <v>164055259</v>
      </c>
      <c r="F91" s="1705">
        <v>164055259</v>
      </c>
      <c r="G91" s="117"/>
      <c r="H91" s="671">
        <f t="shared" ref="H91:H136" si="26">+E91-D91</f>
        <v>3773674</v>
      </c>
      <c r="I91" s="1476"/>
      <c r="J91" s="117">
        <v>100880145</v>
      </c>
      <c r="K91" s="1480"/>
      <c r="L91" s="1737">
        <f t="shared" si="25"/>
        <v>61.491564253968846</v>
      </c>
      <c r="M91" s="1485"/>
    </row>
    <row r="92" spans="1:15" ht="12.2" customHeight="1" x14ac:dyDescent="0.2">
      <c r="A92" s="1003" t="s">
        <v>305</v>
      </c>
      <c r="B92" s="335" t="s">
        <v>270</v>
      </c>
      <c r="C92" s="114"/>
      <c r="D92" s="114"/>
      <c r="E92" s="114">
        <v>3296674</v>
      </c>
      <c r="F92" s="1692">
        <v>3296674</v>
      </c>
      <c r="G92" s="114"/>
      <c r="H92" s="626">
        <f t="shared" si="26"/>
        <v>3296674</v>
      </c>
      <c r="I92" s="1441"/>
      <c r="J92" s="1692"/>
      <c r="K92" s="1455"/>
      <c r="L92" s="1466">
        <f t="shared" si="25"/>
        <v>0</v>
      </c>
      <c r="M92" s="1485"/>
    </row>
    <row r="93" spans="1:15" ht="12.2" customHeight="1" x14ac:dyDescent="0.2">
      <c r="A93" s="1003" t="s">
        <v>92</v>
      </c>
      <c r="B93" s="330" t="s">
        <v>87</v>
      </c>
      <c r="C93" s="401">
        <v>29958905</v>
      </c>
      <c r="D93" s="401">
        <f>29958905+63829+42000+152659+483139</f>
        <v>30700532</v>
      </c>
      <c r="E93" s="401">
        <f>30700532+126000+428568</f>
        <v>31255100</v>
      </c>
      <c r="F93" s="1693">
        <v>31255100</v>
      </c>
      <c r="G93" s="401"/>
      <c r="H93" s="627">
        <f t="shared" si="26"/>
        <v>554568</v>
      </c>
      <c r="I93" s="1442"/>
      <c r="J93" s="401">
        <v>19818558</v>
      </c>
      <c r="K93" s="1456"/>
      <c r="L93" s="1467">
        <f t="shared" si="25"/>
        <v>63.409037245121588</v>
      </c>
      <c r="M93" s="1485"/>
    </row>
    <row r="94" spans="1:15" ht="12.2" customHeight="1" x14ac:dyDescent="0.2">
      <c r="A94" s="1003" t="s">
        <v>93</v>
      </c>
      <c r="B94" s="330" t="s">
        <v>69</v>
      </c>
      <c r="C94" s="401">
        <f>+'12.Városüzemeltetés'!C22</f>
        <v>737977472</v>
      </c>
      <c r="D94" s="1451">
        <f>'12.Városüzemeltetés'!D22</f>
        <v>798577336</v>
      </c>
      <c r="E94" s="1451">
        <f>'12.Városüzemeltetés'!E22</f>
        <v>803305717</v>
      </c>
      <c r="F94" s="1738">
        <f>'12.Városüzemeltetés'!F22</f>
        <v>803305717</v>
      </c>
      <c r="G94" s="1451">
        <f>'12.Városüzemeltetés'!G22</f>
        <v>0</v>
      </c>
      <c r="H94" s="525">
        <f t="shared" si="26"/>
        <v>4728381</v>
      </c>
      <c r="I94" s="1443">
        <f>'12.Városüzemeltetés'!I22</f>
        <v>0</v>
      </c>
      <c r="J94" s="1451">
        <f>'12.Városüzemeltetés'!J22</f>
        <v>433398775</v>
      </c>
      <c r="K94" s="1457">
        <f>'12.Városüzemeltetés'!K22</f>
        <v>0</v>
      </c>
      <c r="L94" s="1468">
        <f t="shared" si="25"/>
        <v>53.951909693678921</v>
      </c>
      <c r="M94" s="1485"/>
    </row>
    <row r="95" spans="1:15" ht="12.2" customHeight="1" x14ac:dyDescent="0.2">
      <c r="A95" s="1003" t="s">
        <v>90</v>
      </c>
      <c r="B95" s="330" t="s">
        <v>80</v>
      </c>
      <c r="C95" s="1451">
        <f>'14.Szoc. '!C22</f>
        <v>270328000</v>
      </c>
      <c r="D95" s="1451">
        <f>'14.Szoc. '!D22</f>
        <v>270328000</v>
      </c>
      <c r="E95" s="1451">
        <v>270328000</v>
      </c>
      <c r="F95" s="1738">
        <f>'14.Szoc. '!F22</f>
        <v>270328000</v>
      </c>
      <c r="G95" s="1451">
        <f>'14.Szoc. '!G22</f>
        <v>0</v>
      </c>
      <c r="H95" s="629">
        <f t="shared" si="26"/>
        <v>0</v>
      </c>
      <c r="I95" s="1443">
        <f>'14.Szoc. '!I22</f>
        <v>0</v>
      </c>
      <c r="J95" s="1451">
        <f>'14.Szoc. '!J22</f>
        <v>122133216</v>
      </c>
      <c r="K95" s="1457">
        <f>'14.Szoc. '!K22</f>
        <v>0</v>
      </c>
      <c r="L95" s="1468">
        <f t="shared" si="25"/>
        <v>45.179639548992334</v>
      </c>
      <c r="M95" s="1485"/>
      <c r="N95" s="25" t="s">
        <v>385</v>
      </c>
      <c r="O95" s="18">
        <f>+H85-H134</f>
        <v>0</v>
      </c>
    </row>
    <row r="96" spans="1:15" ht="12.2" customHeight="1" x14ac:dyDescent="0.2">
      <c r="A96" s="1003" t="s">
        <v>147</v>
      </c>
      <c r="B96" s="52" t="s">
        <v>88</v>
      </c>
      <c r="C96" s="1451">
        <f>SUM(C97:C103)</f>
        <v>5240489763</v>
      </c>
      <c r="D96" s="1451">
        <f>SUM(D97:D103)</f>
        <v>5260377532</v>
      </c>
      <c r="E96" s="625">
        <f>SUM(E97:E103)</f>
        <v>6254071098</v>
      </c>
      <c r="F96" s="1706">
        <f t="shared" ref="F96:K96" si="27">SUM(F97:F103)</f>
        <v>6262747810</v>
      </c>
      <c r="G96" s="625">
        <f t="shared" si="27"/>
        <v>0</v>
      </c>
      <c r="H96" s="629">
        <f t="shared" si="26"/>
        <v>993693566</v>
      </c>
      <c r="I96" s="1443">
        <f t="shared" si="27"/>
        <v>0</v>
      </c>
      <c r="J96" s="1451">
        <f t="shared" si="27"/>
        <v>3669857504</v>
      </c>
      <c r="K96" s="1457">
        <f t="shared" si="27"/>
        <v>0</v>
      </c>
      <c r="L96" s="1468">
        <f t="shared" si="25"/>
        <v>58.598200268262126</v>
      </c>
      <c r="M96" s="1485"/>
    </row>
    <row r="97" spans="1:18" ht="12.2" customHeight="1" x14ac:dyDescent="0.2">
      <c r="A97" s="1003" t="s">
        <v>306</v>
      </c>
      <c r="B97" s="693" t="s">
        <v>654</v>
      </c>
      <c r="C97" s="1451"/>
      <c r="D97" s="1451"/>
      <c r="E97" s="1451"/>
      <c r="F97" s="1738"/>
      <c r="G97" s="1451"/>
      <c r="H97" s="629">
        <f t="shared" si="26"/>
        <v>0</v>
      </c>
      <c r="I97" s="1443"/>
      <c r="J97" s="1451"/>
      <c r="K97" s="1457"/>
      <c r="L97" s="1468" t="str">
        <f t="shared" si="25"/>
        <v/>
      </c>
      <c r="M97" s="1485"/>
    </row>
    <row r="98" spans="1:18" ht="12.2" customHeight="1" x14ac:dyDescent="0.2">
      <c r="A98" s="1003" t="s">
        <v>307</v>
      </c>
      <c r="B98" s="816" t="s">
        <v>647</v>
      </c>
      <c r="C98" s="1451">
        <v>3222984305</v>
      </c>
      <c r="D98" s="1451">
        <v>3222984305</v>
      </c>
      <c r="E98" s="1451">
        <v>3222984305</v>
      </c>
      <c r="F98" s="1738">
        <v>3222984305</v>
      </c>
      <c r="G98" s="1451"/>
      <c r="H98" s="629">
        <f t="shared" si="26"/>
        <v>0</v>
      </c>
      <c r="I98" s="1443"/>
      <c r="J98" s="1451">
        <v>2449468069</v>
      </c>
      <c r="K98" s="1457"/>
      <c r="L98" s="1468">
        <f t="shared" si="25"/>
        <v>75.999999913124</v>
      </c>
      <c r="M98" s="1485"/>
    </row>
    <row r="99" spans="1:18" ht="12.2" customHeight="1" x14ac:dyDescent="0.2">
      <c r="A99" s="1003" t="s">
        <v>308</v>
      </c>
      <c r="B99" s="816" t="s">
        <v>646</v>
      </c>
      <c r="C99" s="1451"/>
      <c r="D99" s="1451"/>
      <c r="E99" s="1451"/>
      <c r="F99" s="1738"/>
      <c r="G99" s="1451"/>
      <c r="H99" s="629">
        <f t="shared" si="26"/>
        <v>0</v>
      </c>
      <c r="I99" s="1443"/>
      <c r="J99" s="1451"/>
      <c r="K99" s="1457"/>
      <c r="L99" s="1468" t="str">
        <f t="shared" si="25"/>
        <v/>
      </c>
      <c r="M99" s="1485"/>
    </row>
    <row r="100" spans="1:18" ht="12.2" customHeight="1" x14ac:dyDescent="0.2">
      <c r="A100" s="1003" t="s">
        <v>309</v>
      </c>
      <c r="B100" s="816" t="s">
        <v>645</v>
      </c>
      <c r="C100" s="1451">
        <f>'13.támogatás'!C9</f>
        <v>43030000</v>
      </c>
      <c r="D100" s="1451">
        <f>'13.támogatás'!D9</f>
        <v>13053382</v>
      </c>
      <c r="E100" s="1451">
        <f>'13.támogatás'!E9</f>
        <v>80253382</v>
      </c>
      <c r="F100" s="1738">
        <f>'13.támogatás'!F9</f>
        <v>80253382</v>
      </c>
      <c r="G100" s="1451">
        <f>'13.támogatás'!G9</f>
        <v>0</v>
      </c>
      <c r="H100" s="629">
        <f t="shared" si="26"/>
        <v>67200000</v>
      </c>
      <c r="I100" s="1443">
        <f>'13.támogatás'!I9</f>
        <v>0</v>
      </c>
      <c r="J100" s="1451">
        <f>'13.támogatás'!J9</f>
        <v>11053382</v>
      </c>
      <c r="K100" s="1457">
        <f>'13.támogatás'!K9</f>
        <v>0</v>
      </c>
      <c r="L100" s="1468">
        <f t="shared" si="25"/>
        <v>13.773104291106385</v>
      </c>
      <c r="M100" s="1485"/>
    </row>
    <row r="101" spans="1:18" ht="12.2" customHeight="1" x14ac:dyDescent="0.2">
      <c r="A101" s="1003" t="s">
        <v>310</v>
      </c>
      <c r="B101" s="816" t="s">
        <v>650</v>
      </c>
      <c r="C101" s="1451"/>
      <c r="D101" s="1451"/>
      <c r="E101" s="1451"/>
      <c r="F101" s="1738"/>
      <c r="G101" s="1451"/>
      <c r="H101" s="629">
        <f t="shared" si="26"/>
        <v>0</v>
      </c>
      <c r="I101" s="1443"/>
      <c r="J101" s="1451"/>
      <c r="K101" s="1457"/>
      <c r="L101" s="1468" t="str">
        <f t="shared" si="25"/>
        <v/>
      </c>
      <c r="M101" s="1485"/>
    </row>
    <row r="102" spans="1:18" ht="12.2" customHeight="1" x14ac:dyDescent="0.2">
      <c r="A102" s="1003" t="s">
        <v>361</v>
      </c>
      <c r="B102" s="816" t="s">
        <v>644</v>
      </c>
      <c r="C102" s="1451">
        <f>'13.támogatás'!C19</f>
        <v>1420634898</v>
      </c>
      <c r="D102" s="1451">
        <f>'13.támogatás'!D19</f>
        <v>1515270808</v>
      </c>
      <c r="E102" s="625">
        <f>'13.támogatás'!E19</f>
        <v>1755525658</v>
      </c>
      <c r="F102" s="1706">
        <f>'13.támogatás'!F19</f>
        <v>1755525658</v>
      </c>
      <c r="G102" s="625">
        <f>'13.támogatás'!G19</f>
        <v>0</v>
      </c>
      <c r="H102" s="629">
        <f t="shared" si="26"/>
        <v>240254850</v>
      </c>
      <c r="I102" s="1443">
        <f>'13.támogatás'!I19</f>
        <v>0</v>
      </c>
      <c r="J102" s="1451">
        <f>'13.támogatás'!J19</f>
        <v>1209336053</v>
      </c>
      <c r="K102" s="1457">
        <f>'13.támogatás'!K19</f>
        <v>0</v>
      </c>
      <c r="L102" s="1468">
        <f t="shared" si="25"/>
        <v>68.887404037019209</v>
      </c>
      <c r="M102" s="1485"/>
    </row>
    <row r="103" spans="1:18" ht="12.2" customHeight="1" x14ac:dyDescent="0.2">
      <c r="A103" s="1003" t="s">
        <v>615</v>
      </c>
      <c r="B103" s="817" t="s">
        <v>649</v>
      </c>
      <c r="C103" s="1022">
        <f>+C104+C105</f>
        <v>553840560</v>
      </c>
      <c r="D103" s="1022">
        <f>+D104+D105</f>
        <v>509069037</v>
      </c>
      <c r="E103" s="1022">
        <f>+E104+E105</f>
        <v>1195307753</v>
      </c>
      <c r="F103" s="1707">
        <f>+F104+F105</f>
        <v>1203984465</v>
      </c>
      <c r="G103" s="1022">
        <f t="shared" ref="G103" si="28">+G104+G105</f>
        <v>0</v>
      </c>
      <c r="H103" s="630">
        <f t="shared" si="26"/>
        <v>686238716</v>
      </c>
      <c r="I103" s="1477">
        <f>SUM(I104:I105)</f>
        <v>0</v>
      </c>
      <c r="J103" s="1022">
        <f>SUM(J104:J105)</f>
        <v>0</v>
      </c>
      <c r="K103" s="1481">
        <f>SUM(K104:K105)</f>
        <v>0</v>
      </c>
      <c r="L103" s="1739">
        <f t="shared" si="25"/>
        <v>0</v>
      </c>
      <c r="M103" s="1485"/>
      <c r="N103" s="18">
        <f>+C85-C134</f>
        <v>0</v>
      </c>
    </row>
    <row r="104" spans="1:18" ht="12.75" customHeight="1" x14ac:dyDescent="0.2">
      <c r="A104" s="12" t="s">
        <v>616</v>
      </c>
      <c r="B104" s="818" t="s">
        <v>617</v>
      </c>
      <c r="C104" s="114">
        <v>100000000</v>
      </c>
      <c r="D104" s="114">
        <v>100000000</v>
      </c>
      <c r="E104" s="114">
        <v>100000000</v>
      </c>
      <c r="F104" s="1692">
        <v>100000000</v>
      </c>
      <c r="G104" s="114"/>
      <c r="H104" s="626">
        <f t="shared" si="26"/>
        <v>0</v>
      </c>
      <c r="I104" s="1441">
        <f>+I105+I106</f>
        <v>0</v>
      </c>
      <c r="J104" s="114">
        <f>+J105+J106</f>
        <v>0</v>
      </c>
      <c r="K104" s="1455">
        <f>+K105+K106</f>
        <v>0</v>
      </c>
      <c r="L104" s="1466">
        <f t="shared" si="25"/>
        <v>0</v>
      </c>
      <c r="M104" s="1485"/>
    </row>
    <row r="105" spans="1:18" ht="12.75" customHeight="1" x14ac:dyDescent="0.2">
      <c r="A105" s="1005" t="s">
        <v>618</v>
      </c>
      <c r="B105" s="1740" t="s">
        <v>619</v>
      </c>
      <c r="C105" s="401">
        <f>C106+C107</f>
        <v>453840560</v>
      </c>
      <c r="D105" s="401">
        <f>D106+D107</f>
        <v>409069037</v>
      </c>
      <c r="E105" s="401">
        <f>E106+E107</f>
        <v>1095307753</v>
      </c>
      <c r="F105" s="1693">
        <f>F106+F107</f>
        <v>1103984465</v>
      </c>
      <c r="G105" s="401"/>
      <c r="H105" s="627">
        <f t="shared" si="26"/>
        <v>686238716</v>
      </c>
      <c r="I105" s="1442">
        <f>SUM(I106:I107)</f>
        <v>0</v>
      </c>
      <c r="J105" s="401">
        <f>SUM(J106:J107)</f>
        <v>0</v>
      </c>
      <c r="K105" s="1456">
        <f>SUM(K106:K107)</f>
        <v>0</v>
      </c>
      <c r="L105" s="1467">
        <f t="shared" si="25"/>
        <v>0</v>
      </c>
      <c r="M105" s="1485"/>
      <c r="N105" s="25" t="s">
        <v>385</v>
      </c>
      <c r="O105" s="18"/>
    </row>
    <row r="106" spans="1:18" ht="12.75" customHeight="1" x14ac:dyDescent="0.2">
      <c r="A106" s="1005" t="s">
        <v>620</v>
      </c>
      <c r="B106" s="820" t="s">
        <v>648</v>
      </c>
      <c r="C106" s="401">
        <v>403840560</v>
      </c>
      <c r="D106" s="401">
        <f>403840560+6449161+821373+6253251+1021662-23382+6340186+977214-1000000-889105-6000000-15000000-14888000-9000000-3000000-2000000-3500000-500000-3000000+6643804+2299293-6372685-3130147+122926055+19316810+24748744-10000000-37248000-22500000-1750000-1613000-800000-7500000-6350000-12000000-2100000-2300000-3000000-300000-7000000+232179257+6659163+1175823-635000-684000-2500000-270000000-10000000-3000000-4000000</f>
        <v>368069037</v>
      </c>
      <c r="E106" s="401">
        <f>368069037+6567677+1067153+6550585+1113131+15019663-323500-7440190+14861089+12094733-878579+329540-15782850-8000000-4000000-1800000-800000-3000000+1500000000+250000000+6633131+1128049-1500000-3000000-60000000-154410742-110016000-89472000-4619200-188500000-10700000-5000000-1982974-1000000-10000000-436900000-10000000</f>
        <v>1054307753</v>
      </c>
      <c r="F106" s="1693">
        <f>1054307753+6493782+2182930</f>
        <v>1062984465</v>
      </c>
      <c r="G106" s="401"/>
      <c r="H106" s="627">
        <f t="shared" si="26"/>
        <v>686238716</v>
      </c>
      <c r="I106" s="1442">
        <f>SUM(I107:I107)</f>
        <v>0</v>
      </c>
      <c r="J106" s="401">
        <f>SUM(J107:J107)</f>
        <v>0</v>
      </c>
      <c r="K106" s="1456">
        <f>SUM(K107:K107)</f>
        <v>0</v>
      </c>
      <c r="L106" s="1467">
        <f t="shared" si="25"/>
        <v>0</v>
      </c>
      <c r="M106" s="1485"/>
      <c r="O106" s="715"/>
    </row>
    <row r="107" spans="1:18" ht="12.75" customHeight="1" thickBot="1" x14ac:dyDescent="0.25">
      <c r="A107" s="1005" t="s">
        <v>621</v>
      </c>
      <c r="B107" s="820" t="s">
        <v>636</v>
      </c>
      <c r="C107" s="401">
        <v>50000000</v>
      </c>
      <c r="D107" s="147">
        <f>50000000-9000000</f>
        <v>41000000</v>
      </c>
      <c r="E107" s="147">
        <v>41000000</v>
      </c>
      <c r="F107" s="1708">
        <v>41000000</v>
      </c>
      <c r="G107" s="147"/>
      <c r="H107" s="629">
        <f t="shared" si="26"/>
        <v>0</v>
      </c>
      <c r="I107" s="1442"/>
      <c r="J107" s="401"/>
      <c r="K107" s="1456"/>
      <c r="L107" s="1467">
        <f t="shared" si="25"/>
        <v>0</v>
      </c>
      <c r="M107" s="1485"/>
    </row>
    <row r="108" spans="1:18" ht="12.2" customHeight="1" thickBot="1" x14ac:dyDescent="0.25">
      <c r="A108" s="14" t="s">
        <v>13</v>
      </c>
      <c r="B108" s="100" t="s">
        <v>384</v>
      </c>
      <c r="C108" s="113">
        <f>+C109+C111+C113</f>
        <v>948826491</v>
      </c>
      <c r="D108" s="113">
        <f t="shared" ref="D108:K108" si="29">+D109+D111+D113</f>
        <v>1484120068</v>
      </c>
      <c r="E108" s="186">
        <f t="shared" si="29"/>
        <v>1567388187</v>
      </c>
      <c r="F108" s="1691">
        <f t="shared" si="29"/>
        <v>1567388187</v>
      </c>
      <c r="G108" s="186">
        <f t="shared" si="29"/>
        <v>0</v>
      </c>
      <c r="H108" s="628">
        <f t="shared" si="26"/>
        <v>83268119</v>
      </c>
      <c r="I108" s="1440">
        <f t="shared" si="29"/>
        <v>30000000</v>
      </c>
      <c r="J108" s="113">
        <f t="shared" si="29"/>
        <v>712371706</v>
      </c>
      <c r="K108" s="1454">
        <f t="shared" si="29"/>
        <v>0</v>
      </c>
      <c r="L108" s="1465">
        <f t="shared" si="25"/>
        <v>45.449602843025637</v>
      </c>
      <c r="M108" s="1485"/>
    </row>
    <row r="109" spans="1:18" ht="12.2" customHeight="1" x14ac:dyDescent="0.2">
      <c r="A109" s="12" t="s">
        <v>94</v>
      </c>
      <c r="B109" s="330" t="s">
        <v>119</v>
      </c>
      <c r="C109" s="114">
        <f>'15.felh.felúj.'!C7</f>
        <v>137305900</v>
      </c>
      <c r="D109" s="114">
        <f>'15.felh.felúj.'!D7</f>
        <v>226452935</v>
      </c>
      <c r="E109" s="185">
        <f>'15.felh.felúj.'!E7</f>
        <v>226239466</v>
      </c>
      <c r="F109" s="1709">
        <f>'15.felh.felúj.'!F7</f>
        <v>226239466</v>
      </c>
      <c r="G109" s="185">
        <f>'15.felh.felúj.'!G7</f>
        <v>0</v>
      </c>
      <c r="H109" s="626">
        <f t="shared" si="26"/>
        <v>-213469</v>
      </c>
      <c r="I109" s="1476">
        <f>'15.felh.felúj.'!I7</f>
        <v>0</v>
      </c>
      <c r="J109" s="117">
        <f>'15.felh.felúj.'!J7</f>
        <v>85016219</v>
      </c>
      <c r="K109" s="1455">
        <f>'15.felh.felúj.'!K7</f>
        <v>0</v>
      </c>
      <c r="L109" s="1466">
        <f t="shared" si="25"/>
        <v>37.577978989748857</v>
      </c>
      <c r="M109" s="1485"/>
      <c r="P109" s="18"/>
    </row>
    <row r="110" spans="1:18" ht="12.2" customHeight="1" x14ac:dyDescent="0.2">
      <c r="A110" s="12" t="s">
        <v>316</v>
      </c>
      <c r="B110" s="1741" t="s">
        <v>225</v>
      </c>
      <c r="C110" s="114"/>
      <c r="D110" s="114">
        <v>56894300</v>
      </c>
      <c r="E110" s="114">
        <f>56894300</f>
        <v>56894300</v>
      </c>
      <c r="F110" s="1692">
        <v>56894300</v>
      </c>
      <c r="G110" s="114"/>
      <c r="H110" s="626">
        <f t="shared" si="26"/>
        <v>0</v>
      </c>
      <c r="I110" s="1441"/>
      <c r="J110" s="114"/>
      <c r="K110" s="1455"/>
      <c r="L110" s="1466">
        <f t="shared" si="25"/>
        <v>0</v>
      </c>
      <c r="M110" s="1485" t="s">
        <v>385</v>
      </c>
    </row>
    <row r="111" spans="1:18" ht="12.2" customHeight="1" x14ac:dyDescent="0.2">
      <c r="A111" s="12" t="s">
        <v>95</v>
      </c>
      <c r="B111" s="1741" t="s">
        <v>2</v>
      </c>
      <c r="C111" s="401">
        <f>'15.felh.felúj.'!C24</f>
        <v>428020591</v>
      </c>
      <c r="D111" s="401">
        <f>'15.felh.felúj.'!D24</f>
        <v>642682133</v>
      </c>
      <c r="E111" s="325">
        <f>'15.felh.felúj.'!E24</f>
        <v>653163721</v>
      </c>
      <c r="F111" s="1710">
        <f>'15.felh.felúj.'!F24</f>
        <v>653163721</v>
      </c>
      <c r="G111" s="325">
        <f>'15.felh.felúj.'!G24</f>
        <v>0</v>
      </c>
      <c r="H111" s="627">
        <f t="shared" si="26"/>
        <v>10481588</v>
      </c>
      <c r="I111" s="1442">
        <f>'15.felh.felúj.'!I24</f>
        <v>0</v>
      </c>
      <c r="J111" s="401">
        <f>'15.felh.felúj.'!J24</f>
        <v>121829731</v>
      </c>
      <c r="K111" s="1456">
        <f>'15.felh.felúj.'!K24</f>
        <v>0</v>
      </c>
      <c r="L111" s="1467">
        <f t="shared" si="25"/>
        <v>18.652250130101759</v>
      </c>
      <c r="M111" s="1485"/>
      <c r="O111" s="18"/>
      <c r="R111" s="18"/>
    </row>
    <row r="112" spans="1:18" ht="11.45" customHeight="1" x14ac:dyDescent="0.2">
      <c r="A112" s="12" t="s">
        <v>315</v>
      </c>
      <c r="B112" s="1741" t="s">
        <v>350</v>
      </c>
      <c r="C112" s="401"/>
      <c r="D112" s="114">
        <v>172803287</v>
      </c>
      <c r="E112" s="401">
        <v>172803287</v>
      </c>
      <c r="F112" s="1693">
        <v>172803287</v>
      </c>
      <c r="G112" s="401"/>
      <c r="H112" s="627">
        <f t="shared" si="26"/>
        <v>0</v>
      </c>
      <c r="I112" s="1442"/>
      <c r="J112" s="401"/>
      <c r="K112" s="1456"/>
      <c r="L112" s="1467">
        <f t="shared" si="25"/>
        <v>0</v>
      </c>
      <c r="M112" s="1485"/>
    </row>
    <row r="113" spans="1:18" ht="12.2" customHeight="1" x14ac:dyDescent="0.2">
      <c r="A113" s="12" t="s">
        <v>96</v>
      </c>
      <c r="B113" s="1742" t="s">
        <v>268</v>
      </c>
      <c r="C113" s="401">
        <f>SUM(C114:C117)</f>
        <v>383500000</v>
      </c>
      <c r="D113" s="401">
        <f>SUM(D114:D117)</f>
        <v>614985000</v>
      </c>
      <c r="E113" s="325">
        <f t="shared" ref="E113:K113" si="30">SUM(E114:E117)</f>
        <v>687985000</v>
      </c>
      <c r="F113" s="1710">
        <f t="shared" si="30"/>
        <v>687985000</v>
      </c>
      <c r="G113" s="325">
        <f>SUM(G114:G117)</f>
        <v>0</v>
      </c>
      <c r="H113" s="627">
        <f t="shared" si="26"/>
        <v>73000000</v>
      </c>
      <c r="I113" s="1442">
        <f t="shared" si="30"/>
        <v>30000000</v>
      </c>
      <c r="J113" s="401">
        <f t="shared" si="30"/>
        <v>505525756</v>
      </c>
      <c r="K113" s="1456">
        <f t="shared" si="30"/>
        <v>0</v>
      </c>
      <c r="L113" s="1467">
        <f t="shared" si="25"/>
        <v>73.479182831021035</v>
      </c>
      <c r="M113" s="1485"/>
    </row>
    <row r="114" spans="1:18" ht="12.2" customHeight="1" x14ac:dyDescent="0.2">
      <c r="A114" s="12" t="s">
        <v>317</v>
      </c>
      <c r="B114" s="351" t="s">
        <v>226</v>
      </c>
      <c r="C114" s="401"/>
      <c r="D114" s="401"/>
      <c r="E114" s="401"/>
      <c r="F114" s="1693"/>
      <c r="G114" s="401"/>
      <c r="H114" s="627">
        <f t="shared" si="26"/>
        <v>0</v>
      </c>
      <c r="I114" s="1442"/>
      <c r="J114" s="401"/>
      <c r="K114" s="1456"/>
      <c r="L114" s="1467" t="str">
        <f t="shared" si="25"/>
        <v/>
      </c>
      <c r="M114" s="1485"/>
    </row>
    <row r="115" spans="1:18" ht="12.2" customHeight="1" x14ac:dyDescent="0.2">
      <c r="A115" s="12" t="s">
        <v>318</v>
      </c>
      <c r="B115" s="351" t="s">
        <v>227</v>
      </c>
      <c r="C115" s="401">
        <f>'13.támogatás'!C51</f>
        <v>1500000</v>
      </c>
      <c r="D115" s="401">
        <f>'13.támogatás'!D51</f>
        <v>31613000</v>
      </c>
      <c r="E115" s="325">
        <f>'13.támogatás'!E51</f>
        <v>31613000</v>
      </c>
      <c r="F115" s="1710">
        <f>'13.támogatás'!F51</f>
        <v>31613000</v>
      </c>
      <c r="G115" s="325">
        <f>'13.támogatás'!G51</f>
        <v>0</v>
      </c>
      <c r="H115" s="627">
        <f t="shared" si="26"/>
        <v>0</v>
      </c>
      <c r="I115" s="1442">
        <f>'13.támogatás'!I51</f>
        <v>30000000</v>
      </c>
      <c r="J115" s="401">
        <f>'13.támogatás'!J51</f>
        <v>30000000</v>
      </c>
      <c r="K115" s="1456">
        <f>'13.támogatás'!K51</f>
        <v>0</v>
      </c>
      <c r="L115" s="1467">
        <f t="shared" si="25"/>
        <v>94.897668680606088</v>
      </c>
      <c r="M115" s="1485"/>
    </row>
    <row r="116" spans="1:18" ht="12.2" customHeight="1" x14ac:dyDescent="0.2">
      <c r="A116" s="12" t="s">
        <v>319</v>
      </c>
      <c r="B116" s="351" t="s">
        <v>224</v>
      </c>
      <c r="C116" s="401">
        <f>208000000+16000000</f>
        <v>224000000</v>
      </c>
      <c r="D116" s="401">
        <v>224000000</v>
      </c>
      <c r="E116" s="401">
        <f>224000000+40000000</f>
        <v>264000000</v>
      </c>
      <c r="F116" s="1693">
        <v>264000000</v>
      </c>
      <c r="G116" s="401"/>
      <c r="H116" s="627">
        <f t="shared" si="26"/>
        <v>40000000</v>
      </c>
      <c r="I116" s="1442"/>
      <c r="J116" s="401">
        <v>169600000</v>
      </c>
      <c r="K116" s="1456"/>
      <c r="L116" s="1467">
        <f t="shared" si="25"/>
        <v>64.242424242424249</v>
      </c>
      <c r="M116" s="1485"/>
      <c r="O116" s="25" t="s">
        <v>385</v>
      </c>
    </row>
    <row r="117" spans="1:18" ht="12.2" customHeight="1" thickBot="1" x14ac:dyDescent="0.25">
      <c r="A117" s="12" t="s">
        <v>320</v>
      </c>
      <c r="B117" s="351" t="s">
        <v>228</v>
      </c>
      <c r="C117" s="1451">
        <f>'13.támogatás'!C58</f>
        <v>158000000</v>
      </c>
      <c r="D117" s="1451">
        <f>'13.támogatás'!D58</f>
        <v>359372000</v>
      </c>
      <c r="E117" s="625">
        <f>'13.támogatás'!E58</f>
        <v>392372000</v>
      </c>
      <c r="F117" s="1706">
        <f>'13.támogatás'!F58</f>
        <v>392372000</v>
      </c>
      <c r="G117" s="625">
        <f>'13.támogatás'!G58</f>
        <v>0</v>
      </c>
      <c r="H117" s="629">
        <f t="shared" si="26"/>
        <v>33000000</v>
      </c>
      <c r="I117" s="1443">
        <f>'13.támogatás'!I58</f>
        <v>0</v>
      </c>
      <c r="J117" s="1451">
        <f>'13.támogatás'!J58</f>
        <v>305925756</v>
      </c>
      <c r="K117" s="1457">
        <f>'13.támogatás'!K58</f>
        <v>0</v>
      </c>
      <c r="L117" s="1468">
        <f t="shared" si="25"/>
        <v>77.968294373706584</v>
      </c>
      <c r="M117" s="1485"/>
    </row>
    <row r="118" spans="1:18" ht="12.2" customHeight="1" thickBot="1" x14ac:dyDescent="0.25">
      <c r="A118" s="14" t="s">
        <v>14</v>
      </c>
      <c r="B118" s="56" t="s">
        <v>540</v>
      </c>
      <c r="C118" s="113">
        <f>+C90+C108</f>
        <v>7381796459</v>
      </c>
      <c r="D118" s="113">
        <f>+D90+D108</f>
        <v>8004385053</v>
      </c>
      <c r="E118" s="186">
        <f>+E90+E108</f>
        <v>9090403361</v>
      </c>
      <c r="F118" s="1691">
        <f t="shared" ref="F118:K118" si="31">+F90+F108</f>
        <v>9099080073</v>
      </c>
      <c r="G118" s="186">
        <f t="shared" si="31"/>
        <v>0</v>
      </c>
      <c r="H118" s="628">
        <f t="shared" si="26"/>
        <v>1086018308</v>
      </c>
      <c r="I118" s="1440">
        <f t="shared" si="31"/>
        <v>30000000</v>
      </c>
      <c r="J118" s="113">
        <f t="shared" si="31"/>
        <v>5058459904</v>
      </c>
      <c r="K118" s="1454">
        <f t="shared" si="31"/>
        <v>0</v>
      </c>
      <c r="L118" s="1465">
        <f t="shared" si="25"/>
        <v>55.593091427012872</v>
      </c>
      <c r="M118" s="1485"/>
    </row>
    <row r="119" spans="1:18" ht="12.2" customHeight="1" thickBot="1" x14ac:dyDescent="0.25">
      <c r="A119" s="14" t="s">
        <v>15</v>
      </c>
      <c r="B119" s="56" t="s">
        <v>541</v>
      </c>
      <c r="C119" s="113">
        <f t="shared" ref="C119:K119" si="32">+C120+C121+C122</f>
        <v>0</v>
      </c>
      <c r="D119" s="113">
        <f t="shared" si="32"/>
        <v>0</v>
      </c>
      <c r="E119" s="113">
        <f t="shared" si="32"/>
        <v>0</v>
      </c>
      <c r="F119" s="1711">
        <f t="shared" si="32"/>
        <v>0</v>
      </c>
      <c r="G119" s="113">
        <f t="shared" si="32"/>
        <v>0</v>
      </c>
      <c r="H119" s="628">
        <f t="shared" si="26"/>
        <v>0</v>
      </c>
      <c r="I119" s="1440">
        <f t="shared" si="32"/>
        <v>0</v>
      </c>
      <c r="J119" s="113">
        <f t="shared" si="32"/>
        <v>0</v>
      </c>
      <c r="K119" s="1454">
        <f t="shared" si="32"/>
        <v>0</v>
      </c>
      <c r="L119" s="1465" t="str">
        <f t="shared" si="25"/>
        <v/>
      </c>
      <c r="M119" s="1485"/>
    </row>
    <row r="120" spans="1:18" s="31" customFormat="1" ht="12.2" customHeight="1" x14ac:dyDescent="0.2">
      <c r="A120" s="12" t="s">
        <v>100</v>
      </c>
      <c r="B120" s="17" t="s">
        <v>371</v>
      </c>
      <c r="C120" s="401"/>
      <c r="D120" s="401"/>
      <c r="E120" s="401"/>
      <c r="F120" s="1693"/>
      <c r="G120" s="401"/>
      <c r="H120" s="627">
        <f t="shared" si="26"/>
        <v>0</v>
      </c>
      <c r="I120" s="1442"/>
      <c r="J120" s="401"/>
      <c r="K120" s="1456"/>
      <c r="L120" s="1467" t="str">
        <f t="shared" si="25"/>
        <v/>
      </c>
      <c r="M120" s="1484"/>
    </row>
    <row r="121" spans="1:18" ht="12.2" customHeight="1" x14ac:dyDescent="0.2">
      <c r="A121" s="12" t="s">
        <v>101</v>
      </c>
      <c r="B121" s="17" t="s">
        <v>243</v>
      </c>
      <c r="C121" s="401"/>
      <c r="D121" s="401"/>
      <c r="E121" s="401"/>
      <c r="F121" s="1693"/>
      <c r="G121" s="401"/>
      <c r="H121" s="627">
        <f t="shared" si="26"/>
        <v>0</v>
      </c>
      <c r="I121" s="1442"/>
      <c r="J121" s="401"/>
      <c r="K121" s="1456"/>
      <c r="L121" s="1467" t="str">
        <f t="shared" si="25"/>
        <v/>
      </c>
      <c r="M121" s="1485"/>
      <c r="N121" s="18">
        <f>+F134-F85</f>
        <v>0</v>
      </c>
    </row>
    <row r="122" spans="1:18" ht="12.2" customHeight="1" thickBot="1" x14ac:dyDescent="0.25">
      <c r="A122" s="13" t="s">
        <v>164</v>
      </c>
      <c r="B122" s="52" t="s">
        <v>244</v>
      </c>
      <c r="C122" s="401"/>
      <c r="D122" s="401"/>
      <c r="E122" s="401"/>
      <c r="F122" s="1693"/>
      <c r="G122" s="401"/>
      <c r="H122" s="627">
        <f t="shared" si="26"/>
        <v>0</v>
      </c>
      <c r="I122" s="1442"/>
      <c r="J122" s="401"/>
      <c r="K122" s="1456"/>
      <c r="L122" s="1467" t="str">
        <f t="shared" si="25"/>
        <v/>
      </c>
      <c r="M122" s="1485"/>
    </row>
    <row r="123" spans="1:18" ht="12.2" customHeight="1" thickBot="1" x14ac:dyDescent="0.25">
      <c r="A123" s="14" t="s">
        <v>16</v>
      </c>
      <c r="B123" s="56" t="s">
        <v>545</v>
      </c>
      <c r="C123" s="113">
        <f>+C124+C126+C125</f>
        <v>0</v>
      </c>
      <c r="D123" s="113">
        <f t="shared" ref="D123:K123" si="33">+D124+D126</f>
        <v>468945500</v>
      </c>
      <c r="E123" s="186">
        <f t="shared" si="33"/>
        <v>468945500</v>
      </c>
      <c r="F123" s="1691">
        <f t="shared" si="33"/>
        <v>468945500</v>
      </c>
      <c r="G123" s="186">
        <f t="shared" si="33"/>
        <v>0</v>
      </c>
      <c r="H123" s="628">
        <f t="shared" si="26"/>
        <v>0</v>
      </c>
      <c r="I123" s="1440">
        <f t="shared" si="33"/>
        <v>0</v>
      </c>
      <c r="J123" s="113">
        <f t="shared" si="33"/>
        <v>468945500</v>
      </c>
      <c r="K123" s="1454">
        <f t="shared" si="33"/>
        <v>0</v>
      </c>
      <c r="L123" s="1465">
        <f t="shared" si="25"/>
        <v>100</v>
      </c>
      <c r="M123" s="1485"/>
    </row>
    <row r="124" spans="1:18" ht="12.2" customHeight="1" x14ac:dyDescent="0.2">
      <c r="A124" s="12" t="s">
        <v>89</v>
      </c>
      <c r="B124" s="17" t="s">
        <v>391</v>
      </c>
      <c r="C124" s="401"/>
      <c r="D124" s="401">
        <v>468945500</v>
      </c>
      <c r="E124" s="401">
        <v>468945500</v>
      </c>
      <c r="F124" s="1693">
        <v>468945500</v>
      </c>
      <c r="G124" s="401"/>
      <c r="H124" s="627">
        <f t="shared" si="26"/>
        <v>0</v>
      </c>
      <c r="I124" s="1442"/>
      <c r="J124" s="401">
        <v>468945500</v>
      </c>
      <c r="K124" s="1456"/>
      <c r="L124" s="1467">
        <f t="shared" si="25"/>
        <v>100</v>
      </c>
      <c r="M124" s="1485"/>
    </row>
    <row r="125" spans="1:18" ht="12.2" customHeight="1" x14ac:dyDescent="0.2">
      <c r="A125" s="12" t="s">
        <v>102</v>
      </c>
      <c r="B125" s="17" t="s">
        <v>392</v>
      </c>
      <c r="C125" s="401"/>
      <c r="D125" s="401"/>
      <c r="E125" s="401"/>
      <c r="F125" s="1693"/>
      <c r="G125" s="401"/>
      <c r="H125" s="627">
        <f t="shared" si="26"/>
        <v>0</v>
      </c>
      <c r="I125" s="1442"/>
      <c r="J125" s="401"/>
      <c r="K125" s="1456"/>
      <c r="L125" s="1467" t="str">
        <f t="shared" si="25"/>
        <v/>
      </c>
      <c r="M125" s="1485"/>
    </row>
    <row r="126" spans="1:18" ht="12.2" customHeight="1" thickBot="1" x14ac:dyDescent="0.25">
      <c r="A126" s="12" t="s">
        <v>103</v>
      </c>
      <c r="B126" s="717" t="s">
        <v>536</v>
      </c>
      <c r="C126" s="401"/>
      <c r="D126" s="401"/>
      <c r="E126" s="401"/>
      <c r="F126" s="1693"/>
      <c r="G126" s="401"/>
      <c r="H126" s="627">
        <f t="shared" si="26"/>
        <v>0</v>
      </c>
      <c r="I126" s="1442"/>
      <c r="J126" s="401"/>
      <c r="K126" s="1456"/>
      <c r="L126" s="1467" t="str">
        <f t="shared" si="25"/>
        <v/>
      </c>
      <c r="M126" s="1485"/>
    </row>
    <row r="127" spans="1:18" ht="12.2" customHeight="1" thickBot="1" x14ac:dyDescent="0.25">
      <c r="A127" s="14" t="s">
        <v>17</v>
      </c>
      <c r="B127" s="56" t="s">
        <v>542</v>
      </c>
      <c r="C127" s="1023">
        <f t="shared" ref="C127:K127" si="34">SUM(C128:C132)</f>
        <v>3537725968</v>
      </c>
      <c r="D127" s="1023">
        <f t="shared" si="34"/>
        <v>4875608598</v>
      </c>
      <c r="E127" s="187">
        <f t="shared" si="34"/>
        <v>6395592960</v>
      </c>
      <c r="F127" s="1696">
        <f t="shared" si="34"/>
        <v>6665548902</v>
      </c>
      <c r="G127" s="187">
        <f t="shared" si="34"/>
        <v>2969136</v>
      </c>
      <c r="H127" s="638">
        <f t="shared" si="26"/>
        <v>1519984362</v>
      </c>
      <c r="I127" s="1444">
        <f t="shared" si="34"/>
        <v>183572593</v>
      </c>
      <c r="J127" s="1023">
        <f t="shared" si="34"/>
        <v>77753757036</v>
      </c>
      <c r="K127" s="624" t="e">
        <f t="shared" si="34"/>
        <v>#VALUE!</v>
      </c>
      <c r="L127" s="1469">
        <f t="shared" si="25"/>
        <v>1166.5019367372724</v>
      </c>
      <c r="M127" s="1485"/>
      <c r="R127" s="79"/>
    </row>
    <row r="128" spans="1:18" ht="11.25" customHeight="1" x14ac:dyDescent="0.2">
      <c r="A128" s="12" t="s">
        <v>104</v>
      </c>
      <c r="B128" s="17" t="s">
        <v>240</v>
      </c>
      <c r="C128" s="401">
        <f>'5.Int.össz'!C46</f>
        <v>3442643331</v>
      </c>
      <c r="D128" s="401">
        <f>'5.Int.össz'!D46</f>
        <v>3288471855</v>
      </c>
      <c r="E128" s="401">
        <f>'5.Int.össz'!E46</f>
        <v>3996486929</v>
      </c>
      <c r="F128" s="1693">
        <f>'5.Int.össz'!F46</f>
        <v>3996486929</v>
      </c>
      <c r="G128" s="401">
        <f>'5.Int.össz'!G46</f>
        <v>2969136</v>
      </c>
      <c r="H128" s="627">
        <f t="shared" si="26"/>
        <v>708015074</v>
      </c>
      <c r="I128" s="1442">
        <f>'5.Int.össz'!I46</f>
        <v>2969138</v>
      </c>
      <c r="J128" s="1693">
        <f>'5.Int.össz'!J46</f>
        <v>2637547570</v>
      </c>
      <c r="K128" s="1456" t="e">
        <f>'5.Int.össz'!K46</f>
        <v>#VALUE!</v>
      </c>
      <c r="L128" s="1467">
        <f t="shared" si="25"/>
        <v>65.996651981042916</v>
      </c>
      <c r="M128" s="1485"/>
      <c r="N128" s="18"/>
    </row>
    <row r="129" spans="1:15" ht="12.2" customHeight="1" x14ac:dyDescent="0.2">
      <c r="A129" s="12" t="s">
        <v>105</v>
      </c>
      <c r="B129" s="17" t="s">
        <v>241</v>
      </c>
      <c r="C129" s="401">
        <f>'5.Int.össz'!C47</f>
        <v>42260811</v>
      </c>
      <c r="D129" s="401">
        <f>'5.Int.össz'!D47</f>
        <v>71747225</v>
      </c>
      <c r="E129" s="401">
        <f>'5.Int.össz'!E47</f>
        <v>84759825</v>
      </c>
      <c r="F129" s="1693">
        <f>'5.Int.össz'!F47</f>
        <v>84759825</v>
      </c>
      <c r="G129" s="401">
        <f>'5.Int.össz'!G47</f>
        <v>0</v>
      </c>
      <c r="H129" s="627">
        <f t="shared" si="26"/>
        <v>13012600</v>
      </c>
      <c r="I129" s="1442">
        <f>'5.Int.össz'!I47</f>
        <v>180603455</v>
      </c>
      <c r="J129" s="1693">
        <f>'5.Int.össz'!J47</f>
        <v>52783483</v>
      </c>
      <c r="K129" s="1456">
        <f>'5.Int.össz'!K47</f>
        <v>175.50548216442655</v>
      </c>
      <c r="L129" s="1467">
        <f t="shared" si="25"/>
        <v>62.274176474526698</v>
      </c>
      <c r="M129" s="1485"/>
    </row>
    <row r="130" spans="1:15" s="31" customFormat="1" ht="12.2" customHeight="1" x14ac:dyDescent="0.2">
      <c r="A130" s="12" t="s">
        <v>205</v>
      </c>
      <c r="B130" s="17" t="s">
        <v>372</v>
      </c>
      <c r="C130" s="401"/>
      <c r="D130" s="401"/>
      <c r="E130" s="401"/>
      <c r="F130" s="1693"/>
      <c r="G130" s="401"/>
      <c r="H130" s="627">
        <f t="shared" si="26"/>
        <v>0</v>
      </c>
      <c r="I130" s="1442"/>
      <c r="J130" s="401">
        <v>72479123835</v>
      </c>
      <c r="K130" s="1456"/>
      <c r="L130" s="1467" t="str">
        <f t="shared" si="25"/>
        <v/>
      </c>
      <c r="M130" s="1484"/>
    </row>
    <row r="131" spans="1:15" s="31" customFormat="1" ht="12.2" customHeight="1" x14ac:dyDescent="0.2">
      <c r="A131" s="1003" t="s">
        <v>206</v>
      </c>
      <c r="B131" s="330" t="s">
        <v>229</v>
      </c>
      <c r="C131" s="401"/>
      <c r="D131" s="401"/>
      <c r="E131" s="401"/>
      <c r="F131" s="1693"/>
      <c r="G131" s="401"/>
      <c r="H131" s="627">
        <f t="shared" si="26"/>
        <v>0</v>
      </c>
      <c r="I131" s="1442"/>
      <c r="J131" s="401"/>
      <c r="K131" s="1456"/>
      <c r="L131" s="1467" t="str">
        <f t="shared" si="25"/>
        <v/>
      </c>
      <c r="M131" s="1484"/>
    </row>
    <row r="132" spans="1:15" s="31" customFormat="1" ht="12.2" customHeight="1" thickBot="1" x14ac:dyDescent="0.25">
      <c r="A132" s="13" t="s">
        <v>208</v>
      </c>
      <c r="B132" s="52" t="s">
        <v>352</v>
      </c>
      <c r="C132" s="401">
        <v>52821826</v>
      </c>
      <c r="D132" s="401">
        <f>52821826+389271334+256887003+253048039+296839635+266521681</f>
        <v>1515389518</v>
      </c>
      <c r="E132" s="401">
        <f>1515389518+275440984+262367735+261147969</f>
        <v>2314346206</v>
      </c>
      <c r="F132" s="1693">
        <f>2314346206+269955942</f>
        <v>2584302148</v>
      </c>
      <c r="G132" s="401"/>
      <c r="H132" s="627">
        <f t="shared" si="26"/>
        <v>798956688</v>
      </c>
      <c r="I132" s="1442"/>
      <c r="J132" s="401">
        <v>2584302148</v>
      </c>
      <c r="K132" s="1456"/>
      <c r="L132" s="1467">
        <f t="shared" si="25"/>
        <v>100</v>
      </c>
      <c r="M132" s="1484"/>
    </row>
    <row r="133" spans="1:15" ht="12.2" customHeight="1" thickBot="1" x14ac:dyDescent="0.25">
      <c r="A133" s="14" t="s">
        <v>18</v>
      </c>
      <c r="B133" s="56" t="s">
        <v>544</v>
      </c>
      <c r="C133" s="1024">
        <f t="shared" ref="C133:K133" si="35">+C119+C123+C127</f>
        <v>3537725968</v>
      </c>
      <c r="D133" s="1024">
        <f t="shared" si="35"/>
        <v>5344554098</v>
      </c>
      <c r="E133" s="349">
        <f t="shared" si="35"/>
        <v>6864538460</v>
      </c>
      <c r="F133" s="1712">
        <f t="shared" si="35"/>
        <v>7134494402</v>
      </c>
      <c r="G133" s="349">
        <f t="shared" si="35"/>
        <v>2969136</v>
      </c>
      <c r="H133" s="673">
        <f t="shared" si="26"/>
        <v>1519984362</v>
      </c>
      <c r="I133" s="1478">
        <f t="shared" si="35"/>
        <v>183572593</v>
      </c>
      <c r="J133" s="1083">
        <f t="shared" si="35"/>
        <v>78222702536</v>
      </c>
      <c r="K133" s="1482" t="e">
        <f t="shared" si="35"/>
        <v>#VALUE!</v>
      </c>
      <c r="L133" s="1743">
        <f t="shared" si="25"/>
        <v>1096.4014845126512</v>
      </c>
      <c r="M133" s="1485"/>
    </row>
    <row r="134" spans="1:15" ht="15" customHeight="1" thickBot="1" x14ac:dyDescent="0.25">
      <c r="A134" s="80" t="s">
        <v>19</v>
      </c>
      <c r="B134" s="350" t="s">
        <v>543</v>
      </c>
      <c r="C134" s="1024">
        <f>+C118+C133</f>
        <v>10919522427</v>
      </c>
      <c r="D134" s="1024">
        <f t="shared" ref="D134:K134" si="36">+D118+D133</f>
        <v>13348939151</v>
      </c>
      <c r="E134" s="349">
        <f t="shared" si="36"/>
        <v>15954941821</v>
      </c>
      <c r="F134" s="1712">
        <f t="shared" si="36"/>
        <v>16233574475</v>
      </c>
      <c r="G134" s="349">
        <f t="shared" si="36"/>
        <v>2969136</v>
      </c>
      <c r="H134" s="673">
        <f>+E134-D134</f>
        <v>2606002670</v>
      </c>
      <c r="I134" s="1478">
        <f t="shared" si="36"/>
        <v>213572593</v>
      </c>
      <c r="J134" s="1083">
        <f t="shared" si="36"/>
        <v>83281162440</v>
      </c>
      <c r="K134" s="1482" t="e">
        <f t="shared" si="36"/>
        <v>#VALUE!</v>
      </c>
      <c r="L134" s="1743">
        <f t="shared" si="25"/>
        <v>513.01802057368513</v>
      </c>
      <c r="M134" s="1485"/>
      <c r="O134" s="18"/>
    </row>
    <row r="135" spans="1:15" ht="13.5" thickBot="1" x14ac:dyDescent="0.25">
      <c r="L135" s="142" t="str">
        <f t="shared" si="25"/>
        <v/>
      </c>
    </row>
    <row r="136" spans="1:15" s="602" customFormat="1" ht="15" customHeight="1" thickBot="1" x14ac:dyDescent="0.25">
      <c r="A136" s="596" t="s">
        <v>290</v>
      </c>
      <c r="B136" s="597"/>
      <c r="C136" s="603">
        <v>3</v>
      </c>
      <c r="D136" s="1114">
        <v>3</v>
      </c>
      <c r="E136" s="599">
        <v>3</v>
      </c>
      <c r="F136" s="1714">
        <v>3</v>
      </c>
      <c r="G136" s="599"/>
      <c r="H136" s="1020">
        <f t="shared" si="26"/>
        <v>0</v>
      </c>
      <c r="I136" s="1486"/>
      <c r="J136" s="598">
        <v>3</v>
      </c>
      <c r="K136" s="615"/>
      <c r="L136" s="1487">
        <f t="shared" si="25"/>
        <v>100</v>
      </c>
      <c r="M136" s="604"/>
    </row>
    <row r="137" spans="1:15" s="602" customFormat="1" ht="14.25" hidden="1" customHeight="1" thickBot="1" x14ac:dyDescent="0.25">
      <c r="A137" s="596" t="s">
        <v>291</v>
      </c>
      <c r="B137" s="597"/>
      <c r="C137" s="720"/>
      <c r="D137" s="599"/>
      <c r="E137" s="599"/>
      <c r="F137" s="1714"/>
      <c r="G137" s="599"/>
      <c r="H137" s="615"/>
      <c r="I137" s="600"/>
      <c r="J137" s="600"/>
      <c r="K137" s="600"/>
      <c r="L137" s="601" t="e">
        <f>I137/D137*100</f>
        <v>#DIV/0!</v>
      </c>
      <c r="M137" s="604"/>
    </row>
    <row r="138" spans="1:15" x14ac:dyDescent="0.2">
      <c r="H138" s="1019"/>
    </row>
    <row r="139" spans="1:15" x14ac:dyDescent="0.2">
      <c r="D139" s="344"/>
      <c r="E139" s="344"/>
      <c r="F139" s="1715"/>
      <c r="G139" s="344">
        <f>G85-G134</f>
        <v>-2969136</v>
      </c>
      <c r="H139" s="344"/>
    </row>
  </sheetData>
  <sheetProtection formatCells="0"/>
  <mergeCells count="10">
    <mergeCell ref="A1:L1"/>
    <mergeCell ref="A7:L7"/>
    <mergeCell ref="A8:L8"/>
    <mergeCell ref="A87:L87"/>
    <mergeCell ref="A11:L11"/>
    <mergeCell ref="A88:L88"/>
    <mergeCell ref="A3:L3"/>
    <mergeCell ref="A2:H2"/>
    <mergeCell ref="C4:L4"/>
    <mergeCell ref="C5:L5"/>
  </mergeCells>
  <phoneticPr fontId="45" type="noConversion"/>
  <printOptions horizontalCentered="1"/>
  <pageMargins left="0.19685039370078741" right="0.19685039370078741" top="0.39370078740157483" bottom="0.19685039370078741" header="0.78740157480314965" footer="0.78740157480314965"/>
  <pageSetup paperSize="9" scale="70" orientation="portrait" r:id="rId1"/>
  <headerFooter alignWithMargins="0"/>
  <rowBreaks count="1" manualBreakCount="1">
    <brk id="86" max="11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4"/>
  <sheetViews>
    <sheetView view="pageBreakPreview" zoomScale="148" zoomScaleNormal="100" zoomScaleSheetLayoutView="148" workbookViewId="0">
      <selection activeCell="A2" sqref="A2:H2"/>
    </sheetView>
  </sheetViews>
  <sheetFormatPr defaultRowHeight="12.75" x14ac:dyDescent="0.2"/>
  <cols>
    <col min="1" max="1" width="12" style="988" customWidth="1"/>
    <col min="2" max="2" width="67" style="25" customWidth="1"/>
    <col min="3" max="3" width="14.6640625" style="25" customWidth="1"/>
    <col min="4" max="4" width="16.1640625" style="25" customWidth="1"/>
    <col min="5" max="5" width="16.5" style="25" customWidth="1"/>
    <col min="6" max="7" width="17" style="25" hidden="1" customWidth="1"/>
    <col min="8" max="8" width="16.16406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535" customFormat="1" ht="12.75" customHeight="1" x14ac:dyDescent="0.2">
      <c r="A1" s="1774" t="s">
        <v>809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730</v>
      </c>
      <c r="B2" s="1774"/>
      <c r="C2" s="1774"/>
      <c r="D2" s="1774"/>
      <c r="E2" s="1774"/>
      <c r="F2" s="1774"/>
      <c r="G2" s="1774"/>
      <c r="H2" s="1774"/>
    </row>
    <row r="3" spans="1:12" s="24" customFormat="1" ht="21.2" customHeight="1" thickBot="1" x14ac:dyDescent="0.25">
      <c r="A3" s="170"/>
      <c r="C3" s="982"/>
      <c r="D3" s="982"/>
      <c r="E3" s="982"/>
      <c r="F3" s="982"/>
      <c r="G3" s="982"/>
      <c r="H3" s="982"/>
      <c r="I3" s="982"/>
      <c r="J3" s="982"/>
      <c r="K3" s="982"/>
      <c r="L3" s="982"/>
    </row>
    <row r="4" spans="1:12" s="38" customFormat="1" ht="38.25" customHeight="1" x14ac:dyDescent="0.2">
      <c r="A4" s="36" t="s">
        <v>137</v>
      </c>
      <c r="B4" s="37" t="s">
        <v>289</v>
      </c>
      <c r="C4" s="1806" t="s">
        <v>183</v>
      </c>
      <c r="D4" s="1807"/>
      <c r="E4" s="1807"/>
      <c r="F4" s="1807"/>
      <c r="G4" s="1807"/>
      <c r="H4" s="1808" t="s">
        <v>183</v>
      </c>
    </row>
    <row r="5" spans="1:12" s="38" customFormat="1" ht="36.75" thickBot="1" x14ac:dyDescent="0.25">
      <c r="A5" s="39" t="s">
        <v>139</v>
      </c>
      <c r="B5" s="40" t="s">
        <v>404</v>
      </c>
      <c r="C5" s="1809" t="s">
        <v>141</v>
      </c>
      <c r="D5" s="1810"/>
      <c r="E5" s="1810"/>
      <c r="F5" s="1810"/>
      <c r="G5" s="1810"/>
      <c r="H5" s="1811" t="s">
        <v>141</v>
      </c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2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91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82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0</v>
      </c>
      <c r="D10" s="127">
        <f>SUM(D11:D21)</f>
        <v>0</v>
      </c>
      <c r="E10" s="582"/>
      <c r="F10" s="582"/>
      <c r="G10" s="582"/>
      <c r="H10" s="595">
        <f>SUM(H11:H21)</f>
        <v>0</v>
      </c>
      <c r="I10" s="1085"/>
      <c r="J10" s="595"/>
      <c r="K10" s="595"/>
      <c r="L10" s="595"/>
    </row>
    <row r="11" spans="1:12" s="26" customFormat="1" ht="12.2" customHeight="1" x14ac:dyDescent="0.2">
      <c r="A11" s="49" t="s">
        <v>91</v>
      </c>
      <c r="B11" s="50" t="s">
        <v>143</v>
      </c>
      <c r="C11" s="128"/>
      <c r="D11" s="192"/>
      <c r="E11" s="583"/>
      <c r="F11" s="583"/>
      <c r="G11" s="583"/>
      <c r="H11" s="540"/>
      <c r="I11" s="1086"/>
      <c r="J11" s="540"/>
      <c r="K11" s="540"/>
      <c r="L11" s="540"/>
    </row>
    <row r="12" spans="1:12" s="26" customFormat="1" ht="12.2" customHeight="1" x14ac:dyDescent="0.2">
      <c r="A12" s="1037" t="s">
        <v>92</v>
      </c>
      <c r="B12" s="330" t="s">
        <v>144</v>
      </c>
      <c r="C12" s="331"/>
      <c r="D12" s="340"/>
      <c r="E12" s="88"/>
      <c r="F12" s="88"/>
      <c r="G12" s="88"/>
      <c r="H12" s="541"/>
      <c r="I12" s="1087"/>
      <c r="J12" s="541"/>
      <c r="K12" s="541"/>
      <c r="L12" s="541"/>
    </row>
    <row r="13" spans="1:12" s="26" customFormat="1" ht="12.2" customHeight="1" x14ac:dyDescent="0.2">
      <c r="A13" s="1037" t="s">
        <v>93</v>
      </c>
      <c r="B13" s="330" t="s">
        <v>145</v>
      </c>
      <c r="C13" s="331"/>
      <c r="D13" s="340"/>
      <c r="E13" s="88"/>
      <c r="F13" s="88"/>
      <c r="G13" s="88"/>
      <c r="H13" s="541"/>
      <c r="I13" s="1087"/>
      <c r="J13" s="541"/>
      <c r="K13" s="541"/>
      <c r="L13" s="541"/>
    </row>
    <row r="14" spans="1:12" s="26" customFormat="1" ht="12.2" customHeight="1" x14ac:dyDescent="0.2">
      <c r="A14" s="1037" t="s">
        <v>90</v>
      </c>
      <c r="B14" s="330" t="s">
        <v>146</v>
      </c>
      <c r="C14" s="331"/>
      <c r="D14" s="340"/>
      <c r="E14" s="88"/>
      <c r="F14" s="88"/>
      <c r="G14" s="88"/>
      <c r="H14" s="541"/>
      <c r="I14" s="1087"/>
      <c r="J14" s="541"/>
      <c r="K14" s="541"/>
      <c r="L14" s="541"/>
    </row>
    <row r="15" spans="1:12" s="26" customFormat="1" ht="12.2" customHeight="1" x14ac:dyDescent="0.2">
      <c r="A15" s="1037" t="s">
        <v>147</v>
      </c>
      <c r="B15" s="330" t="s">
        <v>148</v>
      </c>
      <c r="C15" s="331"/>
      <c r="D15" s="340"/>
      <c r="E15" s="88"/>
      <c r="F15" s="88"/>
      <c r="G15" s="88"/>
      <c r="H15" s="541"/>
      <c r="I15" s="1087"/>
      <c r="J15" s="541"/>
      <c r="K15" s="541"/>
      <c r="L15" s="541"/>
    </row>
    <row r="16" spans="1:12" s="26" customFormat="1" ht="12.2" customHeight="1" x14ac:dyDescent="0.2">
      <c r="A16" s="1037" t="s">
        <v>149</v>
      </c>
      <c r="B16" s="330" t="s">
        <v>150</v>
      </c>
      <c r="C16" s="331"/>
      <c r="D16" s="340"/>
      <c r="E16" s="88"/>
      <c r="F16" s="88"/>
      <c r="G16" s="88"/>
      <c r="H16" s="541"/>
      <c r="I16" s="1087"/>
      <c r="J16" s="541"/>
      <c r="K16" s="541"/>
      <c r="L16" s="541"/>
    </row>
    <row r="17" spans="1:12" s="26" customFormat="1" ht="12.2" customHeight="1" x14ac:dyDescent="0.2">
      <c r="A17" s="1037" t="s">
        <v>151</v>
      </c>
      <c r="B17" s="52" t="s">
        <v>152</v>
      </c>
      <c r="C17" s="331"/>
      <c r="D17" s="340"/>
      <c r="E17" s="88"/>
      <c r="F17" s="88"/>
      <c r="G17" s="88"/>
      <c r="H17" s="541"/>
      <c r="I17" s="1087"/>
      <c r="J17" s="541"/>
      <c r="K17" s="541"/>
      <c r="L17" s="541"/>
    </row>
    <row r="18" spans="1:12" s="26" customFormat="1" ht="12.2" customHeight="1" x14ac:dyDescent="0.2">
      <c r="A18" s="1037" t="s">
        <v>153</v>
      </c>
      <c r="B18" s="345" t="s">
        <v>302</v>
      </c>
      <c r="C18" s="121"/>
      <c r="D18" s="188"/>
      <c r="E18" s="90"/>
      <c r="F18" s="90"/>
      <c r="G18" s="90"/>
      <c r="H18" s="542"/>
      <c r="I18" s="1088"/>
      <c r="J18" s="542"/>
      <c r="K18" s="542"/>
      <c r="L18" s="542"/>
    </row>
    <row r="19" spans="1:12" s="54" customFormat="1" ht="12.2" customHeight="1" x14ac:dyDescent="0.2">
      <c r="A19" s="1037" t="s">
        <v>154</v>
      </c>
      <c r="B19" s="330" t="s">
        <v>155</v>
      </c>
      <c r="C19" s="331"/>
      <c r="D19" s="340"/>
      <c r="E19" s="88"/>
      <c r="F19" s="88"/>
      <c r="G19" s="88"/>
      <c r="H19" s="541"/>
      <c r="I19" s="1087"/>
      <c r="J19" s="541"/>
      <c r="K19" s="541"/>
      <c r="L19" s="541"/>
    </row>
    <row r="20" spans="1:12" s="54" customFormat="1" ht="12.2" customHeight="1" x14ac:dyDescent="0.2">
      <c r="A20" s="1037" t="s">
        <v>156</v>
      </c>
      <c r="B20" s="345" t="s">
        <v>275</v>
      </c>
      <c r="C20" s="333"/>
      <c r="D20" s="341"/>
      <c r="E20" s="88"/>
      <c r="F20" s="88"/>
      <c r="G20" s="331"/>
      <c r="H20" s="543"/>
      <c r="I20" s="1089"/>
      <c r="J20" s="543"/>
      <c r="K20" s="543"/>
      <c r="L20" s="543"/>
    </row>
    <row r="21" spans="1:12" s="54" customFormat="1" ht="12.2" customHeight="1" thickBot="1" x14ac:dyDescent="0.25">
      <c r="A21" s="1037" t="s">
        <v>276</v>
      </c>
      <c r="B21" s="52" t="s">
        <v>157</v>
      </c>
      <c r="C21" s="333"/>
      <c r="D21" s="341"/>
      <c r="E21" s="90"/>
      <c r="F21" s="90"/>
      <c r="G21" s="90"/>
      <c r="H21" s="544"/>
      <c r="I21" s="1090"/>
      <c r="J21" s="544"/>
      <c r="K21" s="544"/>
      <c r="L21" s="544"/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SUM(C23:C25)</f>
        <v>0</v>
      </c>
      <c r="D22" s="127">
        <f>SUM(D23:D25)</f>
        <v>0</v>
      </c>
      <c r="E22" s="582"/>
      <c r="F22" s="582"/>
      <c r="G22" s="582"/>
      <c r="H22" s="48">
        <f>SUM(H23:H25)</f>
        <v>0</v>
      </c>
      <c r="I22" s="175"/>
      <c r="J22" s="48"/>
      <c r="K22" s="48"/>
      <c r="L22" s="48"/>
    </row>
    <row r="23" spans="1:12" s="54" customFormat="1" ht="12.2" customHeight="1" x14ac:dyDescent="0.2">
      <c r="A23" s="1037" t="s">
        <v>94</v>
      </c>
      <c r="B23" s="17" t="s">
        <v>159</v>
      </c>
      <c r="C23" s="331"/>
      <c r="D23" s="340"/>
      <c r="E23" s="584"/>
      <c r="F23" s="584"/>
      <c r="G23" s="584"/>
      <c r="H23" s="75"/>
      <c r="I23" s="637"/>
      <c r="J23" s="75"/>
      <c r="K23" s="75"/>
      <c r="L23" s="75"/>
    </row>
    <row r="24" spans="1:12" s="54" customFormat="1" ht="12.2" customHeight="1" x14ac:dyDescent="0.2">
      <c r="A24" s="1037" t="s">
        <v>95</v>
      </c>
      <c r="B24" s="330" t="s">
        <v>160</v>
      </c>
      <c r="C24" s="331"/>
      <c r="D24" s="340"/>
      <c r="E24" s="88"/>
      <c r="F24" s="88"/>
      <c r="G24" s="88"/>
      <c r="H24" s="541"/>
      <c r="I24" s="1087"/>
      <c r="J24" s="541"/>
      <c r="K24" s="541"/>
      <c r="L24" s="541"/>
    </row>
    <row r="25" spans="1:12" s="54" customFormat="1" ht="12.2" customHeight="1" x14ac:dyDescent="0.2">
      <c r="A25" s="1037" t="s">
        <v>96</v>
      </c>
      <c r="B25" s="330" t="s">
        <v>161</v>
      </c>
      <c r="C25" s="331"/>
      <c r="D25" s="340"/>
      <c r="E25" s="88"/>
      <c r="F25" s="88"/>
      <c r="G25" s="88"/>
      <c r="H25" s="541"/>
      <c r="I25" s="1087"/>
      <c r="J25" s="541"/>
      <c r="K25" s="541"/>
      <c r="L25" s="541"/>
    </row>
    <row r="26" spans="1:12" s="54" customFormat="1" ht="12.2" customHeight="1" thickBot="1" x14ac:dyDescent="0.25">
      <c r="A26" s="1037" t="s">
        <v>317</v>
      </c>
      <c r="B26" s="335" t="s">
        <v>233</v>
      </c>
      <c r="C26" s="331"/>
      <c r="D26" s="340"/>
      <c r="E26" s="88"/>
      <c r="F26" s="88"/>
      <c r="G26" s="88"/>
      <c r="H26" s="545"/>
      <c r="I26" s="1091"/>
      <c r="J26" s="545"/>
      <c r="K26" s="545"/>
      <c r="L26" s="545"/>
    </row>
    <row r="27" spans="1:12" s="54" customFormat="1" ht="12.2" customHeight="1" thickBot="1" x14ac:dyDescent="0.25">
      <c r="A27" s="55" t="s">
        <v>14</v>
      </c>
      <c r="B27" s="56" t="s">
        <v>83</v>
      </c>
      <c r="C27" s="130"/>
      <c r="D27" s="129"/>
      <c r="E27" s="585"/>
      <c r="F27" s="585"/>
      <c r="G27" s="585"/>
      <c r="H27" s="74"/>
      <c r="I27" s="638"/>
      <c r="J27" s="74"/>
      <c r="K27" s="74"/>
      <c r="L27" s="74"/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+C29+C30</f>
        <v>0</v>
      </c>
      <c r="D28" s="127">
        <f>+D29+D30</f>
        <v>0</v>
      </c>
      <c r="E28" s="582"/>
      <c r="F28" s="582"/>
      <c r="G28" s="582"/>
      <c r="H28" s="74">
        <f>+H29+H30</f>
        <v>0</v>
      </c>
      <c r="I28" s="638"/>
      <c r="J28" s="74"/>
      <c r="K28" s="74"/>
      <c r="L28" s="74"/>
    </row>
    <row r="29" spans="1:12" s="54" customFormat="1" ht="12.2" customHeight="1" x14ac:dyDescent="0.2">
      <c r="A29" s="58" t="s">
        <v>100</v>
      </c>
      <c r="B29" s="59" t="s">
        <v>160</v>
      </c>
      <c r="C29" s="122"/>
      <c r="D29" s="189"/>
      <c r="E29" s="586"/>
      <c r="F29" s="586"/>
      <c r="G29" s="586"/>
      <c r="H29" s="546"/>
      <c r="I29" s="1092"/>
      <c r="J29" s="546"/>
      <c r="K29" s="546"/>
      <c r="L29" s="546"/>
    </row>
    <row r="30" spans="1:12" s="54" customFormat="1" ht="12.2" customHeight="1" x14ac:dyDescent="0.2">
      <c r="A30" s="58" t="s">
        <v>101</v>
      </c>
      <c r="B30" s="336" t="s">
        <v>163</v>
      </c>
      <c r="C30" s="120"/>
      <c r="D30" s="193"/>
      <c r="E30" s="107"/>
      <c r="F30" s="107"/>
      <c r="G30" s="339"/>
      <c r="H30" s="534"/>
      <c r="I30" s="630"/>
      <c r="J30" s="534"/>
      <c r="K30" s="534"/>
      <c r="L30" s="534"/>
    </row>
    <row r="31" spans="1:12" s="54" customFormat="1" ht="12.2" customHeight="1" thickBot="1" x14ac:dyDescent="0.25">
      <c r="A31" s="1037" t="s">
        <v>281</v>
      </c>
      <c r="B31" s="102" t="s">
        <v>165</v>
      </c>
      <c r="C31" s="92"/>
      <c r="D31" s="190"/>
      <c r="E31" s="587"/>
      <c r="F31" s="587"/>
      <c r="G31" s="587"/>
      <c r="H31" s="547"/>
      <c r="I31" s="1093"/>
      <c r="J31" s="547"/>
      <c r="K31" s="547"/>
      <c r="L31" s="547"/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+C33+C34+C35</f>
        <v>0</v>
      </c>
      <c r="D32" s="127">
        <f>+D33+D34+D35</f>
        <v>0</v>
      </c>
      <c r="E32" s="582"/>
      <c r="F32" s="582"/>
      <c r="G32" s="582"/>
      <c r="H32" s="74">
        <f>+H33+H34+H35</f>
        <v>0</v>
      </c>
      <c r="I32" s="638"/>
      <c r="J32" s="74"/>
      <c r="K32" s="74"/>
      <c r="L32" s="74"/>
    </row>
    <row r="33" spans="1:12" s="54" customFormat="1" ht="12.2" customHeight="1" x14ac:dyDescent="0.2">
      <c r="A33" s="58" t="s">
        <v>89</v>
      </c>
      <c r="B33" s="59" t="s">
        <v>167</v>
      </c>
      <c r="C33" s="122"/>
      <c r="D33" s="189"/>
      <c r="E33" s="586"/>
      <c r="F33" s="586"/>
      <c r="G33" s="586"/>
      <c r="H33" s="546"/>
      <c r="I33" s="1092"/>
      <c r="J33" s="546"/>
      <c r="K33" s="546"/>
      <c r="L33" s="546"/>
    </row>
    <row r="34" spans="1:12" s="54" customFormat="1" ht="12.2" customHeight="1" x14ac:dyDescent="0.2">
      <c r="A34" s="58" t="s">
        <v>102</v>
      </c>
      <c r="B34" s="336" t="s">
        <v>168</v>
      </c>
      <c r="C34" s="120"/>
      <c r="D34" s="193"/>
      <c r="E34" s="107"/>
      <c r="F34" s="107"/>
      <c r="G34" s="339"/>
      <c r="H34" s="534"/>
      <c r="I34" s="630"/>
      <c r="J34" s="534"/>
      <c r="K34" s="534"/>
      <c r="L34" s="534"/>
    </row>
    <row r="35" spans="1:12" s="54" customFormat="1" ht="12.2" customHeight="1" thickBot="1" x14ac:dyDescent="0.25">
      <c r="A35" s="1037" t="s">
        <v>103</v>
      </c>
      <c r="B35" s="62" t="s">
        <v>169</v>
      </c>
      <c r="C35" s="92"/>
      <c r="D35" s="190"/>
      <c r="E35" s="587"/>
      <c r="F35" s="587"/>
      <c r="G35" s="587"/>
      <c r="H35" s="548"/>
      <c r="I35" s="1094"/>
      <c r="J35" s="548"/>
      <c r="K35" s="548"/>
      <c r="L35" s="548"/>
    </row>
    <row r="36" spans="1:12" s="26" customFormat="1" ht="12.2" customHeight="1" thickBot="1" x14ac:dyDescent="0.25">
      <c r="A36" s="55" t="s">
        <v>17</v>
      </c>
      <c r="B36" s="56" t="s">
        <v>170</v>
      </c>
      <c r="C36" s="130"/>
      <c r="D36" s="129"/>
      <c r="E36" s="585"/>
      <c r="F36" s="585"/>
      <c r="G36" s="585"/>
      <c r="H36" s="74"/>
      <c r="I36" s="638"/>
      <c r="J36" s="74"/>
      <c r="K36" s="74"/>
      <c r="L36" s="74"/>
    </row>
    <row r="37" spans="1:12" s="26" customFormat="1" ht="12.2" customHeight="1" thickBot="1" x14ac:dyDescent="0.25">
      <c r="A37" s="1038" t="s">
        <v>104</v>
      </c>
      <c r="B37" s="337" t="s">
        <v>165</v>
      </c>
      <c r="C37" s="130"/>
      <c r="D37" s="129"/>
      <c r="E37" s="588"/>
      <c r="F37" s="588"/>
      <c r="G37" s="588"/>
      <c r="H37" s="549"/>
      <c r="I37" s="1095"/>
      <c r="J37" s="549"/>
      <c r="K37" s="549"/>
      <c r="L37" s="549"/>
    </row>
    <row r="38" spans="1:12" s="26" customFormat="1" ht="12.2" customHeight="1" thickBot="1" x14ac:dyDescent="0.25">
      <c r="A38" s="55" t="s">
        <v>18</v>
      </c>
      <c r="B38" s="56" t="s">
        <v>555</v>
      </c>
      <c r="C38" s="130">
        <f>SUM(C39:C40)</f>
        <v>0</v>
      </c>
      <c r="D38" s="129">
        <f>SUM(D39:D40)</f>
        <v>0</v>
      </c>
      <c r="E38" s="585"/>
      <c r="F38" s="585"/>
      <c r="G38" s="585"/>
      <c r="H38" s="74">
        <f>SUM(H39:H40)</f>
        <v>0</v>
      </c>
      <c r="I38" s="638"/>
      <c r="J38" s="74"/>
      <c r="K38" s="74"/>
      <c r="L38" s="74"/>
    </row>
    <row r="39" spans="1:12" s="26" customFormat="1" ht="12.2" customHeight="1" x14ac:dyDescent="0.2">
      <c r="A39" s="12" t="s">
        <v>107</v>
      </c>
      <c r="B39" s="95" t="s">
        <v>212</v>
      </c>
      <c r="C39" s="131"/>
      <c r="D39" s="194"/>
      <c r="E39" s="589"/>
      <c r="F39" s="589"/>
      <c r="G39" s="589"/>
      <c r="H39" s="550"/>
      <c r="I39" s="1096"/>
      <c r="J39" s="550"/>
      <c r="K39" s="550"/>
      <c r="L39" s="550"/>
    </row>
    <row r="40" spans="1:12" s="26" customFormat="1" ht="12.2" customHeight="1" x14ac:dyDescent="0.2">
      <c r="A40" s="1003" t="s">
        <v>108</v>
      </c>
      <c r="B40" s="346" t="s">
        <v>213</v>
      </c>
      <c r="C40" s="338"/>
      <c r="D40" s="342"/>
      <c r="E40" s="590"/>
      <c r="F40" s="590"/>
      <c r="G40" s="590"/>
      <c r="H40" s="551"/>
      <c r="I40" s="1097"/>
      <c r="J40" s="551"/>
      <c r="K40" s="551"/>
      <c r="L40" s="551"/>
    </row>
    <row r="41" spans="1:12" s="26" customFormat="1" ht="12.2" customHeight="1" thickBot="1" x14ac:dyDescent="0.25">
      <c r="A41" s="1003" t="s">
        <v>323</v>
      </c>
      <c r="B41" s="103" t="s">
        <v>165</v>
      </c>
      <c r="C41" s="133"/>
      <c r="D41" s="132"/>
      <c r="E41" s="591"/>
      <c r="F41" s="591"/>
      <c r="G41" s="591"/>
      <c r="H41" s="552"/>
      <c r="I41" s="1098"/>
      <c r="J41" s="552"/>
      <c r="K41" s="552"/>
      <c r="L41" s="552"/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0</v>
      </c>
      <c r="D42" s="127">
        <f>+D10+D22+D27+D28+D32+D36+D38</f>
        <v>0</v>
      </c>
      <c r="E42" s="582"/>
      <c r="F42" s="582"/>
      <c r="G42" s="582"/>
      <c r="H42" s="74">
        <f>+H10+H22+H27+H28+H32+H36+H38</f>
        <v>0</v>
      </c>
      <c r="I42" s="638"/>
      <c r="J42" s="74"/>
      <c r="K42" s="74"/>
      <c r="L42" s="74"/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SUM(C44:C47)</f>
        <v>0</v>
      </c>
      <c r="D43" s="127">
        <f>SUM(D44:D47)</f>
        <v>0</v>
      </c>
      <c r="E43" s="582"/>
      <c r="F43" s="582"/>
      <c r="G43" s="582"/>
      <c r="H43" s="74">
        <f>SUM(H44:H47)</f>
        <v>0</v>
      </c>
      <c r="I43" s="638"/>
      <c r="J43" s="74"/>
      <c r="K43" s="74"/>
      <c r="L43" s="74"/>
    </row>
    <row r="44" spans="1:12" s="26" customFormat="1" ht="12.2" customHeight="1" x14ac:dyDescent="0.2">
      <c r="A44" s="58" t="s">
        <v>171</v>
      </c>
      <c r="B44" s="59" t="s">
        <v>131</v>
      </c>
      <c r="C44" s="122"/>
      <c r="D44" s="189"/>
      <c r="E44" s="586"/>
      <c r="F44" s="586"/>
      <c r="G44" s="586"/>
      <c r="H44" s="546"/>
      <c r="I44" s="1092"/>
      <c r="J44" s="546"/>
      <c r="K44" s="546"/>
      <c r="L44" s="546"/>
    </row>
    <row r="45" spans="1:12" s="26" customFormat="1" ht="12.2" customHeight="1" x14ac:dyDescent="0.2">
      <c r="A45" s="71" t="s">
        <v>172</v>
      </c>
      <c r="B45" s="59" t="s">
        <v>186</v>
      </c>
      <c r="C45" s="120"/>
      <c r="D45" s="193"/>
      <c r="E45" s="91"/>
      <c r="F45" s="91"/>
      <c r="G45" s="91"/>
      <c r="H45" s="553"/>
      <c r="I45" s="1099"/>
      <c r="J45" s="553"/>
      <c r="K45" s="553"/>
      <c r="L45" s="553"/>
    </row>
    <row r="46" spans="1:12" s="26" customFormat="1" ht="12.2" customHeight="1" x14ac:dyDescent="0.2">
      <c r="A46" s="1037" t="s">
        <v>173</v>
      </c>
      <c r="B46" s="336" t="s">
        <v>177</v>
      </c>
      <c r="C46" s="339"/>
      <c r="D46" s="323"/>
      <c r="E46" s="107"/>
      <c r="F46" s="107"/>
      <c r="G46" s="107"/>
      <c r="H46" s="534"/>
      <c r="I46" s="630"/>
      <c r="J46" s="534"/>
      <c r="K46" s="534"/>
      <c r="L46" s="534"/>
    </row>
    <row r="47" spans="1:12" s="54" customFormat="1" ht="12.2" customHeight="1" thickBot="1" x14ac:dyDescent="0.25">
      <c r="A47" s="58" t="s">
        <v>178</v>
      </c>
      <c r="B47" s="62" t="s">
        <v>179</v>
      </c>
      <c r="C47" s="1034"/>
      <c r="D47" s="195"/>
      <c r="E47" s="587"/>
      <c r="F47" s="587"/>
      <c r="G47" s="587"/>
      <c r="H47" s="548"/>
      <c r="I47" s="1094"/>
      <c r="J47" s="548"/>
      <c r="K47" s="548"/>
      <c r="L47" s="548"/>
    </row>
    <row r="48" spans="1:12" s="54" customFormat="1" ht="15" customHeight="1" thickBot="1" x14ac:dyDescent="0.25">
      <c r="A48" s="63" t="s">
        <v>21</v>
      </c>
      <c r="B48" s="524" t="s">
        <v>174</v>
      </c>
      <c r="C48" s="135">
        <f>+C42+C43</f>
        <v>0</v>
      </c>
      <c r="D48" s="134">
        <f>+D42+D43</f>
        <v>0</v>
      </c>
      <c r="E48" s="592"/>
      <c r="F48" s="592"/>
      <c r="G48" s="592"/>
      <c r="H48" s="557">
        <f>+H42+H43</f>
        <v>0</v>
      </c>
      <c r="I48" s="1100"/>
      <c r="J48" s="557"/>
      <c r="K48" s="557"/>
      <c r="L48" s="557"/>
    </row>
    <row r="49" spans="1:12" s="54" customFormat="1" ht="15" customHeight="1" x14ac:dyDescent="0.2">
      <c r="A49" s="64"/>
      <c r="B49" s="65"/>
      <c r="C49" s="66"/>
      <c r="D49" s="66"/>
      <c r="E49" s="66"/>
      <c r="F49" s="66"/>
      <c r="G49" s="66"/>
      <c r="H49" s="66"/>
      <c r="I49" s="66"/>
      <c r="J49" s="66"/>
      <c r="K49" s="66"/>
      <c r="L49" s="66"/>
    </row>
    <row r="50" spans="1:12" s="54" customFormat="1" ht="15" customHeight="1" x14ac:dyDescent="0.2">
      <c r="A50" s="64"/>
      <c r="B50" s="65"/>
      <c r="C50" s="66"/>
      <c r="D50" s="66"/>
      <c r="E50" s="66"/>
      <c r="F50" s="66"/>
      <c r="G50" s="66"/>
      <c r="H50" s="66"/>
      <c r="I50" s="66"/>
      <c r="J50" s="66"/>
      <c r="K50" s="66"/>
      <c r="L50" s="66"/>
    </row>
    <row r="51" spans="1:12" ht="13.5" thickBot="1" x14ac:dyDescent="0.25">
      <c r="A51" s="1912" t="s">
        <v>362</v>
      </c>
      <c r="B51" s="1912"/>
      <c r="C51" s="1912"/>
      <c r="D51" s="1912"/>
      <c r="E51" s="1912"/>
      <c r="F51" s="1912"/>
      <c r="G51" s="1912"/>
      <c r="H51" s="1912"/>
    </row>
    <row r="52" spans="1:12" s="554" customFormat="1" ht="55.5" customHeight="1" thickBot="1" x14ac:dyDescent="0.25">
      <c r="A52" s="641"/>
      <c r="B52" s="642" t="s">
        <v>38</v>
      </c>
      <c r="C52" s="21" t="str">
        <f>C7</f>
        <v>2023. évi eredeti előirányzat
2/2023. (II.14.)</v>
      </c>
      <c r="D52" s="166" t="str">
        <f t="shared" ref="D52:L52" si="0">D7</f>
        <v>Módosított előirányzat a 14/2023.  (VI.29.)  rendelet szerint</v>
      </c>
      <c r="E52" s="21" t="str">
        <f t="shared" si="0"/>
        <v>Módosított előirányzat a 18/2023. (IX.26.)  rendelet szerint</v>
      </c>
      <c r="F52" s="21" t="str">
        <f t="shared" si="0"/>
        <v>Módosított előirányzat 2023.09.30-án</v>
      </c>
      <c r="G52" s="21" t="str">
        <f t="shared" si="0"/>
        <v>Módosított előirányzat a …../2023. (II…..)  rendelet szerint</v>
      </c>
      <c r="H52" s="32" t="str">
        <f t="shared" si="0"/>
        <v>Változás a 14/2023. (VI.29.) rendelethez képest</v>
      </c>
      <c r="I52" s="166" t="str">
        <f t="shared" si="0"/>
        <v>2023. évi teljesítés              2023.06.30-ig</v>
      </c>
      <c r="J52" s="21" t="str">
        <f t="shared" si="0"/>
        <v>2023. évi teljesítés              2023.09.30-ig</v>
      </c>
      <c r="K52" s="21" t="str">
        <f t="shared" si="0"/>
        <v>2023. évi teljesítés              2023.12.31-ig</v>
      </c>
      <c r="L52" s="21" t="str">
        <f t="shared" si="0"/>
        <v>Teljesítés %-a</v>
      </c>
    </row>
    <row r="53" spans="1:12" s="31" customFormat="1" ht="12.2" customHeight="1" thickBot="1" x14ac:dyDescent="0.25">
      <c r="A53" s="55" t="s">
        <v>12</v>
      </c>
      <c r="B53" s="56" t="s">
        <v>547</v>
      </c>
      <c r="C53" s="89">
        <f>SUM(C54:C59)-C55</f>
        <v>0</v>
      </c>
      <c r="D53" s="127">
        <f>SUM(D54:D59)-D55</f>
        <v>0</v>
      </c>
      <c r="E53" s="582"/>
      <c r="F53" s="582"/>
      <c r="G53" s="582"/>
      <c r="H53" s="48">
        <f>SUM(H54:H59)-H55</f>
        <v>0</v>
      </c>
      <c r="I53" s="175"/>
      <c r="J53" s="48"/>
      <c r="K53" s="48"/>
      <c r="L53" s="48"/>
    </row>
    <row r="54" spans="1:12" ht="12.2" customHeight="1" x14ac:dyDescent="0.2">
      <c r="A54" s="1037" t="s">
        <v>91</v>
      </c>
      <c r="B54" s="17" t="s">
        <v>68</v>
      </c>
      <c r="C54" s="122"/>
      <c r="D54" s="189"/>
      <c r="E54" s="586"/>
      <c r="F54" s="586"/>
      <c r="G54" s="586"/>
      <c r="H54" s="33"/>
      <c r="I54" s="177"/>
      <c r="J54" s="33"/>
      <c r="K54" s="33"/>
      <c r="L54" s="33"/>
    </row>
    <row r="55" spans="1:12" ht="12.2" customHeight="1" x14ac:dyDescent="0.2">
      <c r="A55" s="1037" t="s">
        <v>305</v>
      </c>
      <c r="B55" s="335" t="s">
        <v>270</v>
      </c>
      <c r="C55" s="122"/>
      <c r="D55" s="189"/>
      <c r="E55" s="586"/>
      <c r="F55" s="586"/>
      <c r="G55" s="586"/>
      <c r="H55" s="33"/>
      <c r="I55" s="177"/>
      <c r="J55" s="33"/>
      <c r="K55" s="33"/>
      <c r="L55" s="33"/>
    </row>
    <row r="56" spans="1:12" ht="12.2" customHeight="1" x14ac:dyDescent="0.2">
      <c r="A56" s="1037" t="s">
        <v>92</v>
      </c>
      <c r="B56" s="330" t="s">
        <v>87</v>
      </c>
      <c r="C56" s="339"/>
      <c r="D56" s="323"/>
      <c r="E56" s="107"/>
      <c r="F56" s="107"/>
      <c r="G56" s="107"/>
      <c r="H56" s="324"/>
      <c r="I56" s="503"/>
      <c r="J56" s="324"/>
      <c r="K56" s="324"/>
      <c r="L56" s="324"/>
    </row>
    <row r="57" spans="1:12" ht="12.2" customHeight="1" x14ac:dyDescent="0.2">
      <c r="A57" s="1037" t="s">
        <v>93</v>
      </c>
      <c r="B57" s="330" t="s">
        <v>69</v>
      </c>
      <c r="C57" s="339"/>
      <c r="D57" s="323"/>
      <c r="E57" s="107"/>
      <c r="F57" s="107"/>
      <c r="G57" s="107"/>
      <c r="H57" s="324"/>
      <c r="I57" s="503"/>
      <c r="J57" s="324"/>
      <c r="K57" s="324"/>
      <c r="L57" s="324"/>
    </row>
    <row r="58" spans="1:12" ht="12.2" customHeight="1" x14ac:dyDescent="0.2">
      <c r="A58" s="1037" t="s">
        <v>90</v>
      </c>
      <c r="B58" s="330" t="s">
        <v>80</v>
      </c>
      <c r="C58" s="339"/>
      <c r="D58" s="323"/>
      <c r="E58" s="107"/>
      <c r="F58" s="107"/>
      <c r="G58" s="107"/>
      <c r="H58" s="324"/>
      <c r="I58" s="503"/>
      <c r="J58" s="324"/>
      <c r="K58" s="324"/>
      <c r="L58" s="324"/>
    </row>
    <row r="59" spans="1:12" ht="12.2" customHeight="1" x14ac:dyDescent="0.2">
      <c r="A59" s="1037" t="s">
        <v>147</v>
      </c>
      <c r="B59" s="330" t="s">
        <v>88</v>
      </c>
      <c r="C59" s="339">
        <f>SUM(C60:C61)</f>
        <v>0</v>
      </c>
      <c r="D59" s="323">
        <f>SUM(D60:D61)</f>
        <v>0</v>
      </c>
      <c r="E59" s="107"/>
      <c r="F59" s="107"/>
      <c r="G59" s="107"/>
      <c r="H59" s="324">
        <f>SUM(H60:H61)</f>
        <v>0</v>
      </c>
      <c r="I59" s="503"/>
      <c r="J59" s="324"/>
      <c r="K59" s="324"/>
      <c r="L59" s="324"/>
    </row>
    <row r="60" spans="1:12" ht="12.2" customHeight="1" x14ac:dyDescent="0.2">
      <c r="A60" s="1037" t="s">
        <v>306</v>
      </c>
      <c r="B60" s="521" t="s">
        <v>235</v>
      </c>
      <c r="C60" s="339"/>
      <c r="D60" s="323"/>
      <c r="E60" s="107"/>
      <c r="F60" s="107"/>
      <c r="G60" s="107"/>
      <c r="H60" s="324"/>
      <c r="I60" s="503"/>
      <c r="J60" s="324"/>
      <c r="K60" s="324"/>
      <c r="L60" s="324"/>
    </row>
    <row r="61" spans="1:12" ht="12.2" customHeight="1" thickBot="1" x14ac:dyDescent="0.25">
      <c r="A61" s="84" t="s">
        <v>307</v>
      </c>
      <c r="B61" s="85" t="s">
        <v>234</v>
      </c>
      <c r="C61" s="92"/>
      <c r="D61" s="190"/>
      <c r="E61" s="593"/>
      <c r="F61" s="593"/>
      <c r="G61" s="593"/>
      <c r="H61" s="61"/>
      <c r="I61" s="178"/>
      <c r="J61" s="61"/>
      <c r="K61" s="61"/>
      <c r="L61" s="61"/>
    </row>
    <row r="62" spans="1:12" ht="12.2" customHeight="1" thickBot="1" x14ac:dyDescent="0.25">
      <c r="A62" s="55" t="s">
        <v>13</v>
      </c>
      <c r="B62" s="56" t="s">
        <v>548</v>
      </c>
      <c r="C62" s="89">
        <f>SUM(C63:C67)</f>
        <v>0</v>
      </c>
      <c r="D62" s="127">
        <f>SUM(D63:D67)</f>
        <v>0</v>
      </c>
      <c r="E62" s="582"/>
      <c r="F62" s="582"/>
      <c r="G62" s="582"/>
      <c r="H62" s="48">
        <f>SUM(H63:H67)</f>
        <v>0</v>
      </c>
      <c r="I62" s="175"/>
      <c r="J62" s="48"/>
      <c r="K62" s="48"/>
      <c r="L62" s="48"/>
    </row>
    <row r="63" spans="1:12" s="31" customFormat="1" ht="12.2" customHeight="1" x14ac:dyDescent="0.2">
      <c r="A63" s="1037" t="s">
        <v>94</v>
      </c>
      <c r="B63" s="17" t="s">
        <v>119</v>
      </c>
      <c r="C63" s="122"/>
      <c r="D63" s="189"/>
      <c r="E63" s="586"/>
      <c r="F63" s="586"/>
      <c r="G63" s="586"/>
      <c r="H63" s="33"/>
      <c r="I63" s="177"/>
      <c r="J63" s="33"/>
      <c r="K63" s="33"/>
      <c r="L63" s="33"/>
    </row>
    <row r="64" spans="1:12" s="31" customFormat="1" ht="12.2" customHeight="1" x14ac:dyDescent="0.2">
      <c r="A64" s="1037" t="s">
        <v>316</v>
      </c>
      <c r="B64" s="522" t="s">
        <v>236</v>
      </c>
      <c r="C64" s="122"/>
      <c r="D64" s="189"/>
      <c r="E64" s="586"/>
      <c r="F64" s="586"/>
      <c r="G64" s="586"/>
      <c r="H64" s="33"/>
      <c r="I64" s="177"/>
      <c r="J64" s="33"/>
      <c r="K64" s="33"/>
      <c r="L64" s="33"/>
    </row>
    <row r="65" spans="1:12" ht="12.2" customHeight="1" x14ac:dyDescent="0.2">
      <c r="A65" s="1037" t="s">
        <v>95</v>
      </c>
      <c r="B65" s="330" t="s">
        <v>2</v>
      </c>
      <c r="C65" s="339"/>
      <c r="D65" s="323"/>
      <c r="E65" s="107"/>
      <c r="F65" s="107"/>
      <c r="G65" s="107"/>
      <c r="H65" s="324"/>
      <c r="I65" s="503"/>
      <c r="J65" s="324"/>
      <c r="K65" s="324"/>
      <c r="L65" s="324"/>
    </row>
    <row r="66" spans="1:12" ht="12.2" customHeight="1" x14ac:dyDescent="0.2">
      <c r="A66" s="1037" t="s">
        <v>342</v>
      </c>
      <c r="B66" s="523" t="s">
        <v>237</v>
      </c>
      <c r="C66" s="339"/>
      <c r="D66" s="323"/>
      <c r="E66" s="107"/>
      <c r="F66" s="107"/>
      <c r="G66" s="107"/>
      <c r="H66" s="324"/>
      <c r="I66" s="503"/>
      <c r="J66" s="324"/>
      <c r="K66" s="324"/>
      <c r="L66" s="324"/>
    </row>
    <row r="67" spans="1:12" ht="12.2" customHeight="1" x14ac:dyDescent="0.2">
      <c r="A67" s="1037" t="s">
        <v>96</v>
      </c>
      <c r="B67" s="17" t="s">
        <v>175</v>
      </c>
      <c r="C67" s="339">
        <f>SUM(C68:C69)</f>
        <v>0</v>
      </c>
      <c r="D67" s="323">
        <f>SUM(D68:D69)</f>
        <v>0</v>
      </c>
      <c r="E67" s="107"/>
      <c r="F67" s="107"/>
      <c r="G67" s="107"/>
      <c r="H67" s="324">
        <f>SUM(H68:H69)</f>
        <v>0</v>
      </c>
      <c r="I67" s="503"/>
      <c r="J67" s="324"/>
      <c r="K67" s="324"/>
      <c r="L67" s="324"/>
    </row>
    <row r="68" spans="1:12" ht="12.2" customHeight="1" x14ac:dyDescent="0.2">
      <c r="A68" s="1037" t="s">
        <v>317</v>
      </c>
      <c r="B68" s="521" t="s">
        <v>239</v>
      </c>
      <c r="C68" s="339"/>
      <c r="D68" s="323"/>
      <c r="E68" s="107"/>
      <c r="F68" s="107"/>
      <c r="G68" s="107"/>
      <c r="H68" s="324"/>
      <c r="I68" s="503"/>
      <c r="J68" s="324"/>
      <c r="K68" s="324"/>
      <c r="L68" s="324"/>
    </row>
    <row r="69" spans="1:12" ht="12.2" customHeight="1" thickBot="1" x14ac:dyDescent="0.25">
      <c r="A69" s="84" t="s">
        <v>318</v>
      </c>
      <c r="B69" s="85" t="s">
        <v>238</v>
      </c>
      <c r="C69" s="92"/>
      <c r="D69" s="323"/>
      <c r="E69" s="107"/>
      <c r="F69" s="107"/>
      <c r="G69" s="107"/>
      <c r="H69" s="324"/>
      <c r="I69" s="503"/>
      <c r="J69" s="324"/>
      <c r="K69" s="324"/>
      <c r="L69" s="324"/>
    </row>
    <row r="70" spans="1:12" ht="15" customHeight="1" thickBot="1" x14ac:dyDescent="0.25">
      <c r="A70" s="55" t="s">
        <v>14</v>
      </c>
      <c r="B70" s="67" t="s">
        <v>176</v>
      </c>
      <c r="C70" s="135">
        <f>+C53+C62</f>
        <v>0</v>
      </c>
      <c r="D70" s="134">
        <f>+D53+D62</f>
        <v>0</v>
      </c>
      <c r="E70" s="592"/>
      <c r="F70" s="592"/>
      <c r="G70" s="592"/>
      <c r="H70" s="68">
        <f>+H53+H62</f>
        <v>0</v>
      </c>
      <c r="I70" s="176"/>
      <c r="J70" s="68"/>
      <c r="K70" s="68"/>
      <c r="L70" s="68"/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634" t="s">
        <v>292</v>
      </c>
      <c r="B72" s="636"/>
      <c r="C72" s="136"/>
      <c r="D72" s="635"/>
      <c r="E72" s="520"/>
      <c r="F72" s="520"/>
      <c r="G72" s="520"/>
      <c r="H72" s="174"/>
      <c r="I72" s="174"/>
      <c r="J72" s="174"/>
      <c r="K72" s="174"/>
      <c r="L72" s="174"/>
    </row>
    <row r="73" spans="1:12" ht="14.25" hidden="1" customHeight="1" thickBot="1" x14ac:dyDescent="0.25">
      <c r="A73" s="69" t="s">
        <v>291</v>
      </c>
      <c r="B73" s="70"/>
      <c r="C73" s="609"/>
      <c r="D73" s="639"/>
      <c r="E73" s="607"/>
      <c r="F73" s="607"/>
      <c r="G73" s="607"/>
      <c r="H73" s="609"/>
      <c r="I73" s="609"/>
      <c r="J73" s="609"/>
      <c r="K73" s="609"/>
      <c r="L73" s="609"/>
    </row>
    <row r="74" spans="1:12" x14ac:dyDescent="0.2">
      <c r="D74" s="163"/>
      <c r="E74" s="163"/>
      <c r="F74" s="163"/>
      <c r="G74" s="163"/>
      <c r="H74" s="163" t="s">
        <v>734</v>
      </c>
      <c r="I74" s="163"/>
      <c r="J74" s="163"/>
      <c r="K74" s="163"/>
      <c r="L74" s="163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4"/>
  <sheetViews>
    <sheetView view="pageBreakPreview" zoomScale="154" zoomScaleNormal="100" zoomScaleSheetLayoutView="154" workbookViewId="0">
      <selection activeCell="A2" sqref="A2:H2"/>
    </sheetView>
  </sheetViews>
  <sheetFormatPr defaultRowHeight="12.75" x14ac:dyDescent="0.2"/>
  <cols>
    <col min="1" max="1" width="12" style="1324" customWidth="1"/>
    <col min="2" max="2" width="57.83203125" style="25" customWidth="1"/>
    <col min="3" max="3" width="15.33203125" style="25" customWidth="1"/>
    <col min="4" max="4" width="16.83203125" style="1175" customWidth="1"/>
    <col min="5" max="5" width="17" style="25" customWidth="1"/>
    <col min="6" max="7" width="17" style="25" hidden="1" customWidth="1"/>
    <col min="8" max="8" width="15.33203125" style="25" customWidth="1"/>
    <col min="9" max="11" width="14.83203125" style="25" hidden="1" customWidth="1"/>
    <col min="12" max="12" width="1.16406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535" customFormat="1" ht="12.75" customHeight="1" x14ac:dyDescent="0.2">
      <c r="A1" s="1774" t="s">
        <v>810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745</v>
      </c>
      <c r="B2" s="1774"/>
      <c r="C2" s="1774"/>
      <c r="D2" s="1774"/>
      <c r="E2" s="1774"/>
      <c r="F2" s="1774"/>
      <c r="G2" s="1774"/>
      <c r="H2" s="1774"/>
    </row>
    <row r="3" spans="1:12" s="24" customFormat="1" ht="21.2" customHeight="1" thickBot="1" x14ac:dyDescent="0.25">
      <c r="A3" s="170"/>
      <c r="C3" s="1321"/>
      <c r="D3" s="1151"/>
      <c r="E3" s="1321"/>
      <c r="F3" s="1321"/>
      <c r="G3" s="1321"/>
      <c r="H3" s="1321"/>
      <c r="I3" s="1321"/>
      <c r="J3" s="1321"/>
      <c r="K3" s="1321"/>
      <c r="L3" s="1321"/>
    </row>
    <row r="4" spans="1:12" s="38" customFormat="1" ht="38.25" customHeight="1" x14ac:dyDescent="0.2">
      <c r="A4" s="36" t="s">
        <v>137</v>
      </c>
      <c r="B4" s="37" t="s">
        <v>387</v>
      </c>
      <c r="C4" s="1806" t="s">
        <v>182</v>
      </c>
      <c r="D4" s="1807"/>
      <c r="E4" s="1807"/>
      <c r="F4" s="1807"/>
      <c r="G4" s="1807"/>
      <c r="H4" s="1808"/>
    </row>
    <row r="5" spans="1:12" s="38" customFormat="1" ht="36.75" thickBot="1" x14ac:dyDescent="0.25">
      <c r="A5" s="39" t="s">
        <v>139</v>
      </c>
      <c r="B5" s="40" t="s">
        <v>402</v>
      </c>
      <c r="C5" s="1929" t="s">
        <v>141</v>
      </c>
      <c r="D5" s="1930"/>
      <c r="E5" s="1930"/>
      <c r="F5" s="1930"/>
      <c r="G5" s="1930"/>
      <c r="H5" s="1931" t="s">
        <v>141</v>
      </c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2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152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153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6807200</v>
      </c>
      <c r="D10" s="1154">
        <f t="shared" ref="D10:L10" si="0">SUM(D11:D21)</f>
        <v>6807200</v>
      </c>
      <c r="E10" s="582">
        <f t="shared" si="0"/>
        <v>6807200</v>
      </c>
      <c r="F10" s="582">
        <f t="shared" si="0"/>
        <v>6807200</v>
      </c>
      <c r="G10" s="582">
        <f t="shared" si="0"/>
        <v>0</v>
      </c>
      <c r="H10" s="595">
        <f>+E10-D10</f>
        <v>0</v>
      </c>
      <c r="I10" s="1085">
        <f t="shared" si="0"/>
        <v>0</v>
      </c>
      <c r="J10" s="595">
        <f t="shared" si="0"/>
        <v>9476737</v>
      </c>
      <c r="K10" s="595">
        <f t="shared" si="0"/>
        <v>0</v>
      </c>
      <c r="L10" s="595" t="e">
        <f t="shared" si="0"/>
        <v>#VALUE!</v>
      </c>
    </row>
    <row r="11" spans="1:12" s="26" customFormat="1" ht="12.2" customHeight="1" x14ac:dyDescent="0.2">
      <c r="A11" s="49" t="s">
        <v>91</v>
      </c>
      <c r="B11" s="50" t="s">
        <v>143</v>
      </c>
      <c r="C11" s="128">
        <f>'10.TMKK'!C11-'33._TMKK_önként'!C11</f>
        <v>0</v>
      </c>
      <c r="D11" s="1155">
        <f>'10.TMKK'!D11-'33._TMKK_önként'!D11</f>
        <v>0</v>
      </c>
      <c r="E11" s="583">
        <f>'10.TMKK'!E11-'33._TMKK_önként'!E11</f>
        <v>0</v>
      </c>
      <c r="F11" s="583">
        <f>'10.TMKK'!F11-'33._TMKK_önként'!F11</f>
        <v>0</v>
      </c>
      <c r="G11" s="583">
        <f>'10.TMKK'!G11-'33._TMKK_önként'!G11</f>
        <v>0</v>
      </c>
      <c r="H11" s="540">
        <f t="shared" ref="H11:H48" si="1">+E11-D11</f>
        <v>0</v>
      </c>
      <c r="I11" s="1086">
        <f>'10.TMKK'!I11-'33._TMKK_önként'!I11</f>
        <v>0</v>
      </c>
      <c r="J11" s="540">
        <f>'10.TMKK'!J11-'33._TMKK_önként'!J11</f>
        <v>0</v>
      </c>
      <c r="K11" s="540">
        <f>'10.TMKK'!K11-'33._TMKK_önként'!K11</f>
        <v>0</v>
      </c>
      <c r="L11" s="540" t="e">
        <f>'10.TMKK'!L11-'33._TMKK_önként'!L11</f>
        <v>#VALUE!</v>
      </c>
    </row>
    <row r="12" spans="1:12" s="26" customFormat="1" ht="12.2" customHeight="1" x14ac:dyDescent="0.2">
      <c r="A12" s="1037" t="s">
        <v>92</v>
      </c>
      <c r="B12" s="330" t="s">
        <v>144</v>
      </c>
      <c r="C12" s="331">
        <f>'10.TMKK'!C12-'33._TMKK_önként'!C12</f>
        <v>5360000</v>
      </c>
      <c r="D12" s="1156">
        <f>'10.TMKK'!D12-'33._TMKK_önként'!D12</f>
        <v>5360000</v>
      </c>
      <c r="E12" s="88">
        <f>'10.TMKK'!E12-'33._TMKK_önként'!E12</f>
        <v>5360000</v>
      </c>
      <c r="F12" s="88">
        <f>'10.TMKK'!F12-'33._TMKK_önként'!F12</f>
        <v>5360000</v>
      </c>
      <c r="G12" s="88">
        <f>'10.TMKK'!G12-'33._TMKK_önként'!G12</f>
        <v>0</v>
      </c>
      <c r="H12" s="541">
        <f t="shared" si="1"/>
        <v>0</v>
      </c>
      <c r="I12" s="1087">
        <f>'10.TMKK'!I12-'33._TMKK_önként'!I12</f>
        <v>0</v>
      </c>
      <c r="J12" s="541">
        <f>'10.TMKK'!J12-'33._TMKK_önként'!J12</f>
        <v>7407964</v>
      </c>
      <c r="K12" s="541">
        <f>'10.TMKK'!K12-'33._TMKK_önként'!K12</f>
        <v>0</v>
      </c>
      <c r="L12" s="541">
        <f>'10.TMKK'!L12-'33._TMKK_önként'!L12</f>
        <v>138.20828358208954</v>
      </c>
    </row>
    <row r="13" spans="1:12" s="26" customFormat="1" ht="12.2" customHeight="1" x14ac:dyDescent="0.2">
      <c r="A13" s="1037" t="s">
        <v>93</v>
      </c>
      <c r="B13" s="330" t="s">
        <v>145</v>
      </c>
      <c r="C13" s="331">
        <f>'10.TMKK'!C13-'33._TMKK_önként'!C13</f>
        <v>0</v>
      </c>
      <c r="D13" s="1156">
        <f>'10.TMKK'!D13-'33._TMKK_önként'!D13</f>
        <v>0</v>
      </c>
      <c r="E13" s="88">
        <f>'10.TMKK'!E13-'33._TMKK_önként'!E13</f>
        <v>0</v>
      </c>
      <c r="F13" s="88">
        <f>'10.TMKK'!F13-'33._TMKK_önként'!F13</f>
        <v>0</v>
      </c>
      <c r="G13" s="88">
        <f>'10.TMKK'!G13-'33._TMKK_önként'!G13</f>
        <v>0</v>
      </c>
      <c r="H13" s="541">
        <f t="shared" si="1"/>
        <v>0</v>
      </c>
      <c r="I13" s="1087">
        <f>'10.TMKK'!I13-'33._TMKK_önként'!I13</f>
        <v>0</v>
      </c>
      <c r="J13" s="541">
        <f>'10.TMKK'!J13-'33._TMKK_önként'!J13</f>
        <v>0</v>
      </c>
      <c r="K13" s="541">
        <f>'10.TMKK'!K13-'33._TMKK_önként'!K13</f>
        <v>0</v>
      </c>
      <c r="L13" s="541" t="e">
        <f>'10.TMKK'!L13-'33._TMKK_önként'!L13</f>
        <v>#VALUE!</v>
      </c>
    </row>
    <row r="14" spans="1:12" s="26" customFormat="1" ht="12.2" customHeight="1" x14ac:dyDescent="0.2">
      <c r="A14" s="1037" t="s">
        <v>90</v>
      </c>
      <c r="B14" s="330" t="s">
        <v>146</v>
      </c>
      <c r="C14" s="331">
        <f>'10.TMKK'!C14-'33._TMKK_önként'!C14</f>
        <v>0</v>
      </c>
      <c r="D14" s="1156">
        <f>'10.TMKK'!D14-'33._TMKK_önként'!D14</f>
        <v>0</v>
      </c>
      <c r="E14" s="88">
        <f>'10.TMKK'!E14-'33._TMKK_önként'!E14</f>
        <v>0</v>
      </c>
      <c r="F14" s="88">
        <f>'10.TMKK'!F14-'33._TMKK_önként'!F14</f>
        <v>0</v>
      </c>
      <c r="G14" s="88">
        <f>'10.TMKK'!G14-'33._TMKK_önként'!G14</f>
        <v>0</v>
      </c>
      <c r="H14" s="541">
        <f t="shared" si="1"/>
        <v>0</v>
      </c>
      <c r="I14" s="1087">
        <f>'10.TMKK'!I14-'33._TMKK_önként'!I14</f>
        <v>0</v>
      </c>
      <c r="J14" s="541">
        <f>'10.TMKK'!J14-'33._TMKK_önként'!J14</f>
        <v>0</v>
      </c>
      <c r="K14" s="541">
        <f>'10.TMKK'!K14-'33._TMKK_önként'!K14</f>
        <v>0</v>
      </c>
      <c r="L14" s="541" t="e">
        <f>'10.TMKK'!L14-'33._TMKK_önként'!L14</f>
        <v>#VALUE!</v>
      </c>
    </row>
    <row r="15" spans="1:12" s="26" customFormat="1" ht="12.2" customHeight="1" x14ac:dyDescent="0.2">
      <c r="A15" s="1037" t="s">
        <v>147</v>
      </c>
      <c r="B15" s="330" t="s">
        <v>148</v>
      </c>
      <c r="C15" s="331">
        <f>'10.TMKK'!C15-'33._TMKK_önként'!C15</f>
        <v>0</v>
      </c>
      <c r="D15" s="1156">
        <f>'10.TMKK'!D15-'33._TMKK_önként'!D15</f>
        <v>0</v>
      </c>
      <c r="E15" s="88">
        <f>'10.TMKK'!E15-'33._TMKK_önként'!E15</f>
        <v>0</v>
      </c>
      <c r="F15" s="88">
        <f>'10.TMKK'!F15-'33._TMKK_önként'!F15</f>
        <v>0</v>
      </c>
      <c r="G15" s="88">
        <f>'10.TMKK'!G15-'33._TMKK_önként'!G15</f>
        <v>0</v>
      </c>
      <c r="H15" s="541">
        <f t="shared" si="1"/>
        <v>0</v>
      </c>
      <c r="I15" s="1087">
        <f>'10.TMKK'!I15-'33._TMKK_önként'!I15</f>
        <v>0</v>
      </c>
      <c r="J15" s="541">
        <f>'10.TMKK'!J15-'33._TMKK_önként'!J15</f>
        <v>0</v>
      </c>
      <c r="K15" s="541">
        <f>'10.TMKK'!K15-'33._TMKK_önként'!K15</f>
        <v>0</v>
      </c>
      <c r="L15" s="541" t="e">
        <f>'10.TMKK'!L15-'33._TMKK_önként'!L15</f>
        <v>#VALUE!</v>
      </c>
    </row>
    <row r="16" spans="1:12" s="26" customFormat="1" ht="12.2" customHeight="1" x14ac:dyDescent="0.2">
      <c r="A16" s="1037" t="s">
        <v>149</v>
      </c>
      <c r="B16" s="330" t="s">
        <v>150</v>
      </c>
      <c r="C16" s="331">
        <f>'10.TMKK'!C16-'33._TMKK_önként'!C16</f>
        <v>1447200</v>
      </c>
      <c r="D16" s="1156">
        <f>'10.TMKK'!D16-'33._TMKK_önként'!D16</f>
        <v>1447200</v>
      </c>
      <c r="E16" s="88">
        <f>'10.TMKK'!E16-'33._TMKK_önként'!E16</f>
        <v>1447200</v>
      </c>
      <c r="F16" s="88">
        <f>'10.TMKK'!F16-'33._TMKK_önként'!F16</f>
        <v>1447200</v>
      </c>
      <c r="G16" s="88">
        <f>'10.TMKK'!G16-'33._TMKK_önként'!G16</f>
        <v>0</v>
      </c>
      <c r="H16" s="541">
        <f t="shared" si="1"/>
        <v>0</v>
      </c>
      <c r="I16" s="1087">
        <f>'10.TMKK'!I16-'33._TMKK_önként'!I16</f>
        <v>0</v>
      </c>
      <c r="J16" s="541">
        <f>'10.TMKK'!J16-'33._TMKK_önként'!J16</f>
        <v>1976969</v>
      </c>
      <c r="K16" s="541">
        <f>'10.TMKK'!K16-'33._TMKK_önként'!K16</f>
        <v>0</v>
      </c>
      <c r="L16" s="541">
        <f>'10.TMKK'!L16-'33._TMKK_önként'!L16</f>
        <v>136.6064814814815</v>
      </c>
    </row>
    <row r="17" spans="1:12" s="26" customFormat="1" ht="12.2" customHeight="1" x14ac:dyDescent="0.2">
      <c r="A17" s="1037" t="s">
        <v>151</v>
      </c>
      <c r="B17" s="52" t="s">
        <v>152</v>
      </c>
      <c r="C17" s="331">
        <f>'10.TMKK'!C17-'33._TMKK_önként'!C17</f>
        <v>0</v>
      </c>
      <c r="D17" s="1156">
        <f>'10.TMKK'!D17-'33._TMKK_önként'!D17</f>
        <v>0</v>
      </c>
      <c r="E17" s="88">
        <f>'10.TMKK'!E17-'33._TMKK_önként'!E17</f>
        <v>0</v>
      </c>
      <c r="F17" s="88">
        <f>'10.TMKK'!F17-'33._TMKK_önként'!F17</f>
        <v>0</v>
      </c>
      <c r="G17" s="88">
        <f>'10.TMKK'!G17-'33._TMKK_önként'!G17</f>
        <v>0</v>
      </c>
      <c r="H17" s="541">
        <f t="shared" si="1"/>
        <v>0</v>
      </c>
      <c r="I17" s="1087">
        <f>'10.TMKK'!I17-'33._TMKK_önként'!I17</f>
        <v>0</v>
      </c>
      <c r="J17" s="541">
        <f>'10.TMKK'!J17-'33._TMKK_önként'!J17</f>
        <v>0</v>
      </c>
      <c r="K17" s="541">
        <f>'10.TMKK'!K17-'33._TMKK_önként'!K17</f>
        <v>0</v>
      </c>
      <c r="L17" s="541" t="e">
        <f>'10.TMKK'!L17-'33._TMKK_önként'!L17</f>
        <v>#VALUE!</v>
      </c>
    </row>
    <row r="18" spans="1:12" s="26" customFormat="1" ht="12.2" customHeight="1" x14ac:dyDescent="0.2">
      <c r="A18" s="1037" t="s">
        <v>153</v>
      </c>
      <c r="B18" s="345" t="s">
        <v>302</v>
      </c>
      <c r="C18" s="121">
        <f>'10.TMKK'!C18-'33._TMKK_önként'!C18</f>
        <v>0</v>
      </c>
      <c r="D18" s="1157">
        <f>'10.TMKK'!D18-'33._TMKK_önként'!D18</f>
        <v>0</v>
      </c>
      <c r="E18" s="90">
        <f>'10.TMKK'!E18-'33._TMKK_önként'!E18</f>
        <v>0</v>
      </c>
      <c r="F18" s="90">
        <f>'10.TMKK'!F18-'33._TMKK_önként'!F18</f>
        <v>0</v>
      </c>
      <c r="G18" s="90">
        <f>'10.TMKK'!G18-'33._TMKK_önként'!G18</f>
        <v>0</v>
      </c>
      <c r="H18" s="542">
        <f t="shared" si="1"/>
        <v>0</v>
      </c>
      <c r="I18" s="1088">
        <f>'10.TMKK'!I18-'33._TMKK_önként'!I18</f>
        <v>0</v>
      </c>
      <c r="J18" s="542">
        <f>'10.TMKK'!J18-'33._TMKK_önként'!J18</f>
        <v>0</v>
      </c>
      <c r="K18" s="542">
        <f>'10.TMKK'!K18-'33._TMKK_önként'!K18</f>
        <v>0</v>
      </c>
      <c r="L18" s="542" t="e">
        <f>'10.TMKK'!L18-'33._TMKK_önként'!L18</f>
        <v>#VALUE!</v>
      </c>
    </row>
    <row r="19" spans="1:12" s="54" customFormat="1" ht="12.2" customHeight="1" x14ac:dyDescent="0.2">
      <c r="A19" s="1037" t="s">
        <v>154</v>
      </c>
      <c r="B19" s="330" t="s">
        <v>155</v>
      </c>
      <c r="C19" s="331">
        <f>'10.TMKK'!C19-'33._TMKK_önként'!C19</f>
        <v>0</v>
      </c>
      <c r="D19" s="1156">
        <f>'10.TMKK'!D19-'33._TMKK_önként'!D19</f>
        <v>0</v>
      </c>
      <c r="E19" s="88">
        <f>'10.TMKK'!E19-'33._TMKK_önként'!E19</f>
        <v>0</v>
      </c>
      <c r="F19" s="88">
        <f>'10.TMKK'!F19-'33._TMKK_önként'!F19</f>
        <v>0</v>
      </c>
      <c r="G19" s="88">
        <f>'10.TMKK'!G19-'33._TMKK_önként'!G19</f>
        <v>0</v>
      </c>
      <c r="H19" s="541">
        <f t="shared" si="1"/>
        <v>0</v>
      </c>
      <c r="I19" s="1087">
        <f>'10.TMKK'!I19-'33._TMKK_önként'!I19</f>
        <v>0</v>
      </c>
      <c r="J19" s="541">
        <f>'10.TMKK'!J19-'33._TMKK_önként'!J19</f>
        <v>0</v>
      </c>
      <c r="K19" s="541">
        <f>'10.TMKK'!K19-'33._TMKK_önként'!K19</f>
        <v>0</v>
      </c>
      <c r="L19" s="541" t="e">
        <f>'10.TMKK'!L19-'33._TMKK_önként'!L19</f>
        <v>#VALUE!</v>
      </c>
    </row>
    <row r="20" spans="1:12" s="54" customFormat="1" ht="12.2" customHeight="1" x14ac:dyDescent="0.2">
      <c r="A20" s="1037" t="s">
        <v>156</v>
      </c>
      <c r="B20" s="345" t="s">
        <v>275</v>
      </c>
      <c r="C20" s="333">
        <f>'10.TMKK'!C20-'33._TMKK_önként'!C20</f>
        <v>0</v>
      </c>
      <c r="D20" s="1158">
        <f>'10.TMKK'!D20-'33._TMKK_önként'!D20</f>
        <v>0</v>
      </c>
      <c r="E20" s="88">
        <f>'10.TMKK'!E20-'33._TMKK_önként'!E20</f>
        <v>0</v>
      </c>
      <c r="F20" s="88">
        <f>'10.TMKK'!F20-'33._TMKK_önként'!F20</f>
        <v>0</v>
      </c>
      <c r="G20" s="331">
        <f>'10.TMKK'!G20-'33._TMKK_önként'!G20</f>
        <v>0</v>
      </c>
      <c r="H20" s="543">
        <f t="shared" si="1"/>
        <v>0</v>
      </c>
      <c r="I20" s="1089">
        <f>'10.TMKK'!I20-'33._TMKK_önként'!I20</f>
        <v>0</v>
      </c>
      <c r="J20" s="543">
        <f>'10.TMKK'!J20-'33._TMKK_önként'!J20</f>
        <v>0</v>
      </c>
      <c r="K20" s="543">
        <f>'10.TMKK'!K20-'33._TMKK_önként'!K20</f>
        <v>0</v>
      </c>
      <c r="L20" s="543" t="e">
        <f>'10.TMKK'!L20-'33._TMKK_önként'!L20</f>
        <v>#VALUE!</v>
      </c>
    </row>
    <row r="21" spans="1:12" s="54" customFormat="1" ht="12.2" customHeight="1" thickBot="1" x14ac:dyDescent="0.25">
      <c r="A21" s="1037" t="s">
        <v>276</v>
      </c>
      <c r="B21" s="52" t="s">
        <v>157</v>
      </c>
      <c r="C21" s="333">
        <f>'10.TMKK'!C21-'33._TMKK_önként'!C21</f>
        <v>0</v>
      </c>
      <c r="D21" s="1158">
        <f>'10.TMKK'!D21-'33._TMKK_önként'!D21</f>
        <v>0</v>
      </c>
      <c r="E21" s="90">
        <f>'10.TMKK'!E21-'33._TMKK_önként'!E21</f>
        <v>0</v>
      </c>
      <c r="F21" s="90">
        <f>'10.TMKK'!F21-'33._TMKK_önként'!F21</f>
        <v>0</v>
      </c>
      <c r="G21" s="90">
        <f>'10.TMKK'!G21-'33._TMKK_önként'!G21</f>
        <v>0</v>
      </c>
      <c r="H21" s="544">
        <f t="shared" si="1"/>
        <v>0</v>
      </c>
      <c r="I21" s="1090">
        <f>'10.TMKK'!I21-'33._TMKK_önként'!I21</f>
        <v>0</v>
      </c>
      <c r="J21" s="544">
        <f>'10.TMKK'!J21-'33._TMKK_önként'!J21</f>
        <v>91804</v>
      </c>
      <c r="K21" s="544">
        <f>'10.TMKK'!K21-'33._TMKK_önként'!K21</f>
        <v>0</v>
      </c>
      <c r="L21" s="544" t="e">
        <f>'10.TMKK'!L21-'33._TMKK_önként'!L21</f>
        <v>#VALUE!</v>
      </c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SUM(C23:C25)</f>
        <v>0</v>
      </c>
      <c r="D22" s="1154">
        <f t="shared" ref="D22:L22" si="2">SUM(D23:D25)</f>
        <v>0</v>
      </c>
      <c r="E22" s="582">
        <f t="shared" si="2"/>
        <v>1162856</v>
      </c>
      <c r="F22" s="582">
        <f t="shared" si="2"/>
        <v>1162856</v>
      </c>
      <c r="G22" s="582">
        <f t="shared" si="2"/>
        <v>0</v>
      </c>
      <c r="H22" s="48">
        <f t="shared" si="1"/>
        <v>1162856</v>
      </c>
      <c r="I22" s="175">
        <f t="shared" si="2"/>
        <v>0</v>
      </c>
      <c r="J22" s="48">
        <f t="shared" si="2"/>
        <v>1702549</v>
      </c>
      <c r="K22" s="48">
        <f t="shared" si="2"/>
        <v>0</v>
      </c>
      <c r="L22" s="48" t="e">
        <f t="shared" si="2"/>
        <v>#VALUE!</v>
      </c>
    </row>
    <row r="23" spans="1:12" s="54" customFormat="1" ht="12.2" customHeight="1" x14ac:dyDescent="0.2">
      <c r="A23" s="1037" t="s">
        <v>94</v>
      </c>
      <c r="B23" s="17" t="s">
        <v>159</v>
      </c>
      <c r="C23" s="331">
        <f>'10.TMKK'!C23-'33._TMKK_önként'!C23</f>
        <v>0</v>
      </c>
      <c r="D23" s="1156">
        <f>'10.TMKK'!D23-'33._TMKK_önként'!D23</f>
        <v>0</v>
      </c>
      <c r="E23" s="584">
        <f>'10.TMKK'!E23-'33._TMKK_önként'!E23</f>
        <v>0</v>
      </c>
      <c r="F23" s="584">
        <f>'10.TMKK'!F23-'33._TMKK_önként'!F23</f>
        <v>0</v>
      </c>
      <c r="G23" s="584">
        <f>'10.TMKK'!G23-'33._TMKK_önként'!G23</f>
        <v>0</v>
      </c>
      <c r="H23" s="75">
        <f t="shared" si="1"/>
        <v>0</v>
      </c>
      <c r="I23" s="637">
        <f>'10.TMKK'!I23-'33._TMKK_önként'!I23</f>
        <v>0</v>
      </c>
      <c r="J23" s="75">
        <f>'10.TMKK'!J23-'33._TMKK_önként'!J23</f>
        <v>0</v>
      </c>
      <c r="K23" s="75">
        <f>'10.TMKK'!K23-'33._TMKK_önként'!K23</f>
        <v>0</v>
      </c>
      <c r="L23" s="75" t="e">
        <f>'10.TMKK'!L23-'33._TMKK_önként'!L23</f>
        <v>#VALUE!</v>
      </c>
    </row>
    <row r="24" spans="1:12" s="54" customFormat="1" ht="12.2" customHeight="1" x14ac:dyDescent="0.2">
      <c r="A24" s="1037" t="s">
        <v>95</v>
      </c>
      <c r="B24" s="330" t="s">
        <v>160</v>
      </c>
      <c r="C24" s="331">
        <f>'10.TMKK'!C24-'33._TMKK_önként'!C24</f>
        <v>0</v>
      </c>
      <c r="D24" s="1156">
        <f>'10.TMKK'!D24-'33._TMKK_önként'!D24</f>
        <v>0</v>
      </c>
      <c r="E24" s="88">
        <f>'10.TMKK'!E24-'33._TMKK_önként'!E24</f>
        <v>0</v>
      </c>
      <c r="F24" s="88">
        <f>'10.TMKK'!F24-'33._TMKK_önként'!F24</f>
        <v>0</v>
      </c>
      <c r="G24" s="88">
        <f>'10.TMKK'!G24-'33._TMKK_önként'!G24</f>
        <v>0</v>
      </c>
      <c r="H24" s="541">
        <f t="shared" si="1"/>
        <v>0</v>
      </c>
      <c r="I24" s="1087">
        <f>'10.TMKK'!I24-'33._TMKK_önként'!I24</f>
        <v>0</v>
      </c>
      <c r="J24" s="541">
        <f>'10.TMKK'!J24-'33._TMKK_önként'!J24</f>
        <v>0</v>
      </c>
      <c r="K24" s="541">
        <f>'10.TMKK'!K24-'33._TMKK_önként'!K24</f>
        <v>0</v>
      </c>
      <c r="L24" s="541" t="e">
        <f>'10.TMKK'!L24-'33._TMKK_önként'!L24</f>
        <v>#VALUE!</v>
      </c>
    </row>
    <row r="25" spans="1:12" s="54" customFormat="1" ht="12.2" customHeight="1" x14ac:dyDescent="0.2">
      <c r="A25" s="1037" t="s">
        <v>96</v>
      </c>
      <c r="B25" s="330" t="s">
        <v>161</v>
      </c>
      <c r="C25" s="331">
        <f>'10.TMKK'!C25-'33._TMKK_önként'!C25</f>
        <v>0</v>
      </c>
      <c r="D25" s="1156">
        <f>'10.TMKK'!D25-'33._TMKK_önként'!D25</f>
        <v>0</v>
      </c>
      <c r="E25" s="88">
        <f>'10.TMKK'!E25-'33._TMKK_önként'!E25</f>
        <v>1162856</v>
      </c>
      <c r="F25" s="88">
        <f>'10.TMKK'!F25-'33._TMKK_önként'!F25</f>
        <v>1162856</v>
      </c>
      <c r="G25" s="88">
        <f>'10.TMKK'!G25-'33._TMKK_önként'!G25</f>
        <v>0</v>
      </c>
      <c r="H25" s="541">
        <f t="shared" si="1"/>
        <v>1162856</v>
      </c>
      <c r="I25" s="1087">
        <f>'10.TMKK'!I25-'33._TMKK_önként'!I25</f>
        <v>0</v>
      </c>
      <c r="J25" s="541">
        <f>'10.TMKK'!J25-'33._TMKK_önként'!J25</f>
        <v>1702549</v>
      </c>
      <c r="K25" s="541">
        <f>'10.TMKK'!K25-'33._TMKK_önként'!K25</f>
        <v>0</v>
      </c>
      <c r="L25" s="541">
        <f>'10.TMKK'!L25-'33._TMKK_önként'!L25</f>
        <v>146.41099155871407</v>
      </c>
    </row>
    <row r="26" spans="1:12" s="54" customFormat="1" ht="12.2" customHeight="1" thickBot="1" x14ac:dyDescent="0.25">
      <c r="A26" s="1037" t="s">
        <v>317</v>
      </c>
      <c r="B26" s="335" t="s">
        <v>233</v>
      </c>
      <c r="C26" s="331">
        <f>'10.TMKK'!C26-'33._TMKK_önként'!C26</f>
        <v>0</v>
      </c>
      <c r="D26" s="1156">
        <f>'10.TMKK'!D26-'33._TMKK_önként'!D26</f>
        <v>0</v>
      </c>
      <c r="E26" s="88">
        <f>'10.TMKK'!E26-'33._TMKK_önként'!E26</f>
        <v>0</v>
      </c>
      <c r="F26" s="88">
        <f>'10.TMKK'!F26-'33._TMKK_önként'!F26</f>
        <v>0</v>
      </c>
      <c r="G26" s="88">
        <f>'10.TMKK'!G26-'33._TMKK_önként'!G26</f>
        <v>0</v>
      </c>
      <c r="H26" s="545">
        <f t="shared" si="1"/>
        <v>0</v>
      </c>
      <c r="I26" s="1091">
        <f>'10.TMKK'!I26-'33._TMKK_önként'!I26</f>
        <v>0</v>
      </c>
      <c r="J26" s="545">
        <f>'10.TMKK'!J26-'33._TMKK_önként'!J26</f>
        <v>0</v>
      </c>
      <c r="K26" s="545">
        <f>'10.TMKK'!K26-'33._TMKK_önként'!K26</f>
        <v>0</v>
      </c>
      <c r="L26" s="545" t="e">
        <f>'10.TMKK'!L26-'33._TMKK_önként'!L26</f>
        <v>#VALUE!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30">
        <f>'10.TMKK'!C27-'33._TMKK_önként'!C27</f>
        <v>0</v>
      </c>
      <c r="D27" s="1159">
        <f>'10.TMKK'!D27-'33._TMKK_önként'!D27</f>
        <v>0</v>
      </c>
      <c r="E27" s="585">
        <f>'10.TMKK'!E27-'33._TMKK_önként'!E27</f>
        <v>0</v>
      </c>
      <c r="F27" s="585">
        <f>'10.TMKK'!F27-'33._TMKK_önként'!F27</f>
        <v>0</v>
      </c>
      <c r="G27" s="585">
        <f>'10.TMKK'!G27-'33._TMKK_önként'!G27</f>
        <v>0</v>
      </c>
      <c r="H27" s="74">
        <f t="shared" si="1"/>
        <v>0</v>
      </c>
      <c r="I27" s="638">
        <f>'10.TMKK'!I27-'33._TMKK_önként'!I27</f>
        <v>0</v>
      </c>
      <c r="J27" s="74">
        <f>'10.TMKK'!J27-'33._TMKK_önként'!J27</f>
        <v>0</v>
      </c>
      <c r="K27" s="74">
        <f>'10.TMKK'!K27-'33._TMKK_önként'!K27</f>
        <v>0</v>
      </c>
      <c r="L27" s="74" t="e">
        <f>'10.TMKK'!L27-'33._TMKK_önként'!L27</f>
        <v>#VALUE!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+C29+C30</f>
        <v>0</v>
      </c>
      <c r="D28" s="1154">
        <f t="shared" ref="D28:L28" si="3">+D29+D30</f>
        <v>0</v>
      </c>
      <c r="E28" s="582">
        <f t="shared" si="3"/>
        <v>0</v>
      </c>
      <c r="F28" s="582">
        <f t="shared" si="3"/>
        <v>0</v>
      </c>
      <c r="G28" s="582">
        <f t="shared" si="3"/>
        <v>0</v>
      </c>
      <c r="H28" s="74">
        <f t="shared" si="1"/>
        <v>0</v>
      </c>
      <c r="I28" s="638">
        <f t="shared" si="3"/>
        <v>0</v>
      </c>
      <c r="J28" s="74">
        <f t="shared" si="3"/>
        <v>0</v>
      </c>
      <c r="K28" s="74">
        <f t="shared" si="3"/>
        <v>0</v>
      </c>
      <c r="L28" s="74" t="e">
        <f t="shared" si="3"/>
        <v>#VALUE!</v>
      </c>
    </row>
    <row r="29" spans="1:12" s="54" customFormat="1" ht="12.2" customHeight="1" x14ac:dyDescent="0.2">
      <c r="A29" s="58" t="s">
        <v>100</v>
      </c>
      <c r="B29" s="59" t="s">
        <v>160</v>
      </c>
      <c r="C29" s="122">
        <f>'10.TMKK'!C29-'33._TMKK_önként'!C29</f>
        <v>0</v>
      </c>
      <c r="D29" s="1160">
        <f>'10.TMKK'!D29-'33._TMKK_önként'!D29</f>
        <v>0</v>
      </c>
      <c r="E29" s="586">
        <f>'10.TMKK'!E29-'33._TMKK_önként'!E29</f>
        <v>0</v>
      </c>
      <c r="F29" s="586">
        <f>'10.TMKK'!F29-'33._TMKK_önként'!F29</f>
        <v>0</v>
      </c>
      <c r="G29" s="586">
        <f>'10.TMKK'!G29-'33._TMKK_önként'!G29</f>
        <v>0</v>
      </c>
      <c r="H29" s="546">
        <f t="shared" si="1"/>
        <v>0</v>
      </c>
      <c r="I29" s="1092">
        <f>'10.TMKK'!I29-'33._TMKK_önként'!I29</f>
        <v>0</v>
      </c>
      <c r="J29" s="546">
        <f>'10.TMKK'!J29-'33._TMKK_önként'!J29</f>
        <v>0</v>
      </c>
      <c r="K29" s="546">
        <f>'10.TMKK'!K29-'33._TMKK_önként'!K29</f>
        <v>0</v>
      </c>
      <c r="L29" s="546" t="e">
        <f>'10.TMKK'!L29-'33._TMKK_önként'!L29</f>
        <v>#VALUE!</v>
      </c>
    </row>
    <row r="30" spans="1:12" s="54" customFormat="1" ht="12.2" customHeight="1" x14ac:dyDescent="0.2">
      <c r="A30" s="58" t="s">
        <v>101</v>
      </c>
      <c r="B30" s="336" t="s">
        <v>163</v>
      </c>
      <c r="C30" s="120">
        <f>'10.TMKK'!C30-'33._TMKK_önként'!C30</f>
        <v>0</v>
      </c>
      <c r="D30" s="1161">
        <f>'10.TMKK'!D30-'33._TMKK_önként'!D30</f>
        <v>0</v>
      </c>
      <c r="E30" s="107">
        <f>'10.TMKK'!E30-'33._TMKK_önként'!E30</f>
        <v>0</v>
      </c>
      <c r="F30" s="107">
        <f>'10.TMKK'!F30-'33._TMKK_önként'!F30</f>
        <v>0</v>
      </c>
      <c r="G30" s="339">
        <f>'10.TMKK'!G30-'33._TMKK_önként'!G30</f>
        <v>0</v>
      </c>
      <c r="H30" s="534">
        <f t="shared" si="1"/>
        <v>0</v>
      </c>
      <c r="I30" s="630">
        <f>'10.TMKK'!I30-'33._TMKK_önként'!I30</f>
        <v>0</v>
      </c>
      <c r="J30" s="534">
        <f>'10.TMKK'!J30-'33._TMKK_önként'!J30</f>
        <v>0</v>
      </c>
      <c r="K30" s="534">
        <f>'10.TMKK'!K30-'33._TMKK_önként'!K30</f>
        <v>0</v>
      </c>
      <c r="L30" s="534" t="e">
        <f>'10.TMKK'!L30-'33._TMKK_önként'!L30</f>
        <v>#VALUE!</v>
      </c>
    </row>
    <row r="31" spans="1:12" s="54" customFormat="1" ht="12.2" customHeight="1" thickBot="1" x14ac:dyDescent="0.25">
      <c r="A31" s="1037" t="s">
        <v>281</v>
      </c>
      <c r="B31" s="102" t="s">
        <v>165</v>
      </c>
      <c r="C31" s="92">
        <f>'10.TMKK'!C31-'33._TMKK_önként'!C31</f>
        <v>0</v>
      </c>
      <c r="D31" s="1162">
        <f>'10.TMKK'!D31-'33._TMKK_önként'!D31</f>
        <v>0</v>
      </c>
      <c r="E31" s="587">
        <f>'10.TMKK'!E31-'33._TMKK_önként'!E31</f>
        <v>0</v>
      </c>
      <c r="F31" s="587">
        <f>'10.TMKK'!F31-'33._TMKK_önként'!F31</f>
        <v>0</v>
      </c>
      <c r="G31" s="587">
        <f>'10.TMKK'!G31-'33._TMKK_önként'!G31</f>
        <v>0</v>
      </c>
      <c r="H31" s="547">
        <f t="shared" si="1"/>
        <v>0</v>
      </c>
      <c r="I31" s="1093">
        <f>'10.TMKK'!I31-'33._TMKK_önként'!I31</f>
        <v>0</v>
      </c>
      <c r="J31" s="547">
        <f>'10.TMKK'!J31-'33._TMKK_önként'!J31</f>
        <v>0</v>
      </c>
      <c r="K31" s="547">
        <f>'10.TMKK'!K31-'33._TMKK_önként'!K31</f>
        <v>0</v>
      </c>
      <c r="L31" s="547" t="e">
        <f>'10.TMKK'!L31-'33._TMKK_önként'!L31</f>
        <v>#VALUE!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+C33+C34+C35</f>
        <v>0</v>
      </c>
      <c r="D32" s="1154">
        <f t="shared" ref="D32:L32" si="4">+D33+D34+D35</f>
        <v>0</v>
      </c>
      <c r="E32" s="582">
        <f t="shared" si="4"/>
        <v>0</v>
      </c>
      <c r="F32" s="582">
        <f t="shared" si="4"/>
        <v>0</v>
      </c>
      <c r="G32" s="582">
        <f t="shared" si="4"/>
        <v>0</v>
      </c>
      <c r="H32" s="74">
        <f t="shared" si="1"/>
        <v>0</v>
      </c>
      <c r="I32" s="638">
        <f t="shared" si="4"/>
        <v>0</v>
      </c>
      <c r="J32" s="74">
        <f t="shared" si="4"/>
        <v>0</v>
      </c>
      <c r="K32" s="74">
        <f t="shared" si="4"/>
        <v>0</v>
      </c>
      <c r="L32" s="74" t="e">
        <f t="shared" si="4"/>
        <v>#VALUE!</v>
      </c>
    </row>
    <row r="33" spans="1:12" s="54" customFormat="1" ht="12.2" customHeight="1" x14ac:dyDescent="0.2">
      <c r="A33" s="58" t="s">
        <v>89</v>
      </c>
      <c r="B33" s="59" t="s">
        <v>167</v>
      </c>
      <c r="C33" s="122">
        <f>'10.TMKK'!C33-'33._TMKK_önként'!C33</f>
        <v>0</v>
      </c>
      <c r="D33" s="1160">
        <f>'10.TMKK'!D33-'33._TMKK_önként'!D33</f>
        <v>0</v>
      </c>
      <c r="E33" s="586">
        <f>'10.TMKK'!E33-'33._TMKK_önként'!E33</f>
        <v>0</v>
      </c>
      <c r="F33" s="586">
        <f>'10.TMKK'!F33-'33._TMKK_önként'!F33</f>
        <v>0</v>
      </c>
      <c r="G33" s="586">
        <f>'10.TMKK'!G33-'33._TMKK_önként'!G33</f>
        <v>0</v>
      </c>
      <c r="H33" s="546">
        <f t="shared" si="1"/>
        <v>0</v>
      </c>
      <c r="I33" s="1092">
        <f>'10.TMKK'!I33-'33._TMKK_önként'!I33</f>
        <v>0</v>
      </c>
      <c r="J33" s="546">
        <f>'10.TMKK'!J33-'33._TMKK_önként'!J33</f>
        <v>0</v>
      </c>
      <c r="K33" s="546">
        <f>'10.TMKK'!K33-'33._TMKK_önként'!K33</f>
        <v>0</v>
      </c>
      <c r="L33" s="546" t="e">
        <f>'10.TMKK'!L33-'33._TMKK_önként'!L33</f>
        <v>#VALUE!</v>
      </c>
    </row>
    <row r="34" spans="1:12" s="54" customFormat="1" ht="12.2" customHeight="1" x14ac:dyDescent="0.2">
      <c r="A34" s="58" t="s">
        <v>102</v>
      </c>
      <c r="B34" s="336" t="s">
        <v>168</v>
      </c>
      <c r="C34" s="120">
        <f>'10.TMKK'!C34-'33._TMKK_önként'!C34</f>
        <v>0</v>
      </c>
      <c r="D34" s="1161">
        <f>'10.TMKK'!D34-'33._TMKK_önként'!D34</f>
        <v>0</v>
      </c>
      <c r="E34" s="107">
        <f>'10.TMKK'!E34-'33._TMKK_önként'!E34</f>
        <v>0</v>
      </c>
      <c r="F34" s="107">
        <f>'10.TMKK'!F34-'33._TMKK_önként'!F34</f>
        <v>0</v>
      </c>
      <c r="G34" s="339">
        <f>'10.TMKK'!G34-'33._TMKK_önként'!G34</f>
        <v>0</v>
      </c>
      <c r="H34" s="534">
        <f t="shared" si="1"/>
        <v>0</v>
      </c>
      <c r="I34" s="630">
        <f>'10.TMKK'!I34-'33._TMKK_önként'!I34</f>
        <v>0</v>
      </c>
      <c r="J34" s="534">
        <f>'10.TMKK'!J34-'33._TMKK_önként'!J34</f>
        <v>0</v>
      </c>
      <c r="K34" s="534">
        <f>'10.TMKK'!K34-'33._TMKK_önként'!K34</f>
        <v>0</v>
      </c>
      <c r="L34" s="534" t="e">
        <f>'10.TMKK'!L34-'33._TMKK_önként'!L34</f>
        <v>#VALUE!</v>
      </c>
    </row>
    <row r="35" spans="1:12" s="54" customFormat="1" ht="12.2" customHeight="1" thickBot="1" x14ac:dyDescent="0.25">
      <c r="A35" s="1037" t="s">
        <v>103</v>
      </c>
      <c r="B35" s="62" t="s">
        <v>169</v>
      </c>
      <c r="C35" s="92">
        <f>'10.TMKK'!C35-'33._TMKK_önként'!C35</f>
        <v>0</v>
      </c>
      <c r="D35" s="1162">
        <f>'10.TMKK'!D35-'33._TMKK_önként'!D35</f>
        <v>0</v>
      </c>
      <c r="E35" s="587">
        <f>'10.TMKK'!E35-'33._TMKK_önként'!E35</f>
        <v>0</v>
      </c>
      <c r="F35" s="587">
        <f>'10.TMKK'!F35-'33._TMKK_önként'!F35</f>
        <v>0</v>
      </c>
      <c r="G35" s="587">
        <f>'10.TMKK'!G35-'33._TMKK_önként'!G35</f>
        <v>0</v>
      </c>
      <c r="H35" s="548">
        <f t="shared" si="1"/>
        <v>0</v>
      </c>
      <c r="I35" s="1094">
        <f>'10.TMKK'!I35-'33._TMKK_önként'!I35</f>
        <v>0</v>
      </c>
      <c r="J35" s="548">
        <f>'10.TMKK'!J35-'33._TMKK_önként'!J35</f>
        <v>0</v>
      </c>
      <c r="K35" s="548">
        <f>'10.TMKK'!K35-'33._TMKK_önként'!K35</f>
        <v>0</v>
      </c>
      <c r="L35" s="548" t="e">
        <f>'10.TMKK'!L35-'33._TMKK_önként'!L35</f>
        <v>#VALUE!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30">
        <f>'10.TMKK'!C36-'33._TMKK_önként'!C36</f>
        <v>0</v>
      </c>
      <c r="D36" s="1159">
        <f>'10.TMKK'!D36-'33._TMKK_önként'!D36</f>
        <v>50000</v>
      </c>
      <c r="E36" s="1159">
        <f>'10.TMKK'!E36-'33._TMKK_önként'!E36</f>
        <v>3050000</v>
      </c>
      <c r="F36" s="1159">
        <f>'10.TMKK'!F36-'33._TMKK_önként'!F36</f>
        <v>3050000</v>
      </c>
      <c r="G36" s="1159">
        <f>'10.TMKK'!G36-'33._TMKK_önként'!G36</f>
        <v>0</v>
      </c>
      <c r="H36" s="74">
        <f t="shared" si="1"/>
        <v>3000000</v>
      </c>
      <c r="I36" s="638">
        <f>'10.TMKK'!I36-'33._TMKK_önként'!I36</f>
        <v>0</v>
      </c>
      <c r="J36" s="74">
        <f>'10.TMKK'!J36-'33._TMKK_önként'!J36</f>
        <v>3050000</v>
      </c>
      <c r="K36" s="74">
        <f>'10.TMKK'!K36-'33._TMKK_önként'!K36</f>
        <v>0</v>
      </c>
      <c r="L36" s="74">
        <f>'10.TMKK'!L36-'33._TMKK_önként'!L36</f>
        <v>100</v>
      </c>
    </row>
    <row r="37" spans="1:12" s="26" customFormat="1" ht="12.2" customHeight="1" thickBot="1" x14ac:dyDescent="0.25">
      <c r="A37" s="1038" t="s">
        <v>104</v>
      </c>
      <c r="B37" s="337" t="s">
        <v>165</v>
      </c>
      <c r="C37" s="1032">
        <f>'10.TMKK'!C37-'33._TMKK_önként'!C37</f>
        <v>0</v>
      </c>
      <c r="D37" s="1288">
        <f>'10.TMKK'!D37-'33._TMKK_önként'!D37</f>
        <v>0</v>
      </c>
      <c r="E37" s="91">
        <f>'10.TMKK'!E37-'33._TMKK_önként'!E37</f>
        <v>0</v>
      </c>
      <c r="F37" s="91">
        <f>'10.TMKK'!F37-'33._TMKK_önként'!F37</f>
        <v>0</v>
      </c>
      <c r="G37" s="91">
        <f>'10.TMKK'!G37-'33._TMKK_önként'!G37</f>
        <v>0</v>
      </c>
      <c r="H37" s="1117">
        <f t="shared" si="1"/>
        <v>0</v>
      </c>
      <c r="I37" s="1095">
        <f>'10.TMKK'!I37-'33._TMKK_önként'!I37</f>
        <v>0</v>
      </c>
      <c r="J37" s="549">
        <f>'10.TMKK'!J37-'33._TMKK_önként'!J37</f>
        <v>0</v>
      </c>
      <c r="K37" s="549">
        <f>'10.TMKK'!K37-'33._TMKK_önként'!K37</f>
        <v>0</v>
      </c>
      <c r="L37" s="549" t="e">
        <f>'10.TMKK'!L37-'33._TMKK_önként'!L37</f>
        <v>#VALUE!</v>
      </c>
    </row>
    <row r="38" spans="1:12" s="26" customFormat="1" ht="12.2" customHeight="1" thickBot="1" x14ac:dyDescent="0.25">
      <c r="A38" s="55" t="s">
        <v>18</v>
      </c>
      <c r="B38" s="56" t="s">
        <v>555</v>
      </c>
      <c r="C38" s="130">
        <f>'10.TMKK'!C38-'33._TMKK_önként'!C38</f>
        <v>0</v>
      </c>
      <c r="D38" s="1159">
        <f>'10.TMKK'!D38-'33._TMKK_önként'!D38</f>
        <v>0</v>
      </c>
      <c r="E38" s="585">
        <f>'10.TMKK'!E38-'33._TMKK_önként'!E38</f>
        <v>0</v>
      </c>
      <c r="F38" s="585">
        <f>'10.TMKK'!F38-'33._TMKK_önként'!F38</f>
        <v>0</v>
      </c>
      <c r="G38" s="585">
        <f>'10.TMKK'!G38-'33._TMKK_önként'!G38</f>
        <v>0</v>
      </c>
      <c r="H38" s="74">
        <f t="shared" si="1"/>
        <v>0</v>
      </c>
      <c r="I38" s="638">
        <f>'10.TMKK'!I38-'33._TMKK_önként'!I38</f>
        <v>0</v>
      </c>
      <c r="J38" s="74">
        <f>'10.TMKK'!J38-'33._TMKK_önként'!J38</f>
        <v>0</v>
      </c>
      <c r="K38" s="74">
        <f>'10.TMKK'!K38-'33._TMKK_önként'!K38</f>
        <v>0</v>
      </c>
      <c r="L38" s="74" t="e">
        <f>'10.TMKK'!L38-'33._TMKK_önként'!L38</f>
        <v>#VALUE!</v>
      </c>
    </row>
    <row r="39" spans="1:12" s="26" customFormat="1" ht="12.2" customHeight="1" x14ac:dyDescent="0.2">
      <c r="A39" s="12" t="s">
        <v>107</v>
      </c>
      <c r="B39" s="95" t="s">
        <v>212</v>
      </c>
      <c r="C39" s="131">
        <f>'10.TMKK'!C39-'33._TMKK_önként'!C39</f>
        <v>0</v>
      </c>
      <c r="D39" s="1163">
        <f>'10.TMKK'!D39-'33._TMKK_önként'!D39</f>
        <v>0</v>
      </c>
      <c r="E39" s="589">
        <f>'10.TMKK'!E39-'33._TMKK_önként'!E39</f>
        <v>0</v>
      </c>
      <c r="F39" s="589">
        <f>'10.TMKK'!F39-'33._TMKK_önként'!F39</f>
        <v>0</v>
      </c>
      <c r="G39" s="589">
        <f>'10.TMKK'!G39-'33._TMKK_önként'!G39</f>
        <v>0</v>
      </c>
      <c r="H39" s="550">
        <f t="shared" si="1"/>
        <v>0</v>
      </c>
      <c r="I39" s="1096">
        <f>'10.TMKK'!I39-'33._TMKK_önként'!I39</f>
        <v>0</v>
      </c>
      <c r="J39" s="550">
        <f>'10.TMKK'!J39-'33._TMKK_önként'!J39</f>
        <v>0</v>
      </c>
      <c r="K39" s="550">
        <f>'10.TMKK'!K39-'33._TMKK_önként'!K39</f>
        <v>0</v>
      </c>
      <c r="L39" s="550" t="e">
        <f>'10.TMKK'!L39-'33._TMKK_önként'!L39</f>
        <v>#VALUE!</v>
      </c>
    </row>
    <row r="40" spans="1:12" s="26" customFormat="1" ht="12.2" customHeight="1" x14ac:dyDescent="0.2">
      <c r="A40" s="1003" t="s">
        <v>108</v>
      </c>
      <c r="B40" s="346" t="s">
        <v>213</v>
      </c>
      <c r="C40" s="1033">
        <f>'10.TMKK'!C40-'33._TMKK_önként'!C40</f>
        <v>0</v>
      </c>
      <c r="D40" s="1289">
        <f>'10.TMKK'!D40-'33._TMKK_önként'!D40</f>
        <v>0</v>
      </c>
      <c r="E40" s="605">
        <f>'10.TMKK'!E40-'33._TMKK_önként'!E40</f>
        <v>0</v>
      </c>
      <c r="F40" s="590">
        <f>'10.TMKK'!F40-'33._TMKK_önként'!F40</f>
        <v>0</v>
      </c>
      <c r="G40" s="590">
        <f>'10.TMKK'!G40-'33._TMKK_önként'!G40</f>
        <v>0</v>
      </c>
      <c r="H40" s="551">
        <f t="shared" si="1"/>
        <v>0</v>
      </c>
      <c r="I40" s="1097">
        <f>'10.TMKK'!I40-'33._TMKK_önként'!I40</f>
        <v>0</v>
      </c>
      <c r="J40" s="551">
        <f>'10.TMKK'!J40-'33._TMKK_önként'!J40</f>
        <v>0</v>
      </c>
      <c r="K40" s="551">
        <f>'10.TMKK'!K40-'33._TMKK_önként'!K40</f>
        <v>0</v>
      </c>
      <c r="L40" s="551" t="e">
        <f>'10.TMKK'!L40-'33._TMKK_önként'!L40</f>
        <v>#VALUE!</v>
      </c>
    </row>
    <row r="41" spans="1:12" s="26" customFormat="1" ht="12.2" customHeight="1" thickBot="1" x14ac:dyDescent="0.25">
      <c r="A41" s="1003" t="s">
        <v>323</v>
      </c>
      <c r="B41" s="103" t="s">
        <v>165</v>
      </c>
      <c r="C41" s="92">
        <f>'10.TMKK'!C41-'33._TMKK_önként'!C41</f>
        <v>0</v>
      </c>
      <c r="D41" s="1162">
        <f>'10.TMKK'!D41-'33._TMKK_önként'!D41</f>
        <v>0</v>
      </c>
      <c r="E41" s="593">
        <f>'10.TMKK'!E41-'33._TMKK_önként'!E41</f>
        <v>0</v>
      </c>
      <c r="F41" s="591">
        <f>'10.TMKK'!F41-'33._TMKK_önként'!F41</f>
        <v>0</v>
      </c>
      <c r="G41" s="591">
        <f>'10.TMKK'!G41-'33._TMKK_önként'!G41</f>
        <v>0</v>
      </c>
      <c r="H41" s="552">
        <f t="shared" si="1"/>
        <v>0</v>
      </c>
      <c r="I41" s="1098">
        <f>'10.TMKK'!I41-'33._TMKK_önként'!I41</f>
        <v>0</v>
      </c>
      <c r="J41" s="552">
        <f>'10.TMKK'!J41-'33._TMKK_önként'!J41</f>
        <v>0</v>
      </c>
      <c r="K41" s="552">
        <f>'10.TMKK'!K41-'33._TMKK_önként'!K41</f>
        <v>0</v>
      </c>
      <c r="L41" s="552" t="e">
        <f>'10.TMKK'!L41-'33._TMKK_önként'!L41</f>
        <v>#VALUE!</v>
      </c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6807200</v>
      </c>
      <c r="D42" s="1154">
        <f t="shared" ref="D42:L42" si="5">+D10+D22+D27+D28+D32+D36+D38</f>
        <v>6857200</v>
      </c>
      <c r="E42" s="582">
        <f t="shared" si="5"/>
        <v>11020056</v>
      </c>
      <c r="F42" s="582">
        <f t="shared" si="5"/>
        <v>11020056</v>
      </c>
      <c r="G42" s="582">
        <f t="shared" si="5"/>
        <v>0</v>
      </c>
      <c r="H42" s="74">
        <f t="shared" si="1"/>
        <v>4162856</v>
      </c>
      <c r="I42" s="638">
        <f t="shared" si="5"/>
        <v>0</v>
      </c>
      <c r="J42" s="74">
        <f t="shared" si="5"/>
        <v>14229286</v>
      </c>
      <c r="K42" s="74">
        <f t="shared" si="5"/>
        <v>0</v>
      </c>
      <c r="L42" s="74" t="e">
        <f t="shared" si="5"/>
        <v>#VALUE!</v>
      </c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SUM(C44:C47)</f>
        <v>204470915</v>
      </c>
      <c r="D43" s="1154">
        <f t="shared" ref="D43:L43" si="6">SUM(D44:D47)</f>
        <v>243860564</v>
      </c>
      <c r="E43" s="582">
        <f t="shared" si="6"/>
        <v>293183179</v>
      </c>
      <c r="F43" s="582">
        <f t="shared" si="6"/>
        <v>309532949</v>
      </c>
      <c r="G43" s="582">
        <f t="shared" si="6"/>
        <v>1253080</v>
      </c>
      <c r="H43" s="74">
        <f t="shared" si="1"/>
        <v>49322615</v>
      </c>
      <c r="I43" s="638">
        <f t="shared" si="6"/>
        <v>1253080</v>
      </c>
      <c r="J43" s="74">
        <f t="shared" si="6"/>
        <v>217667718</v>
      </c>
      <c r="K43" s="74">
        <f t="shared" si="6"/>
        <v>0</v>
      </c>
      <c r="L43" s="74" t="e">
        <f t="shared" si="6"/>
        <v>#VALUE!</v>
      </c>
    </row>
    <row r="44" spans="1:12" s="26" customFormat="1" ht="12.2" customHeight="1" x14ac:dyDescent="0.2">
      <c r="A44" s="58" t="s">
        <v>171</v>
      </c>
      <c r="B44" s="59" t="s">
        <v>131</v>
      </c>
      <c r="C44" s="122">
        <f>'10.TMKK'!C44-'33._TMKK_önként'!C44</f>
        <v>1245500</v>
      </c>
      <c r="D44" s="1160">
        <f>'10.TMKK'!D44-'33._TMKK_önként'!D44</f>
        <v>8927028</v>
      </c>
      <c r="E44" s="586">
        <f>'10.TMKK'!E44-'33._TMKK_önként'!E44</f>
        <v>8927028</v>
      </c>
      <c r="F44" s="586">
        <f>'10.TMKK'!F44-'33._TMKK_önként'!F44</f>
        <v>8927028</v>
      </c>
      <c r="G44" s="586">
        <f>'10.TMKK'!G44-'33._TMKK_önként'!G44</f>
        <v>0</v>
      </c>
      <c r="H44" s="546">
        <f t="shared" si="1"/>
        <v>0</v>
      </c>
      <c r="I44" s="1092">
        <f>'10.TMKK'!I44-'33._TMKK_önként'!I44</f>
        <v>0</v>
      </c>
      <c r="J44" s="546">
        <f>'10.TMKK'!J44-'33._TMKK_önként'!J44</f>
        <v>8927028</v>
      </c>
      <c r="K44" s="546">
        <f>'10.TMKK'!K44-'33._TMKK_önként'!K44</f>
        <v>0</v>
      </c>
      <c r="L44" s="546">
        <f>'10.TMKK'!L44-'33._TMKK_önként'!L44</f>
        <v>100</v>
      </c>
    </row>
    <row r="45" spans="1:12" s="26" customFormat="1" ht="12.2" customHeight="1" x14ac:dyDescent="0.2">
      <c r="A45" s="71" t="s">
        <v>172</v>
      </c>
      <c r="B45" s="59" t="s">
        <v>186</v>
      </c>
      <c r="C45" s="120">
        <f>'10.TMKK'!C45-'33._TMKK_önként'!C45</f>
        <v>0</v>
      </c>
      <c r="D45" s="1161">
        <f>'10.TMKK'!D45-'33._TMKK_önként'!D45</f>
        <v>0</v>
      </c>
      <c r="E45" s="91">
        <f>'10.TMKK'!E45-'33._TMKK_önként'!E45</f>
        <v>0</v>
      </c>
      <c r="F45" s="91">
        <f>'10.TMKK'!F45-'33._TMKK_önként'!F45</f>
        <v>0</v>
      </c>
      <c r="G45" s="91">
        <f>'10.TMKK'!G45-'33._TMKK_önként'!G45</f>
        <v>0</v>
      </c>
      <c r="H45" s="553">
        <f t="shared" si="1"/>
        <v>0</v>
      </c>
      <c r="I45" s="1099">
        <f>'10.TMKK'!I45-'33._TMKK_önként'!I45</f>
        <v>0</v>
      </c>
      <c r="J45" s="553">
        <f>'10.TMKK'!J45-'33._TMKK_önként'!J45</f>
        <v>0</v>
      </c>
      <c r="K45" s="553">
        <f>'10.TMKK'!K45-'33._TMKK_önként'!K45</f>
        <v>0</v>
      </c>
      <c r="L45" s="553" t="e">
        <f>'10.TMKK'!L45-'33._TMKK_önként'!L45</f>
        <v>#VALUE!</v>
      </c>
    </row>
    <row r="46" spans="1:12" s="26" customFormat="1" ht="12.2" customHeight="1" x14ac:dyDescent="0.2">
      <c r="A46" s="1037" t="s">
        <v>173</v>
      </c>
      <c r="B46" s="336" t="s">
        <v>177</v>
      </c>
      <c r="C46" s="339">
        <f>'10.TMKK'!C46-'33._TMKK_önként'!C46</f>
        <v>199825415</v>
      </c>
      <c r="D46" s="1166">
        <f>'10.TMKK'!D46-'33._TMKK_önként'!D46</f>
        <v>230057536</v>
      </c>
      <c r="E46" s="107">
        <f>'10.TMKK'!E46-'33._TMKK_önként'!E46</f>
        <v>276080151</v>
      </c>
      <c r="F46" s="107">
        <f>'10.TMKK'!F46-'33._TMKK_önként'!F46</f>
        <v>292429921</v>
      </c>
      <c r="G46" s="107">
        <f>'10.TMKK'!G46-'33._TMKK_önként'!G46</f>
        <v>1253080</v>
      </c>
      <c r="H46" s="534">
        <f t="shared" si="1"/>
        <v>46022615</v>
      </c>
      <c r="I46" s="630">
        <f>'10.TMKK'!I46-'33._TMKK_önként'!I46</f>
        <v>1253080</v>
      </c>
      <c r="J46" s="534">
        <f>'10.TMKK'!J46-'33._TMKK_önként'!J46</f>
        <v>204305673</v>
      </c>
      <c r="K46" s="534">
        <f>'10.TMKK'!K46-'33._TMKK_önként'!K46</f>
        <v>0</v>
      </c>
      <c r="L46" s="534">
        <f>'10.TMKK'!L46-'33._TMKK_önként'!L46</f>
        <v>69.86483199166203</v>
      </c>
    </row>
    <row r="47" spans="1:12" s="54" customFormat="1" ht="12.2" customHeight="1" thickBot="1" x14ac:dyDescent="0.25">
      <c r="A47" s="58" t="s">
        <v>178</v>
      </c>
      <c r="B47" s="62" t="s">
        <v>179</v>
      </c>
      <c r="C47" s="1034">
        <f>'10.TMKK'!C47-'33._TMKK_önként'!C47</f>
        <v>3400000</v>
      </c>
      <c r="D47" s="1167">
        <f>'10.TMKK'!D47-'33._TMKK_önként'!D47</f>
        <v>4876000</v>
      </c>
      <c r="E47" s="587">
        <f>'10.TMKK'!E47-'33._TMKK_önként'!E47</f>
        <v>8176000</v>
      </c>
      <c r="F47" s="587">
        <f>'10.TMKK'!F47-'33._TMKK_önként'!F47</f>
        <v>8176000</v>
      </c>
      <c r="G47" s="587">
        <f>'10.TMKK'!G47-'33._TMKK_önként'!G47</f>
        <v>0</v>
      </c>
      <c r="H47" s="548">
        <f t="shared" si="1"/>
        <v>3300000</v>
      </c>
      <c r="I47" s="1094">
        <f>'10.TMKK'!I47-'33._TMKK_önként'!I47</f>
        <v>0</v>
      </c>
      <c r="J47" s="548">
        <f>'10.TMKK'!J47-'33._TMKK_önként'!J47</f>
        <v>4435017</v>
      </c>
      <c r="K47" s="548">
        <f>'10.TMKK'!K47-'33._TMKK_önként'!K47</f>
        <v>0</v>
      </c>
      <c r="L47" s="548">
        <f>'10.TMKK'!L47-'33._TMKK_önként'!L47</f>
        <v>54.244337084148732</v>
      </c>
    </row>
    <row r="48" spans="1:12" s="54" customFormat="1" ht="15" customHeight="1" thickBot="1" x14ac:dyDescent="0.25">
      <c r="A48" s="63" t="s">
        <v>21</v>
      </c>
      <c r="B48" s="524" t="s">
        <v>174</v>
      </c>
      <c r="C48" s="135">
        <f>+C42+C43</f>
        <v>211278115</v>
      </c>
      <c r="D48" s="1168">
        <f t="shared" ref="D48:L48" si="7">+D42+D43</f>
        <v>250717764</v>
      </c>
      <c r="E48" s="592">
        <f t="shared" si="7"/>
        <v>304203235</v>
      </c>
      <c r="F48" s="592">
        <f t="shared" si="7"/>
        <v>320553005</v>
      </c>
      <c r="G48" s="592">
        <f t="shared" si="7"/>
        <v>1253080</v>
      </c>
      <c r="H48" s="557">
        <f t="shared" si="1"/>
        <v>53485471</v>
      </c>
      <c r="I48" s="1100">
        <f t="shared" si="7"/>
        <v>1253080</v>
      </c>
      <c r="J48" s="557">
        <f t="shared" si="7"/>
        <v>231897004</v>
      </c>
      <c r="K48" s="557">
        <f t="shared" si="7"/>
        <v>0</v>
      </c>
      <c r="L48" s="557" t="e">
        <f t="shared" si="7"/>
        <v>#VALUE!</v>
      </c>
    </row>
    <row r="49" spans="1:12" s="54" customFormat="1" ht="15" customHeight="1" x14ac:dyDescent="0.2">
      <c r="A49" s="64"/>
      <c r="B49" s="65"/>
      <c r="C49" s="66"/>
      <c r="D49" s="1169"/>
      <c r="E49" s="66"/>
      <c r="F49" s="66"/>
      <c r="G49" s="66"/>
      <c r="H49" s="66"/>
      <c r="I49" s="66"/>
      <c r="J49" s="66"/>
      <c r="K49" s="66"/>
      <c r="L49" s="66"/>
    </row>
    <row r="50" spans="1:12" s="54" customFormat="1" ht="15" customHeight="1" x14ac:dyDescent="0.2">
      <c r="A50" s="64"/>
      <c r="B50" s="65"/>
      <c r="C50" s="66"/>
      <c r="D50" s="1169"/>
      <c r="E50" s="66"/>
      <c r="F50" s="66"/>
      <c r="G50" s="66"/>
      <c r="H50" s="66"/>
      <c r="I50" s="66"/>
      <c r="J50" s="66"/>
      <c r="K50" s="66"/>
      <c r="L50" s="66"/>
    </row>
    <row r="51" spans="1:12" s="54" customFormat="1" ht="15" customHeight="1" thickBot="1" x14ac:dyDescent="0.25">
      <c r="A51" s="1912" t="s">
        <v>362</v>
      </c>
      <c r="B51" s="1912"/>
      <c r="C51" s="1912"/>
      <c r="D51" s="1912"/>
      <c r="E51" s="1912"/>
      <c r="F51" s="1912"/>
      <c r="G51" s="1912"/>
      <c r="H51" s="1912"/>
      <c r="I51" s="66"/>
      <c r="J51" s="66"/>
      <c r="K51" s="66"/>
      <c r="L51" s="66"/>
    </row>
    <row r="52" spans="1:12" s="554" customFormat="1" ht="55.5" customHeight="1" thickBot="1" x14ac:dyDescent="0.25">
      <c r="A52" s="641"/>
      <c r="B52" s="642" t="s">
        <v>38</v>
      </c>
      <c r="C52" s="21" t="str">
        <f>C7</f>
        <v>2023. évi eredeti előirányzat
2/2023. (II.14.)</v>
      </c>
      <c r="D52" s="1176" t="str">
        <f t="shared" ref="D52:H52" si="8">D7</f>
        <v>Módosított előirányzat a 14/2023.  (VI.29.)  rendelet szerint</v>
      </c>
      <c r="E52" s="21" t="str">
        <f t="shared" si="8"/>
        <v>Módosított előirányzat a 18/2023. (IX.26.)  rendelet szerint</v>
      </c>
      <c r="F52" s="1322" t="str">
        <f t="shared" si="8"/>
        <v>Módosított előirányzat 2023.09.30-án</v>
      </c>
      <c r="G52" s="555" t="str">
        <f t="shared" si="8"/>
        <v>Módosított előirányzat a …../2023. (II…..)  rendelet szerint</v>
      </c>
      <c r="H52" s="32" t="str">
        <f t="shared" si="8"/>
        <v>Változás a 14/2023. (VI.29.) rendelethez képest</v>
      </c>
      <c r="I52" s="21">
        <f t="shared" ref="I52:L52" si="9">SUM(I53:I58)-I54</f>
        <v>1253080</v>
      </c>
      <c r="J52" s="21">
        <f t="shared" si="9"/>
        <v>224547880</v>
      </c>
      <c r="K52" s="21">
        <f t="shared" si="9"/>
        <v>0</v>
      </c>
      <c r="L52" s="21" t="e">
        <f t="shared" si="9"/>
        <v>#VALUE!</v>
      </c>
    </row>
    <row r="53" spans="1:12" s="31" customFormat="1" ht="12.2" customHeight="1" thickBot="1" x14ac:dyDescent="0.25">
      <c r="A53" s="55" t="s">
        <v>12</v>
      </c>
      <c r="B53" s="56" t="s">
        <v>547</v>
      </c>
      <c r="C53" s="89">
        <f>SUM(C54:C59)-C55</f>
        <v>207878115</v>
      </c>
      <c r="D53" s="1154">
        <f>SUM(D54:D59)-D55</f>
        <v>245841764</v>
      </c>
      <c r="E53" s="582">
        <f>SUM(E54:E59)-E55</f>
        <v>296027235</v>
      </c>
      <c r="F53" s="582">
        <f>'10.TMKK'!F54-'33._TMKK_önként'!F54</f>
        <v>189362856</v>
      </c>
      <c r="G53" s="582">
        <f>'10.TMKK'!G54-'33._TMKK_önként'!G54</f>
        <v>0</v>
      </c>
      <c r="H53" s="48">
        <f>+E53-D53</f>
        <v>50185471</v>
      </c>
      <c r="I53" s="48">
        <f>'10.TMKK'!I54-'33._TMKK_önként'!I54</f>
        <v>0</v>
      </c>
      <c r="J53" s="48">
        <f>'10.TMKK'!J54-'33._TMKK_önként'!J54</f>
        <v>132679433</v>
      </c>
      <c r="K53" s="48">
        <f>'10.TMKK'!K54-'33._TMKK_önként'!K54</f>
        <v>0</v>
      </c>
      <c r="L53" s="48">
        <f>'10.TMKK'!L54-'33._TMKK_önként'!L54</f>
        <v>70.066239917716487</v>
      </c>
    </row>
    <row r="54" spans="1:12" ht="12.2" customHeight="1" x14ac:dyDescent="0.2">
      <c r="A54" s="329" t="s">
        <v>91</v>
      </c>
      <c r="B54" s="17" t="s">
        <v>68</v>
      </c>
      <c r="C54" s="122">
        <f>'10.TMKK'!C54-'33._TMKK_önként'!C54</f>
        <v>137517633</v>
      </c>
      <c r="D54" s="1160">
        <f>'10.TMKK'!D54-'33._TMKK_önként'!D54</f>
        <v>139167633</v>
      </c>
      <c r="E54" s="1160">
        <f>'10.TMKK'!E54-'33._TMKK_önként'!E54</f>
        <v>180424396</v>
      </c>
      <c r="F54" s="586">
        <f>'10.TMKK'!F55-'33._TMKK_önként'!F55</f>
        <v>6900000</v>
      </c>
      <c r="G54" s="586">
        <f>'10.TMKK'!G55-'33._TMKK_önként'!G55</f>
        <v>0</v>
      </c>
      <c r="H54" s="33">
        <f t="shared" ref="H54:H72" si="10">+E54-D54</f>
        <v>41256763</v>
      </c>
      <c r="I54" s="33">
        <f>'10.TMKK'!I55-'33._TMKK_önként'!I55</f>
        <v>0</v>
      </c>
      <c r="J54" s="33">
        <f>'10.TMKK'!J55-'33._TMKK_önként'!J55</f>
        <v>0</v>
      </c>
      <c r="K54" s="33">
        <f>'10.TMKK'!K55-'33._TMKK_önként'!K55</f>
        <v>0</v>
      </c>
      <c r="L54" s="33">
        <f>'10.TMKK'!L55-'33._TMKK_önként'!L55</f>
        <v>0</v>
      </c>
    </row>
    <row r="55" spans="1:12" ht="12.2" customHeight="1" x14ac:dyDescent="0.2">
      <c r="A55" s="329" t="s">
        <v>305</v>
      </c>
      <c r="B55" s="335" t="s">
        <v>270</v>
      </c>
      <c r="C55" s="122">
        <f>'10.TMKK'!C55-'33._TMKK_önként'!C55</f>
        <v>0</v>
      </c>
      <c r="D55" s="1160">
        <f>'10.TMKK'!D55-'33._TMKK_önként'!D55</f>
        <v>0</v>
      </c>
      <c r="E55" s="1160">
        <f>'10.TMKK'!E55-'33._TMKK_önként'!E55</f>
        <v>6508781</v>
      </c>
      <c r="F55" s="586">
        <f>'10.TMKK'!F56-'33._TMKK_önként'!F56</f>
        <v>27987000</v>
      </c>
      <c r="G55" s="586">
        <f>'10.TMKK'!G56-'33._TMKK_önként'!G56</f>
        <v>0</v>
      </c>
      <c r="H55" s="33">
        <f t="shared" si="10"/>
        <v>6508781</v>
      </c>
      <c r="I55" s="33">
        <f>'10.TMKK'!I56-'33._TMKK_önként'!I56</f>
        <v>0</v>
      </c>
      <c r="J55" s="33">
        <f>'10.TMKK'!J56-'33._TMKK_önként'!J56</f>
        <v>20831445</v>
      </c>
      <c r="K55" s="33">
        <f>'10.TMKK'!K56-'33._TMKK_önként'!K56</f>
        <v>0</v>
      </c>
      <c r="L55" s="33">
        <f>'10.TMKK'!L56-'33._TMKK_önként'!L56</f>
        <v>74.432575838782284</v>
      </c>
    </row>
    <row r="56" spans="1:12" ht="12.2" customHeight="1" x14ac:dyDescent="0.2">
      <c r="A56" s="329" t="s">
        <v>92</v>
      </c>
      <c r="B56" s="330" t="s">
        <v>87</v>
      </c>
      <c r="C56" s="339">
        <f>'10.TMKK'!C56-'33._TMKK_önként'!C56</f>
        <v>21729332</v>
      </c>
      <c r="D56" s="1166">
        <f>'10.TMKK'!D56-'33._TMKK_önként'!D56</f>
        <v>22191332</v>
      </c>
      <c r="E56" s="1166">
        <f>'10.TMKK'!E56-'33._TMKK_önként'!E56</f>
        <v>25320040</v>
      </c>
      <c r="F56" s="107">
        <f>'10.TMKK'!F57-'33._TMKK_önként'!F57</f>
        <v>93774069</v>
      </c>
      <c r="G56" s="107">
        <f>'10.TMKK'!G57-'33._TMKK_önként'!G57</f>
        <v>0</v>
      </c>
      <c r="H56" s="324">
        <f t="shared" si="10"/>
        <v>3128708</v>
      </c>
      <c r="I56" s="324">
        <f>'10.TMKK'!I57-'33._TMKK_önként'!I57</f>
        <v>0</v>
      </c>
      <c r="J56" s="324">
        <f>'10.TMKK'!J57-'33._TMKK_önként'!J57</f>
        <v>70405434</v>
      </c>
      <c r="K56" s="324">
        <f>'10.TMKK'!K57-'33._TMKK_önként'!K57</f>
        <v>0</v>
      </c>
      <c r="L56" s="324">
        <f>'10.TMKK'!L57-'33._TMKK_önként'!L57</f>
        <v>75.07985389862948</v>
      </c>
    </row>
    <row r="57" spans="1:12" ht="12.2" customHeight="1" x14ac:dyDescent="0.2">
      <c r="A57" s="329" t="s">
        <v>93</v>
      </c>
      <c r="B57" s="330" t="s">
        <v>69</v>
      </c>
      <c r="C57" s="339">
        <f>'10.TMKK'!C57-'33._TMKK_önként'!C57</f>
        <v>47385650</v>
      </c>
      <c r="D57" s="1166">
        <f>'10.TMKK'!D57-'33._TMKK_önként'!D57</f>
        <v>83229719</v>
      </c>
      <c r="E57" s="1166">
        <f>'10.TMKK'!E57-'33._TMKK_önként'!E57</f>
        <v>89029719</v>
      </c>
      <c r="F57" s="107">
        <f>'10.TMKK'!F58-'33._TMKK_önként'!F58</f>
        <v>0</v>
      </c>
      <c r="G57" s="107">
        <f>'10.TMKK'!G58-'33._TMKK_önként'!G58</f>
        <v>0</v>
      </c>
      <c r="H57" s="324">
        <f t="shared" si="10"/>
        <v>5800000</v>
      </c>
      <c r="I57" s="324">
        <f>'10.TMKK'!I58-'33._TMKK_önként'!I58</f>
        <v>0</v>
      </c>
      <c r="J57" s="324">
        <f>'10.TMKK'!J58-'33._TMKK_önként'!J58</f>
        <v>0</v>
      </c>
      <c r="K57" s="324">
        <f>'10.TMKK'!K58-'33._TMKK_önként'!K58</f>
        <v>0</v>
      </c>
      <c r="L57" s="324" t="e">
        <f>'10.TMKK'!L58-'33._TMKK_önként'!L58</f>
        <v>#VALUE!</v>
      </c>
    </row>
    <row r="58" spans="1:12" ht="12.2" customHeight="1" x14ac:dyDescent="0.2">
      <c r="A58" s="329" t="s">
        <v>90</v>
      </c>
      <c r="B58" s="330" t="s">
        <v>80</v>
      </c>
      <c r="C58" s="339">
        <f>'10.TMKK'!C58-'33._TMKK_önként'!C58</f>
        <v>0</v>
      </c>
      <c r="D58" s="1166">
        <f>'10.TMKK'!D58-'33._TMKK_önként'!D58</f>
        <v>0</v>
      </c>
      <c r="E58" s="1166">
        <f>'10.TMKK'!E58-'33._TMKK_önként'!E58</f>
        <v>0</v>
      </c>
      <c r="F58" s="107">
        <f>'10.TMKK'!F59-'33._TMKK_önként'!F59</f>
        <v>1253080</v>
      </c>
      <c r="G58" s="107">
        <f>'10.TMKK'!G59-'33._TMKK_önként'!G59</f>
        <v>1253080</v>
      </c>
      <c r="H58" s="324">
        <f t="shared" si="10"/>
        <v>0</v>
      </c>
      <c r="I58" s="324">
        <f>'10.TMKK'!I59-'33._TMKK_önként'!I59</f>
        <v>1253080</v>
      </c>
      <c r="J58" s="324">
        <f>'10.TMKK'!J59-'33._TMKK_önként'!J59</f>
        <v>631568</v>
      </c>
      <c r="K58" s="324">
        <f>'10.TMKK'!K59-'33._TMKK_önként'!K59</f>
        <v>0</v>
      </c>
      <c r="L58" s="324">
        <f>'10.TMKK'!L59-'33._TMKK_önként'!L59</f>
        <v>50.401251316755513</v>
      </c>
    </row>
    <row r="59" spans="1:12" ht="12.2" customHeight="1" x14ac:dyDescent="0.2">
      <c r="A59" s="329" t="s">
        <v>147</v>
      </c>
      <c r="B59" s="330" t="s">
        <v>88</v>
      </c>
      <c r="C59" s="339">
        <f>'10.TMKK'!C59-'33._TMKK_önként'!C59</f>
        <v>1245500</v>
      </c>
      <c r="D59" s="1166">
        <f>'10.TMKK'!D59-'33._TMKK_önként'!D59</f>
        <v>1253080</v>
      </c>
      <c r="E59" s="107">
        <f>'10.TMKK'!E59-'33._TMKK_önként'!E59</f>
        <v>1253080</v>
      </c>
      <c r="F59" s="107">
        <f>'10.TMKK'!F60-'33._TMKK_önként'!F60</f>
        <v>1253080</v>
      </c>
      <c r="G59" s="107">
        <f>'10.TMKK'!G60-'33._TMKK_önként'!G60</f>
        <v>1253080</v>
      </c>
      <c r="H59" s="324">
        <f t="shared" si="10"/>
        <v>0</v>
      </c>
      <c r="I59" s="324">
        <f>'10.TMKK'!I60-'33._TMKK_önként'!I60</f>
        <v>1253080</v>
      </c>
      <c r="J59" s="324">
        <f>'10.TMKK'!J60-'33._TMKK_önként'!J60</f>
        <v>631568</v>
      </c>
      <c r="K59" s="324">
        <f>'10.TMKK'!K60-'33._TMKK_önként'!K60</f>
        <v>0</v>
      </c>
      <c r="L59" s="324">
        <f>'10.TMKK'!L60-'33._TMKK_önként'!L60</f>
        <v>50.401251316755513</v>
      </c>
    </row>
    <row r="60" spans="1:12" ht="12.2" customHeight="1" x14ac:dyDescent="0.2">
      <c r="A60" s="329" t="s">
        <v>306</v>
      </c>
      <c r="B60" s="521" t="s">
        <v>235</v>
      </c>
      <c r="C60" s="339">
        <f>'10.TMKK'!C60-'33._TMKK_önként'!C60</f>
        <v>1245500</v>
      </c>
      <c r="D60" s="1166">
        <f>'10.TMKK'!D60-'33._TMKK_önként'!D60</f>
        <v>1253080</v>
      </c>
      <c r="E60" s="107">
        <f>'10.TMKK'!E60-'33._TMKK_önként'!E60</f>
        <v>1253080</v>
      </c>
      <c r="F60" s="107">
        <f>'10.TMKK'!F61-'33._TMKK_önként'!F61</f>
        <v>0</v>
      </c>
      <c r="G60" s="107">
        <f>'10.TMKK'!G61-'33._TMKK_önként'!G61</f>
        <v>0</v>
      </c>
      <c r="H60" s="324">
        <f t="shared" si="10"/>
        <v>0</v>
      </c>
      <c r="I60" s="324">
        <f>'10.TMKK'!I61-'33._TMKK_önként'!I61</f>
        <v>0</v>
      </c>
      <c r="J60" s="324">
        <f>'10.TMKK'!J61-'33._TMKK_önként'!J61</f>
        <v>0</v>
      </c>
      <c r="K60" s="324">
        <f>'10.TMKK'!K61-'33._TMKK_önként'!K61</f>
        <v>0</v>
      </c>
      <c r="L60" s="324" t="e">
        <f>'10.TMKK'!L61-'33._TMKK_önként'!L61</f>
        <v>#VALUE!</v>
      </c>
    </row>
    <row r="61" spans="1:12" ht="12.2" customHeight="1" thickBot="1" x14ac:dyDescent="0.25">
      <c r="A61" s="84" t="s">
        <v>307</v>
      </c>
      <c r="B61" s="85" t="s">
        <v>234</v>
      </c>
      <c r="C61" s="92">
        <f>'10.TMKK'!C61-'33._TMKK_önként'!C61</f>
        <v>0</v>
      </c>
      <c r="D61" s="1162">
        <f>'10.TMKK'!D61-'33._TMKK_önként'!D61</f>
        <v>0</v>
      </c>
      <c r="E61" s="593"/>
      <c r="F61" s="593">
        <f t="shared" ref="F61:L61" si="11">SUM(F62:F66)</f>
        <v>8176000</v>
      </c>
      <c r="G61" s="593">
        <f t="shared" si="11"/>
        <v>0</v>
      </c>
      <c r="H61" s="61">
        <f t="shared" si="10"/>
        <v>0</v>
      </c>
      <c r="I61" s="61">
        <f t="shared" si="11"/>
        <v>0</v>
      </c>
      <c r="J61" s="61">
        <f t="shared" si="11"/>
        <v>4435017</v>
      </c>
      <c r="K61" s="61">
        <f t="shared" si="11"/>
        <v>0</v>
      </c>
      <c r="L61" s="61" t="e">
        <f t="shared" si="11"/>
        <v>#VALUE!</v>
      </c>
    </row>
    <row r="62" spans="1:12" ht="12.2" customHeight="1" thickBot="1" x14ac:dyDescent="0.25">
      <c r="A62" s="55" t="s">
        <v>13</v>
      </c>
      <c r="B62" s="56" t="s">
        <v>548</v>
      </c>
      <c r="C62" s="89">
        <f>SUM(C63:C67)</f>
        <v>3400000</v>
      </c>
      <c r="D62" s="1154">
        <f>'10.TMKK'!D63-'33._TMKK_önként'!D63</f>
        <v>4876000</v>
      </c>
      <c r="E62" s="582">
        <f>'10.TMKK'!E63-'33._TMKK_önként'!E63</f>
        <v>8176000</v>
      </c>
      <c r="F62" s="582">
        <f>'10.TMKK'!F63-'33._TMKK_önként'!F63</f>
        <v>8176000</v>
      </c>
      <c r="G62" s="582">
        <f>'10.TMKK'!G63-'33._TMKK_önként'!G63</f>
        <v>0</v>
      </c>
      <c r="H62" s="48">
        <f t="shared" si="10"/>
        <v>3300000</v>
      </c>
      <c r="I62" s="48">
        <f>'10.TMKK'!I63-'33._TMKK_önként'!I63</f>
        <v>0</v>
      </c>
      <c r="J62" s="48">
        <f>'10.TMKK'!J63-'33._TMKK_önként'!J63</f>
        <v>4435017</v>
      </c>
      <c r="K62" s="48">
        <f>'10.TMKK'!K63-'33._TMKK_önként'!K63</f>
        <v>0</v>
      </c>
      <c r="L62" s="48">
        <f>'10.TMKK'!L63-'33._TMKK_önként'!L63</f>
        <v>54.244337084148732</v>
      </c>
    </row>
    <row r="63" spans="1:12" s="31" customFormat="1" ht="12.2" customHeight="1" x14ac:dyDescent="0.2">
      <c r="A63" s="329" t="s">
        <v>94</v>
      </c>
      <c r="B63" s="17" t="s">
        <v>119</v>
      </c>
      <c r="C63" s="122">
        <f>'10.TMKK'!C63-'33._TMKK_önként'!C63</f>
        <v>3400000</v>
      </c>
      <c r="D63" s="1160">
        <f>'10.TMKK'!D63-'33._TMKK_önként'!D63</f>
        <v>4876000</v>
      </c>
      <c r="E63" s="586">
        <f>'10.TMKK'!E63-'33._TMKK_önként'!E63</f>
        <v>8176000</v>
      </c>
      <c r="F63" s="586">
        <f>'10.TMKK'!F64-'33._TMKK_önként'!F64</f>
        <v>0</v>
      </c>
      <c r="G63" s="586">
        <f>'10.TMKK'!G64-'33._TMKK_önként'!G64</f>
        <v>0</v>
      </c>
      <c r="H63" s="33">
        <f t="shared" si="10"/>
        <v>3300000</v>
      </c>
      <c r="I63" s="33">
        <f>'10.TMKK'!I64-'33._TMKK_önként'!I64</f>
        <v>0</v>
      </c>
      <c r="J63" s="33">
        <f>'10.TMKK'!J64-'33._TMKK_önként'!J64</f>
        <v>0</v>
      </c>
      <c r="K63" s="33">
        <f>'10.TMKK'!K64-'33._TMKK_önként'!K64</f>
        <v>0</v>
      </c>
      <c r="L63" s="33" t="e">
        <f>'10.TMKK'!L64-'33._TMKK_önként'!L64</f>
        <v>#VALUE!</v>
      </c>
    </row>
    <row r="64" spans="1:12" s="31" customFormat="1" ht="12.2" customHeight="1" x14ac:dyDescent="0.2">
      <c r="A64" s="329" t="s">
        <v>316</v>
      </c>
      <c r="B64" s="522" t="s">
        <v>236</v>
      </c>
      <c r="C64" s="122">
        <f>'10.TMKK'!C64-'33._TMKK_önként'!C64</f>
        <v>0</v>
      </c>
      <c r="D64" s="1160">
        <f>'10.TMKK'!D64-'33._TMKK_önként'!D64</f>
        <v>0</v>
      </c>
      <c r="E64" s="586">
        <f>'10.TMKK'!E64-'33._TMKK_önként'!E64</f>
        <v>0</v>
      </c>
      <c r="F64" s="586">
        <f>'10.TMKK'!F65-'33._TMKK_önként'!F65</f>
        <v>0</v>
      </c>
      <c r="G64" s="586">
        <f>'10.TMKK'!G65-'33._TMKK_önként'!G65</f>
        <v>0</v>
      </c>
      <c r="H64" s="33">
        <f t="shared" si="10"/>
        <v>0</v>
      </c>
      <c r="I64" s="33">
        <f>'10.TMKK'!I65-'33._TMKK_önként'!I65</f>
        <v>0</v>
      </c>
      <c r="J64" s="33">
        <f>'10.TMKK'!J65-'33._TMKK_önként'!J65</f>
        <v>0</v>
      </c>
      <c r="K64" s="33">
        <f>'10.TMKK'!K65-'33._TMKK_önként'!K65</f>
        <v>0</v>
      </c>
      <c r="L64" s="33" t="e">
        <f>'10.TMKK'!L65-'33._TMKK_önként'!L65</f>
        <v>#VALUE!</v>
      </c>
    </row>
    <row r="65" spans="1:12" ht="12.2" customHeight="1" x14ac:dyDescent="0.2">
      <c r="A65" s="329" t="s">
        <v>95</v>
      </c>
      <c r="B65" s="330" t="s">
        <v>2</v>
      </c>
      <c r="C65" s="339">
        <f>'10.TMKK'!C65-'33._TMKK_önként'!C65</f>
        <v>0</v>
      </c>
      <c r="D65" s="1160">
        <f>'10.TMKK'!D65-'33._TMKK_önként'!D65</f>
        <v>0</v>
      </c>
      <c r="E65" s="586">
        <f>'10.TMKK'!E65-'33._TMKK_önként'!E65</f>
        <v>0</v>
      </c>
      <c r="F65" s="107">
        <f>'10.TMKK'!F66-'33._TMKK_önként'!F66</f>
        <v>0</v>
      </c>
      <c r="G65" s="107">
        <f>'10.TMKK'!G66-'33._TMKK_önként'!G66</f>
        <v>0</v>
      </c>
      <c r="H65" s="324">
        <f t="shared" si="10"/>
        <v>0</v>
      </c>
      <c r="I65" s="324">
        <f>'10.TMKK'!I66-'33._TMKK_önként'!I66</f>
        <v>0</v>
      </c>
      <c r="J65" s="324">
        <f>'10.TMKK'!J66-'33._TMKK_önként'!J66</f>
        <v>0</v>
      </c>
      <c r="K65" s="324">
        <f>'10.TMKK'!K66-'33._TMKK_önként'!K66</f>
        <v>0</v>
      </c>
      <c r="L65" s="324" t="e">
        <f>'10.TMKK'!L66-'33._TMKK_önként'!L66</f>
        <v>#VALUE!</v>
      </c>
    </row>
    <row r="66" spans="1:12" ht="12.2" customHeight="1" x14ac:dyDescent="0.2">
      <c r="A66" s="329" t="s">
        <v>342</v>
      </c>
      <c r="B66" s="523" t="s">
        <v>237</v>
      </c>
      <c r="C66" s="339">
        <f>'10.TMKK'!C66-'33._TMKK_önként'!C66</f>
        <v>0</v>
      </c>
      <c r="D66" s="1160">
        <f>'10.TMKK'!D66-'33._TMKK_önként'!D66</f>
        <v>0</v>
      </c>
      <c r="E66" s="586">
        <f>'10.TMKK'!E66-'33._TMKK_önként'!E66</f>
        <v>0</v>
      </c>
      <c r="F66" s="107">
        <f>'10.TMKK'!F67-'33._TMKK_önként'!F67</f>
        <v>0</v>
      </c>
      <c r="G66" s="107">
        <f>'10.TMKK'!G67-'33._TMKK_önként'!G67</f>
        <v>0</v>
      </c>
      <c r="H66" s="324">
        <f t="shared" si="10"/>
        <v>0</v>
      </c>
      <c r="I66" s="324">
        <f>'10.TMKK'!I67-'33._TMKK_önként'!I67</f>
        <v>0</v>
      </c>
      <c r="J66" s="324">
        <f>'10.TMKK'!J67-'33._TMKK_önként'!J67</f>
        <v>0</v>
      </c>
      <c r="K66" s="324">
        <f>'10.TMKK'!K67-'33._TMKK_önként'!K67</f>
        <v>0</v>
      </c>
      <c r="L66" s="324" t="e">
        <f>'10.TMKK'!L67-'33._TMKK_önként'!L67</f>
        <v>#VALUE!</v>
      </c>
    </row>
    <row r="67" spans="1:12" ht="12.2" customHeight="1" x14ac:dyDescent="0.2">
      <c r="A67" s="329" t="s">
        <v>96</v>
      </c>
      <c r="B67" s="17" t="s">
        <v>175</v>
      </c>
      <c r="C67" s="339">
        <f>'10.TMKK'!C67-'33._TMKK_önként'!C67</f>
        <v>0</v>
      </c>
      <c r="D67" s="1160">
        <f>'10.TMKK'!D67-'33._TMKK_önként'!D67</f>
        <v>0</v>
      </c>
      <c r="E67" s="586">
        <f>'10.TMKK'!E67-'33._TMKK_önként'!E67</f>
        <v>0</v>
      </c>
      <c r="F67" s="107">
        <f>'10.TMKK'!F68-'33._TMKK_önként'!F68</f>
        <v>0</v>
      </c>
      <c r="G67" s="107">
        <f>'10.TMKK'!G68-'33._TMKK_önként'!G68</f>
        <v>0</v>
      </c>
      <c r="H67" s="324">
        <f t="shared" si="10"/>
        <v>0</v>
      </c>
      <c r="I67" s="324">
        <f>'10.TMKK'!I68-'33._TMKK_önként'!I68</f>
        <v>0</v>
      </c>
      <c r="J67" s="324">
        <f>'10.TMKK'!J68-'33._TMKK_önként'!J68</f>
        <v>0</v>
      </c>
      <c r="K67" s="324">
        <f>'10.TMKK'!K68-'33._TMKK_önként'!K68</f>
        <v>0</v>
      </c>
      <c r="L67" s="324" t="e">
        <f>'10.TMKK'!L68-'33._TMKK_önként'!L68</f>
        <v>#VALUE!</v>
      </c>
    </row>
    <row r="68" spans="1:12" ht="12.2" customHeight="1" x14ac:dyDescent="0.2">
      <c r="A68" s="329" t="s">
        <v>317</v>
      </c>
      <c r="B68" s="521" t="s">
        <v>239</v>
      </c>
      <c r="C68" s="339">
        <f>'10.TMKK'!C68-'33._TMKK_önként'!C68</f>
        <v>0</v>
      </c>
      <c r="D68" s="1160">
        <f>'10.TMKK'!D68-'33._TMKK_önként'!D68</f>
        <v>0</v>
      </c>
      <c r="E68" s="586">
        <f>'10.TMKK'!E68-'33._TMKK_önként'!E68</f>
        <v>0</v>
      </c>
      <c r="F68" s="107">
        <f>'10.TMKK'!F69-'33._TMKK_önként'!F69</f>
        <v>0</v>
      </c>
      <c r="G68" s="107">
        <f>'10.TMKK'!G69-'33._TMKK_önként'!G69</f>
        <v>0</v>
      </c>
      <c r="H68" s="324">
        <f t="shared" si="10"/>
        <v>0</v>
      </c>
      <c r="I68" s="324">
        <f>'10.TMKK'!I69-'33._TMKK_önként'!I69</f>
        <v>0</v>
      </c>
      <c r="J68" s="324">
        <f>'10.TMKK'!J69-'33._TMKK_önként'!J69</f>
        <v>0</v>
      </c>
      <c r="K68" s="324">
        <f>'10.TMKK'!K69-'33._TMKK_önként'!K69</f>
        <v>0</v>
      </c>
      <c r="L68" s="324" t="e">
        <f>'10.TMKK'!L69-'33._TMKK_önként'!L69</f>
        <v>#VALUE!</v>
      </c>
    </row>
    <row r="69" spans="1:12" ht="12.2" customHeight="1" thickBot="1" x14ac:dyDescent="0.25">
      <c r="A69" s="84" t="s">
        <v>318</v>
      </c>
      <c r="B69" s="85" t="s">
        <v>238</v>
      </c>
      <c r="C69" s="92">
        <f>'10.TMKK'!C69-'33._TMKK_önként'!C69</f>
        <v>0</v>
      </c>
      <c r="D69" s="1160">
        <f>'10.TMKK'!D69-'33._TMKK_önként'!D69</f>
        <v>0</v>
      </c>
      <c r="E69" s="586">
        <f>'10.TMKK'!E69-'33._TMKK_önként'!E69</f>
        <v>0</v>
      </c>
      <c r="F69" s="107">
        <f>'10.TMKK'!F69-'33._TMKK_önként'!F69</f>
        <v>0</v>
      </c>
      <c r="G69" s="107">
        <f>'10.TMKK'!G69-'33._TMKK_önként'!G69</f>
        <v>0</v>
      </c>
      <c r="H69" s="324">
        <f t="shared" si="10"/>
        <v>0</v>
      </c>
      <c r="I69" s="324">
        <f t="shared" ref="I69:L69" si="12">+I52+I61</f>
        <v>1253080</v>
      </c>
      <c r="J69" s="324">
        <f t="shared" si="12"/>
        <v>228982897</v>
      </c>
      <c r="K69" s="324">
        <f t="shared" si="12"/>
        <v>0</v>
      </c>
      <c r="L69" s="324" t="e">
        <f t="shared" si="12"/>
        <v>#VALUE!</v>
      </c>
    </row>
    <row r="70" spans="1:12" ht="15" customHeight="1" thickBot="1" x14ac:dyDescent="0.25">
      <c r="A70" s="55" t="s">
        <v>14</v>
      </c>
      <c r="B70" s="67" t="s">
        <v>176</v>
      </c>
      <c r="C70" s="135">
        <f>+C53+C62</f>
        <v>211278115</v>
      </c>
      <c r="D70" s="1168">
        <f>+D53+D62</f>
        <v>250717764</v>
      </c>
      <c r="E70" s="592">
        <f>+E53+E62</f>
        <v>304203235</v>
      </c>
      <c r="F70" s="592"/>
      <c r="G70" s="592"/>
      <c r="H70" s="68">
        <f>+E70-D70</f>
        <v>53485471</v>
      </c>
      <c r="I70" s="68"/>
      <c r="J70" s="68"/>
      <c r="K70" s="68"/>
      <c r="L70" s="68"/>
    </row>
    <row r="71" spans="1:12" ht="13.5" thickBot="1" x14ac:dyDescent="0.25">
      <c r="C71" s="27"/>
      <c r="D71" s="1171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69" t="s">
        <v>292</v>
      </c>
      <c r="B72" s="70"/>
      <c r="C72" s="136">
        <f>'10.TMKK'!C72-'33._TMKK_önként'!C72</f>
        <v>2</v>
      </c>
      <c r="D72" s="1172">
        <v>33</v>
      </c>
      <c r="E72" s="1172">
        <v>33</v>
      </c>
      <c r="F72" s="520">
        <f>'10.TMKK'!F73-'33._TMKK_önként'!F73</f>
        <v>0</v>
      </c>
      <c r="G72" s="520">
        <f>'10.TMKK'!G73-'33._TMKK_önként'!G73</f>
        <v>0</v>
      </c>
      <c r="H72" s="174">
        <f t="shared" si="10"/>
        <v>0</v>
      </c>
      <c r="I72" s="174">
        <f>'10.TMKK'!I73-'33._TMKK_önként'!I73</f>
        <v>0</v>
      </c>
      <c r="J72" s="174">
        <f>'10.TMKK'!J73-'33._TMKK_önként'!J73</f>
        <v>0</v>
      </c>
      <c r="K72" s="174">
        <f>'10.TMKK'!K73-'33._TMKK_önként'!K73</f>
        <v>0</v>
      </c>
      <c r="L72" s="174" t="e">
        <f>'10.TMKK'!L73-'33._TMKK_önként'!L73</f>
        <v>#DIV/0!</v>
      </c>
    </row>
    <row r="73" spans="1:12" ht="14.25" hidden="1" customHeight="1" thickBot="1" x14ac:dyDescent="0.25">
      <c r="A73" s="69" t="s">
        <v>291</v>
      </c>
      <c r="B73" s="70"/>
      <c r="C73" s="608">
        <f>'10.TMKK'!C73-'33._TMKK_önként'!C73</f>
        <v>0</v>
      </c>
      <c r="D73" s="1173"/>
      <c r="E73" s="607"/>
      <c r="F73" s="607"/>
      <c r="G73" s="607"/>
      <c r="H73" s="609" t="s">
        <v>385</v>
      </c>
      <c r="I73" s="609"/>
      <c r="J73" s="609"/>
      <c r="K73" s="609"/>
      <c r="L73" s="609"/>
    </row>
    <row r="74" spans="1:12" x14ac:dyDescent="0.2">
      <c r="D74" s="1174"/>
      <c r="E74" s="163"/>
      <c r="F74" s="163"/>
      <c r="G74" s="163"/>
      <c r="H74" s="163"/>
      <c r="I74" s="163"/>
      <c r="J74" s="163"/>
      <c r="K74" s="163"/>
      <c r="L74" s="163"/>
    </row>
  </sheetData>
  <sheetProtection formatCells="0"/>
  <mergeCells count="7">
    <mergeCell ref="A51:H51"/>
    <mergeCell ref="A1:H1"/>
    <mergeCell ref="A2:H2"/>
    <mergeCell ref="C4:H4"/>
    <mergeCell ref="C5:H5"/>
    <mergeCell ref="A6:H6"/>
    <mergeCell ref="A9:H9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4"/>
  <sheetViews>
    <sheetView view="pageBreakPreview" topLeftCell="A55" zoomScale="130" zoomScaleNormal="100" zoomScaleSheetLayoutView="130" workbookViewId="0">
      <selection activeCell="A2" sqref="A2:H2"/>
    </sheetView>
  </sheetViews>
  <sheetFormatPr defaultRowHeight="12.75" x14ac:dyDescent="0.2"/>
  <cols>
    <col min="1" max="1" width="12" style="1324" customWidth="1"/>
    <col min="2" max="2" width="57.83203125" style="25" customWidth="1"/>
    <col min="3" max="3" width="15.33203125" style="25" customWidth="1"/>
    <col min="4" max="4" width="16.83203125" style="1175" customWidth="1"/>
    <col min="5" max="5" width="17" style="25" customWidth="1"/>
    <col min="6" max="7" width="17" style="25" hidden="1" customWidth="1"/>
    <col min="8" max="8" width="15.33203125" style="25" customWidth="1"/>
    <col min="9" max="11" width="14.83203125" style="25" hidden="1" customWidth="1"/>
    <col min="12" max="12" width="1.16406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535" customFormat="1" ht="12.75" customHeight="1" x14ac:dyDescent="0.2">
      <c r="A1" s="1774" t="s">
        <v>810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731</v>
      </c>
      <c r="B2" s="1774"/>
      <c r="C2" s="1774"/>
      <c r="D2" s="1774"/>
      <c r="E2" s="1774"/>
      <c r="F2" s="1774"/>
      <c r="G2" s="1774"/>
      <c r="H2" s="1774"/>
    </row>
    <row r="3" spans="1:12" s="24" customFormat="1" ht="21.2" customHeight="1" thickBot="1" x14ac:dyDescent="0.25">
      <c r="A3" s="170"/>
      <c r="C3" s="1321"/>
      <c r="D3" s="1151"/>
      <c r="E3" s="1321"/>
      <c r="F3" s="1321"/>
      <c r="G3" s="1321"/>
      <c r="H3" s="1321"/>
      <c r="I3" s="1321"/>
      <c r="J3" s="1321"/>
      <c r="K3" s="1321"/>
      <c r="L3" s="1321"/>
    </row>
    <row r="4" spans="1:12" s="38" customFormat="1" ht="38.25" customHeight="1" x14ac:dyDescent="0.2">
      <c r="A4" s="36" t="s">
        <v>137</v>
      </c>
      <c r="B4" s="37" t="s">
        <v>387</v>
      </c>
      <c r="C4" s="1806" t="s">
        <v>182</v>
      </c>
      <c r="D4" s="1807"/>
      <c r="E4" s="1807"/>
      <c r="F4" s="1807"/>
      <c r="G4" s="1807"/>
      <c r="H4" s="1808" t="s">
        <v>182</v>
      </c>
    </row>
    <row r="5" spans="1:12" s="38" customFormat="1" ht="36.75" thickBot="1" x14ac:dyDescent="0.25">
      <c r="A5" s="39" t="s">
        <v>139</v>
      </c>
      <c r="B5" s="40" t="s">
        <v>403</v>
      </c>
      <c r="C5" s="1929" t="s">
        <v>141</v>
      </c>
      <c r="D5" s="1930"/>
      <c r="E5" s="1930"/>
      <c r="F5" s="1930"/>
      <c r="G5" s="1930"/>
      <c r="H5" s="1931" t="s">
        <v>141</v>
      </c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2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152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153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0</v>
      </c>
      <c r="D10" s="1154">
        <f t="shared" ref="D10:L10" si="0">SUM(D11:D21)</f>
        <v>0</v>
      </c>
      <c r="E10" s="582">
        <f t="shared" si="0"/>
        <v>0</v>
      </c>
      <c r="F10" s="582">
        <f t="shared" si="0"/>
        <v>0</v>
      </c>
      <c r="G10" s="582">
        <f t="shared" si="0"/>
        <v>0</v>
      </c>
      <c r="H10" s="595">
        <f>+E10-D10</f>
        <v>0</v>
      </c>
      <c r="I10" s="1085">
        <f t="shared" si="0"/>
        <v>0</v>
      </c>
      <c r="J10" s="595">
        <f t="shared" si="0"/>
        <v>0</v>
      </c>
      <c r="K10" s="595">
        <f t="shared" si="0"/>
        <v>0</v>
      </c>
      <c r="L10" s="595">
        <f t="shared" si="0"/>
        <v>0</v>
      </c>
    </row>
    <row r="11" spans="1:12" s="26" customFormat="1" ht="12.2" customHeight="1" x14ac:dyDescent="0.2">
      <c r="A11" s="49" t="s">
        <v>91</v>
      </c>
      <c r="B11" s="50" t="s">
        <v>143</v>
      </c>
      <c r="C11" s="128"/>
      <c r="D11" s="1155"/>
      <c r="E11" s="583"/>
      <c r="F11" s="583"/>
      <c r="G11" s="583"/>
      <c r="H11" s="540">
        <f t="shared" ref="H11:H48" si="1">+E11-D11</f>
        <v>0</v>
      </c>
      <c r="I11" s="1086"/>
      <c r="J11" s="540"/>
      <c r="K11" s="540"/>
      <c r="L11" s="540"/>
    </row>
    <row r="12" spans="1:12" s="26" customFormat="1" ht="12.2" customHeight="1" x14ac:dyDescent="0.2">
      <c r="A12" s="1037" t="s">
        <v>92</v>
      </c>
      <c r="B12" s="330" t="s">
        <v>144</v>
      </c>
      <c r="C12" s="331">
        <v>0</v>
      </c>
      <c r="D12" s="1156">
        <v>0</v>
      </c>
      <c r="E12" s="88">
        <v>0</v>
      </c>
      <c r="F12" s="88">
        <v>0</v>
      </c>
      <c r="G12" s="88">
        <v>0</v>
      </c>
      <c r="H12" s="541">
        <f t="shared" si="1"/>
        <v>0</v>
      </c>
      <c r="I12" s="1087">
        <v>0</v>
      </c>
      <c r="J12" s="541">
        <v>0</v>
      </c>
      <c r="K12" s="541">
        <v>0</v>
      </c>
      <c r="L12" s="541">
        <v>0</v>
      </c>
    </row>
    <row r="13" spans="1:12" s="26" customFormat="1" ht="12.2" customHeight="1" x14ac:dyDescent="0.2">
      <c r="A13" s="1037" t="s">
        <v>93</v>
      </c>
      <c r="B13" s="330" t="s">
        <v>145</v>
      </c>
      <c r="C13" s="331"/>
      <c r="D13" s="1156"/>
      <c r="E13" s="88"/>
      <c r="F13" s="88"/>
      <c r="G13" s="88"/>
      <c r="H13" s="541">
        <f t="shared" si="1"/>
        <v>0</v>
      </c>
      <c r="I13" s="1087"/>
      <c r="J13" s="541"/>
      <c r="K13" s="541"/>
      <c r="L13" s="541"/>
    </row>
    <row r="14" spans="1:12" s="26" customFormat="1" ht="12.2" customHeight="1" x14ac:dyDescent="0.2">
      <c r="A14" s="1037" t="s">
        <v>90</v>
      </c>
      <c r="B14" s="330" t="s">
        <v>146</v>
      </c>
      <c r="C14" s="331"/>
      <c r="D14" s="1156"/>
      <c r="E14" s="88"/>
      <c r="F14" s="88"/>
      <c r="G14" s="88"/>
      <c r="H14" s="541">
        <f t="shared" si="1"/>
        <v>0</v>
      </c>
      <c r="I14" s="1087"/>
      <c r="J14" s="541"/>
      <c r="K14" s="541"/>
      <c r="L14" s="541"/>
    </row>
    <row r="15" spans="1:12" s="26" customFormat="1" ht="12.2" customHeight="1" x14ac:dyDescent="0.2">
      <c r="A15" s="1037" t="s">
        <v>147</v>
      </c>
      <c r="B15" s="330" t="s">
        <v>148</v>
      </c>
      <c r="C15" s="331"/>
      <c r="D15" s="1156"/>
      <c r="E15" s="88"/>
      <c r="F15" s="88"/>
      <c r="G15" s="88"/>
      <c r="H15" s="541">
        <f t="shared" si="1"/>
        <v>0</v>
      </c>
      <c r="I15" s="1087"/>
      <c r="J15" s="541"/>
      <c r="K15" s="541"/>
      <c r="L15" s="541"/>
    </row>
    <row r="16" spans="1:12" s="26" customFormat="1" ht="12.2" customHeight="1" x14ac:dyDescent="0.2">
      <c r="A16" s="1037" t="s">
        <v>149</v>
      </c>
      <c r="B16" s="330" t="s">
        <v>150</v>
      </c>
      <c r="C16" s="331"/>
      <c r="D16" s="1156">
        <v>0</v>
      </c>
      <c r="E16" s="88">
        <v>0</v>
      </c>
      <c r="F16" s="88">
        <v>0</v>
      </c>
      <c r="G16" s="88">
        <v>0</v>
      </c>
      <c r="H16" s="541">
        <f t="shared" si="1"/>
        <v>0</v>
      </c>
      <c r="I16" s="1087">
        <v>0</v>
      </c>
      <c r="J16" s="541">
        <v>0</v>
      </c>
      <c r="K16" s="541">
        <v>0</v>
      </c>
      <c r="L16" s="541">
        <v>0</v>
      </c>
    </row>
    <row r="17" spans="1:12" s="26" customFormat="1" ht="12.2" customHeight="1" x14ac:dyDescent="0.2">
      <c r="A17" s="1037" t="s">
        <v>151</v>
      </c>
      <c r="B17" s="52" t="s">
        <v>152</v>
      </c>
      <c r="C17" s="331"/>
      <c r="D17" s="1156"/>
      <c r="E17" s="88"/>
      <c r="F17" s="88"/>
      <c r="G17" s="88"/>
      <c r="H17" s="541">
        <f t="shared" si="1"/>
        <v>0</v>
      </c>
      <c r="I17" s="1087"/>
      <c r="J17" s="541"/>
      <c r="K17" s="541"/>
      <c r="L17" s="541"/>
    </row>
    <row r="18" spans="1:12" s="26" customFormat="1" ht="12.2" customHeight="1" x14ac:dyDescent="0.2">
      <c r="A18" s="1037" t="s">
        <v>153</v>
      </c>
      <c r="B18" s="345" t="s">
        <v>302</v>
      </c>
      <c r="C18" s="121"/>
      <c r="D18" s="1157"/>
      <c r="E18" s="90"/>
      <c r="F18" s="90"/>
      <c r="G18" s="90"/>
      <c r="H18" s="542">
        <f t="shared" si="1"/>
        <v>0</v>
      </c>
      <c r="I18" s="1088"/>
      <c r="J18" s="542"/>
      <c r="K18" s="542"/>
      <c r="L18" s="542"/>
    </row>
    <row r="19" spans="1:12" s="54" customFormat="1" ht="12.2" customHeight="1" x14ac:dyDescent="0.2">
      <c r="A19" s="1037" t="s">
        <v>154</v>
      </c>
      <c r="B19" s="330" t="s">
        <v>155</v>
      </c>
      <c r="C19" s="331"/>
      <c r="D19" s="1156"/>
      <c r="E19" s="88"/>
      <c r="F19" s="88"/>
      <c r="G19" s="88"/>
      <c r="H19" s="541">
        <f t="shared" si="1"/>
        <v>0</v>
      </c>
      <c r="I19" s="1087"/>
      <c r="J19" s="541"/>
      <c r="K19" s="541"/>
      <c r="L19" s="541"/>
    </row>
    <row r="20" spans="1:12" s="54" customFormat="1" ht="12.2" customHeight="1" x14ac:dyDescent="0.2">
      <c r="A20" s="1037" t="s">
        <v>156</v>
      </c>
      <c r="B20" s="345" t="s">
        <v>275</v>
      </c>
      <c r="C20" s="333"/>
      <c r="D20" s="1158"/>
      <c r="E20" s="88"/>
      <c r="F20" s="88"/>
      <c r="G20" s="331"/>
      <c r="H20" s="543">
        <f t="shared" si="1"/>
        <v>0</v>
      </c>
      <c r="I20" s="1089"/>
      <c r="J20" s="543"/>
      <c r="K20" s="543"/>
      <c r="L20" s="543"/>
    </row>
    <row r="21" spans="1:12" s="54" customFormat="1" ht="12.2" customHeight="1" thickBot="1" x14ac:dyDescent="0.25">
      <c r="A21" s="1037" t="s">
        <v>276</v>
      </c>
      <c r="B21" s="52" t="s">
        <v>157</v>
      </c>
      <c r="C21" s="333"/>
      <c r="D21" s="1158"/>
      <c r="E21" s="90"/>
      <c r="F21" s="90"/>
      <c r="G21" s="90"/>
      <c r="H21" s="544">
        <f t="shared" si="1"/>
        <v>0</v>
      </c>
      <c r="I21" s="1090"/>
      <c r="J21" s="544"/>
      <c r="K21" s="544"/>
      <c r="L21" s="544"/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SUM(C23:C25)</f>
        <v>0</v>
      </c>
      <c r="D22" s="1154">
        <f t="shared" ref="D22:L22" si="2">SUM(D23:D25)</f>
        <v>0</v>
      </c>
      <c r="E22" s="582">
        <f t="shared" si="2"/>
        <v>0</v>
      </c>
      <c r="F22" s="582">
        <f t="shared" si="2"/>
        <v>0</v>
      </c>
      <c r="G22" s="582">
        <f t="shared" si="2"/>
        <v>0</v>
      </c>
      <c r="H22" s="48">
        <f t="shared" si="1"/>
        <v>0</v>
      </c>
      <c r="I22" s="175">
        <f t="shared" si="2"/>
        <v>0</v>
      </c>
      <c r="J22" s="48">
        <f t="shared" si="2"/>
        <v>0</v>
      </c>
      <c r="K22" s="48">
        <f t="shared" si="2"/>
        <v>0</v>
      </c>
      <c r="L22" s="48">
        <f t="shared" si="2"/>
        <v>0</v>
      </c>
    </row>
    <row r="23" spans="1:12" s="54" customFormat="1" ht="12.2" customHeight="1" x14ac:dyDescent="0.2">
      <c r="A23" s="1037" t="s">
        <v>94</v>
      </c>
      <c r="B23" s="17" t="s">
        <v>159</v>
      </c>
      <c r="C23" s="331"/>
      <c r="D23" s="1156"/>
      <c r="E23" s="584"/>
      <c r="F23" s="584"/>
      <c r="G23" s="584"/>
      <c r="H23" s="75">
        <f t="shared" si="1"/>
        <v>0</v>
      </c>
      <c r="I23" s="637"/>
      <c r="J23" s="75"/>
      <c r="K23" s="75"/>
      <c r="L23" s="75"/>
    </row>
    <row r="24" spans="1:12" s="54" customFormat="1" ht="12.2" customHeight="1" x14ac:dyDescent="0.2">
      <c r="A24" s="1037" t="s">
        <v>95</v>
      </c>
      <c r="B24" s="330" t="s">
        <v>160</v>
      </c>
      <c r="C24" s="331"/>
      <c r="D24" s="1156"/>
      <c r="E24" s="88"/>
      <c r="F24" s="88"/>
      <c r="G24" s="88"/>
      <c r="H24" s="541">
        <f t="shared" si="1"/>
        <v>0</v>
      </c>
      <c r="I24" s="1087"/>
      <c r="J24" s="541"/>
      <c r="K24" s="541"/>
      <c r="L24" s="541"/>
    </row>
    <row r="25" spans="1:12" s="54" customFormat="1" ht="12.2" customHeight="1" x14ac:dyDescent="0.2">
      <c r="A25" s="1037" t="s">
        <v>96</v>
      </c>
      <c r="B25" s="330" t="s">
        <v>161</v>
      </c>
      <c r="C25" s="331"/>
      <c r="D25" s="1156"/>
      <c r="E25" s="88"/>
      <c r="F25" s="88"/>
      <c r="G25" s="88"/>
      <c r="H25" s="541">
        <f t="shared" si="1"/>
        <v>0</v>
      </c>
      <c r="I25" s="1087"/>
      <c r="J25" s="541"/>
      <c r="K25" s="541"/>
      <c r="L25" s="541"/>
    </row>
    <row r="26" spans="1:12" s="54" customFormat="1" ht="12.2" customHeight="1" thickBot="1" x14ac:dyDescent="0.25">
      <c r="A26" s="1037" t="s">
        <v>317</v>
      </c>
      <c r="B26" s="335" t="s">
        <v>233</v>
      </c>
      <c r="C26" s="331"/>
      <c r="D26" s="1156"/>
      <c r="E26" s="88"/>
      <c r="F26" s="88"/>
      <c r="G26" s="88"/>
      <c r="H26" s="545">
        <f t="shared" si="1"/>
        <v>0</v>
      </c>
      <c r="I26" s="1091"/>
      <c r="J26" s="545"/>
      <c r="K26" s="545"/>
      <c r="L26" s="545"/>
    </row>
    <row r="27" spans="1:12" s="54" customFormat="1" ht="12.2" customHeight="1" thickBot="1" x14ac:dyDescent="0.25">
      <c r="A27" s="55" t="s">
        <v>14</v>
      </c>
      <c r="B27" s="56" t="s">
        <v>83</v>
      </c>
      <c r="C27" s="130"/>
      <c r="D27" s="1159"/>
      <c r="E27" s="585"/>
      <c r="F27" s="585"/>
      <c r="G27" s="585"/>
      <c r="H27" s="74">
        <f t="shared" si="1"/>
        <v>0</v>
      </c>
      <c r="I27" s="638"/>
      <c r="J27" s="74"/>
      <c r="K27" s="74"/>
      <c r="L27" s="74"/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+C29+C30</f>
        <v>0</v>
      </c>
      <c r="D28" s="1154">
        <f t="shared" ref="D28:L28" si="3">+D29+D30</f>
        <v>0</v>
      </c>
      <c r="E28" s="582">
        <f t="shared" si="3"/>
        <v>0</v>
      </c>
      <c r="F28" s="582">
        <f t="shared" si="3"/>
        <v>0</v>
      </c>
      <c r="G28" s="582">
        <f t="shared" si="3"/>
        <v>0</v>
      </c>
      <c r="H28" s="74">
        <f t="shared" si="1"/>
        <v>0</v>
      </c>
      <c r="I28" s="638">
        <f t="shared" si="3"/>
        <v>0</v>
      </c>
      <c r="J28" s="74">
        <f t="shared" si="3"/>
        <v>0</v>
      </c>
      <c r="K28" s="74">
        <f t="shared" si="3"/>
        <v>0</v>
      </c>
      <c r="L28" s="74">
        <f t="shared" si="3"/>
        <v>0</v>
      </c>
    </row>
    <row r="29" spans="1:12" s="54" customFormat="1" ht="12.2" customHeight="1" x14ac:dyDescent="0.2">
      <c r="A29" s="58" t="s">
        <v>100</v>
      </c>
      <c r="B29" s="59" t="s">
        <v>160</v>
      </c>
      <c r="C29" s="122"/>
      <c r="D29" s="1160"/>
      <c r="E29" s="586"/>
      <c r="F29" s="586"/>
      <c r="G29" s="586"/>
      <c r="H29" s="546">
        <f t="shared" si="1"/>
        <v>0</v>
      </c>
      <c r="I29" s="1092"/>
      <c r="J29" s="546"/>
      <c r="K29" s="546"/>
      <c r="L29" s="546"/>
    </row>
    <row r="30" spans="1:12" s="54" customFormat="1" ht="12.2" customHeight="1" x14ac:dyDescent="0.2">
      <c r="A30" s="58" t="s">
        <v>101</v>
      </c>
      <c r="B30" s="336" t="s">
        <v>163</v>
      </c>
      <c r="C30" s="120"/>
      <c r="D30" s="1161"/>
      <c r="E30" s="107"/>
      <c r="F30" s="107"/>
      <c r="G30" s="339"/>
      <c r="H30" s="534">
        <f t="shared" si="1"/>
        <v>0</v>
      </c>
      <c r="I30" s="630"/>
      <c r="J30" s="534"/>
      <c r="K30" s="534"/>
      <c r="L30" s="534"/>
    </row>
    <row r="31" spans="1:12" s="54" customFormat="1" ht="12.2" customHeight="1" thickBot="1" x14ac:dyDescent="0.25">
      <c r="A31" s="1037" t="s">
        <v>281</v>
      </c>
      <c r="B31" s="102" t="s">
        <v>165</v>
      </c>
      <c r="C31" s="92"/>
      <c r="D31" s="1162"/>
      <c r="E31" s="587"/>
      <c r="F31" s="587"/>
      <c r="G31" s="587"/>
      <c r="H31" s="547">
        <f t="shared" si="1"/>
        <v>0</v>
      </c>
      <c r="I31" s="1093"/>
      <c r="J31" s="547"/>
      <c r="K31" s="547"/>
      <c r="L31" s="547"/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+C33+C34+C35</f>
        <v>0</v>
      </c>
      <c r="D32" s="1154">
        <f t="shared" ref="D32:L32" si="4">+D33+D34+D35</f>
        <v>0</v>
      </c>
      <c r="E32" s="582">
        <f t="shared" si="4"/>
        <v>0</v>
      </c>
      <c r="F32" s="582">
        <f t="shared" si="4"/>
        <v>0</v>
      </c>
      <c r="G32" s="582">
        <f t="shared" si="4"/>
        <v>0</v>
      </c>
      <c r="H32" s="74">
        <f t="shared" si="1"/>
        <v>0</v>
      </c>
      <c r="I32" s="638">
        <f t="shared" si="4"/>
        <v>0</v>
      </c>
      <c r="J32" s="74">
        <f t="shared" si="4"/>
        <v>0</v>
      </c>
      <c r="K32" s="74">
        <f t="shared" si="4"/>
        <v>0</v>
      </c>
      <c r="L32" s="74">
        <f t="shared" si="4"/>
        <v>0</v>
      </c>
    </row>
    <row r="33" spans="1:12" s="54" customFormat="1" ht="12.2" customHeight="1" x14ac:dyDescent="0.2">
      <c r="A33" s="58" t="s">
        <v>89</v>
      </c>
      <c r="B33" s="59" t="s">
        <v>167</v>
      </c>
      <c r="C33" s="122"/>
      <c r="D33" s="1160"/>
      <c r="E33" s="586"/>
      <c r="F33" s="586"/>
      <c r="G33" s="586"/>
      <c r="H33" s="546">
        <f t="shared" si="1"/>
        <v>0</v>
      </c>
      <c r="I33" s="1092"/>
      <c r="J33" s="546"/>
      <c r="K33" s="546"/>
      <c r="L33" s="546"/>
    </row>
    <row r="34" spans="1:12" s="54" customFormat="1" ht="12.2" customHeight="1" x14ac:dyDescent="0.2">
      <c r="A34" s="58" t="s">
        <v>102</v>
      </c>
      <c r="B34" s="336" t="s">
        <v>168</v>
      </c>
      <c r="C34" s="120"/>
      <c r="D34" s="1161"/>
      <c r="E34" s="107"/>
      <c r="F34" s="107"/>
      <c r="G34" s="339"/>
      <c r="H34" s="534">
        <f t="shared" si="1"/>
        <v>0</v>
      </c>
      <c r="I34" s="630"/>
      <c r="J34" s="534"/>
      <c r="K34" s="534"/>
      <c r="L34" s="534"/>
    </row>
    <row r="35" spans="1:12" s="54" customFormat="1" ht="12.2" customHeight="1" thickBot="1" x14ac:dyDescent="0.25">
      <c r="A35" s="1037" t="s">
        <v>103</v>
      </c>
      <c r="B35" s="62" t="s">
        <v>169</v>
      </c>
      <c r="C35" s="92"/>
      <c r="D35" s="1162"/>
      <c r="E35" s="587"/>
      <c r="F35" s="587"/>
      <c r="G35" s="587"/>
      <c r="H35" s="548">
        <f t="shared" si="1"/>
        <v>0</v>
      </c>
      <c r="I35" s="1094"/>
      <c r="J35" s="548"/>
      <c r="K35" s="548"/>
      <c r="L35" s="548"/>
    </row>
    <row r="36" spans="1:12" s="26" customFormat="1" ht="12.2" customHeight="1" thickBot="1" x14ac:dyDescent="0.25">
      <c r="A36" s="55" t="s">
        <v>17</v>
      </c>
      <c r="B36" s="56" t="s">
        <v>170</v>
      </c>
      <c r="C36" s="130"/>
      <c r="D36" s="1159"/>
      <c r="E36" s="1159"/>
      <c r="F36" s="1159"/>
      <c r="G36" s="1159"/>
      <c r="H36" s="74">
        <f t="shared" si="1"/>
        <v>0</v>
      </c>
      <c r="I36" s="638"/>
      <c r="J36" s="74"/>
      <c r="K36" s="74"/>
      <c r="L36" s="74"/>
    </row>
    <row r="37" spans="1:12" s="26" customFormat="1" ht="12.2" customHeight="1" thickBot="1" x14ac:dyDescent="0.25">
      <c r="A37" s="1038" t="s">
        <v>104</v>
      </c>
      <c r="B37" s="337" t="s">
        <v>165</v>
      </c>
      <c r="C37" s="1032"/>
      <c r="D37" s="1288"/>
      <c r="E37" s="91"/>
      <c r="F37" s="91"/>
      <c r="G37" s="91"/>
      <c r="H37" s="1117">
        <f t="shared" si="1"/>
        <v>0</v>
      </c>
      <c r="I37" s="1095"/>
      <c r="J37" s="549"/>
      <c r="K37" s="549"/>
      <c r="L37" s="549"/>
    </row>
    <row r="38" spans="1:12" s="26" customFormat="1" ht="12.2" customHeight="1" thickBot="1" x14ac:dyDescent="0.25">
      <c r="A38" s="55" t="s">
        <v>18</v>
      </c>
      <c r="B38" s="56" t="s">
        <v>555</v>
      </c>
      <c r="C38" s="130"/>
      <c r="D38" s="1159"/>
      <c r="E38" s="585"/>
      <c r="F38" s="585"/>
      <c r="G38" s="585"/>
      <c r="H38" s="74">
        <f t="shared" si="1"/>
        <v>0</v>
      </c>
      <c r="I38" s="638"/>
      <c r="J38" s="74"/>
      <c r="K38" s="74"/>
      <c r="L38" s="74"/>
    </row>
    <row r="39" spans="1:12" s="26" customFormat="1" ht="12.2" customHeight="1" x14ac:dyDescent="0.2">
      <c r="A39" s="12" t="s">
        <v>107</v>
      </c>
      <c r="B39" s="95" t="s">
        <v>212</v>
      </c>
      <c r="C39" s="131"/>
      <c r="D39" s="1163"/>
      <c r="E39" s="589"/>
      <c r="F39" s="589"/>
      <c r="G39" s="589"/>
      <c r="H39" s="550">
        <f t="shared" si="1"/>
        <v>0</v>
      </c>
      <c r="I39" s="1096"/>
      <c r="J39" s="550"/>
      <c r="K39" s="550"/>
      <c r="L39" s="550"/>
    </row>
    <row r="40" spans="1:12" s="26" customFormat="1" ht="12.2" customHeight="1" x14ac:dyDescent="0.2">
      <c r="A40" s="1003" t="s">
        <v>108</v>
      </c>
      <c r="B40" s="346" t="s">
        <v>213</v>
      </c>
      <c r="C40" s="1033"/>
      <c r="D40" s="1289"/>
      <c r="E40" s="605"/>
      <c r="F40" s="590"/>
      <c r="G40" s="590"/>
      <c r="H40" s="551">
        <f t="shared" si="1"/>
        <v>0</v>
      </c>
      <c r="I40" s="1097"/>
      <c r="J40" s="551"/>
      <c r="K40" s="551"/>
      <c r="L40" s="551"/>
    </row>
    <row r="41" spans="1:12" s="26" customFormat="1" ht="12.2" customHeight="1" thickBot="1" x14ac:dyDescent="0.25">
      <c r="A41" s="1003" t="s">
        <v>323</v>
      </c>
      <c r="B41" s="103" t="s">
        <v>165</v>
      </c>
      <c r="C41" s="92"/>
      <c r="D41" s="1162"/>
      <c r="E41" s="593"/>
      <c r="F41" s="591"/>
      <c r="G41" s="591"/>
      <c r="H41" s="552">
        <f t="shared" si="1"/>
        <v>0</v>
      </c>
      <c r="I41" s="1098"/>
      <c r="J41" s="552"/>
      <c r="K41" s="552"/>
      <c r="L41" s="552"/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0</v>
      </c>
      <c r="D42" s="1154">
        <f t="shared" ref="D42:L42" si="5">+D10+D22+D27+D28+D32+D36+D38</f>
        <v>0</v>
      </c>
      <c r="E42" s="582">
        <f t="shared" si="5"/>
        <v>0</v>
      </c>
      <c r="F42" s="582">
        <f t="shared" si="5"/>
        <v>0</v>
      </c>
      <c r="G42" s="582">
        <f t="shared" si="5"/>
        <v>0</v>
      </c>
      <c r="H42" s="74">
        <f t="shared" si="1"/>
        <v>0</v>
      </c>
      <c r="I42" s="638">
        <f t="shared" si="5"/>
        <v>0</v>
      </c>
      <c r="J42" s="74">
        <f t="shared" si="5"/>
        <v>0</v>
      </c>
      <c r="K42" s="74">
        <f t="shared" si="5"/>
        <v>0</v>
      </c>
      <c r="L42" s="74">
        <f t="shared" si="5"/>
        <v>0</v>
      </c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SUM(C44:C47)</f>
        <v>13627385</v>
      </c>
      <c r="D43" s="1154">
        <f t="shared" ref="D43:L43" si="6">SUM(D44:D47)</f>
        <v>13755385</v>
      </c>
      <c r="E43" s="582">
        <f t="shared" si="6"/>
        <v>16349770</v>
      </c>
      <c r="F43" s="582">
        <f t="shared" si="6"/>
        <v>0</v>
      </c>
      <c r="G43" s="582">
        <f t="shared" si="6"/>
        <v>0</v>
      </c>
      <c r="H43" s="74">
        <f t="shared" si="1"/>
        <v>2594385</v>
      </c>
      <c r="I43" s="638">
        <f t="shared" si="6"/>
        <v>0</v>
      </c>
      <c r="J43" s="74">
        <f t="shared" si="6"/>
        <v>0</v>
      </c>
      <c r="K43" s="74">
        <f t="shared" si="6"/>
        <v>0</v>
      </c>
      <c r="L43" s="74">
        <f t="shared" si="6"/>
        <v>0</v>
      </c>
    </row>
    <row r="44" spans="1:12" s="26" customFormat="1" ht="12.2" customHeight="1" x14ac:dyDescent="0.2">
      <c r="A44" s="58" t="s">
        <v>171</v>
      </c>
      <c r="B44" s="59" t="s">
        <v>131</v>
      </c>
      <c r="C44" s="122"/>
      <c r="D44" s="1160"/>
      <c r="E44" s="586"/>
      <c r="F44" s="586"/>
      <c r="G44" s="586"/>
      <c r="H44" s="546">
        <f t="shared" si="1"/>
        <v>0</v>
      </c>
      <c r="I44" s="1092"/>
      <c r="J44" s="546"/>
      <c r="K44" s="546"/>
      <c r="L44" s="546"/>
    </row>
    <row r="45" spans="1:12" s="26" customFormat="1" ht="12.2" customHeight="1" x14ac:dyDescent="0.2">
      <c r="A45" s="71" t="s">
        <v>172</v>
      </c>
      <c r="B45" s="59" t="s">
        <v>186</v>
      </c>
      <c r="C45" s="120"/>
      <c r="D45" s="1161"/>
      <c r="E45" s="91"/>
      <c r="F45" s="91"/>
      <c r="G45" s="91"/>
      <c r="H45" s="553">
        <f t="shared" si="1"/>
        <v>0</v>
      </c>
      <c r="I45" s="1099"/>
      <c r="J45" s="553"/>
      <c r="K45" s="553"/>
      <c r="L45" s="553"/>
    </row>
    <row r="46" spans="1:12" s="26" customFormat="1" ht="12.2" customHeight="1" x14ac:dyDescent="0.2">
      <c r="A46" s="1037" t="s">
        <v>173</v>
      </c>
      <c r="B46" s="336" t="s">
        <v>177</v>
      </c>
      <c r="C46" s="339">
        <f>C70-C42-C44-C63-C65-C68+C38+C32+C28</f>
        <v>13627385</v>
      </c>
      <c r="D46" s="1166">
        <f t="shared" ref="D46:L46" si="7">D70-D42-D63-D65-D68</f>
        <v>13755385</v>
      </c>
      <c r="E46" s="107">
        <f t="shared" si="7"/>
        <v>16349770</v>
      </c>
      <c r="F46" s="107">
        <f t="shared" si="7"/>
        <v>0</v>
      </c>
      <c r="G46" s="107">
        <f t="shared" si="7"/>
        <v>0</v>
      </c>
      <c r="H46" s="534">
        <f t="shared" si="1"/>
        <v>2594385</v>
      </c>
      <c r="I46" s="630">
        <f t="shared" si="7"/>
        <v>0</v>
      </c>
      <c r="J46" s="534">
        <f t="shared" si="7"/>
        <v>0</v>
      </c>
      <c r="K46" s="534">
        <f t="shared" si="7"/>
        <v>0</v>
      </c>
      <c r="L46" s="534">
        <f t="shared" si="7"/>
        <v>0</v>
      </c>
    </row>
    <row r="47" spans="1:12" s="54" customFormat="1" ht="12.2" customHeight="1" thickBot="1" x14ac:dyDescent="0.25">
      <c r="A47" s="58" t="s">
        <v>178</v>
      </c>
      <c r="B47" s="62" t="s">
        <v>179</v>
      </c>
      <c r="C47" s="1034"/>
      <c r="D47" s="1167">
        <f t="shared" ref="D47:L47" si="8">D62</f>
        <v>0</v>
      </c>
      <c r="E47" s="587">
        <f t="shared" si="8"/>
        <v>0</v>
      </c>
      <c r="F47" s="587">
        <f t="shared" si="8"/>
        <v>0</v>
      </c>
      <c r="G47" s="587">
        <f t="shared" si="8"/>
        <v>0</v>
      </c>
      <c r="H47" s="548">
        <f t="shared" si="1"/>
        <v>0</v>
      </c>
      <c r="I47" s="1094">
        <f t="shared" si="8"/>
        <v>0</v>
      </c>
      <c r="J47" s="548">
        <f t="shared" si="8"/>
        <v>0</v>
      </c>
      <c r="K47" s="548">
        <f t="shared" si="8"/>
        <v>0</v>
      </c>
      <c r="L47" s="548">
        <f t="shared" si="8"/>
        <v>0</v>
      </c>
    </row>
    <row r="48" spans="1:12" s="54" customFormat="1" ht="15" customHeight="1" thickBot="1" x14ac:dyDescent="0.25">
      <c r="A48" s="63" t="s">
        <v>21</v>
      </c>
      <c r="B48" s="524" t="s">
        <v>174</v>
      </c>
      <c r="C48" s="135">
        <f>+C42+C43</f>
        <v>13627385</v>
      </c>
      <c r="D48" s="1168">
        <f t="shared" ref="D48:L48" si="9">+D42+D43</f>
        <v>13755385</v>
      </c>
      <c r="E48" s="592">
        <f t="shared" si="9"/>
        <v>16349770</v>
      </c>
      <c r="F48" s="592">
        <f t="shared" si="9"/>
        <v>0</v>
      </c>
      <c r="G48" s="592">
        <f t="shared" si="9"/>
        <v>0</v>
      </c>
      <c r="H48" s="557">
        <f t="shared" si="1"/>
        <v>2594385</v>
      </c>
      <c r="I48" s="1100">
        <f t="shared" si="9"/>
        <v>0</v>
      </c>
      <c r="J48" s="557">
        <f t="shared" si="9"/>
        <v>0</v>
      </c>
      <c r="K48" s="557">
        <f t="shared" si="9"/>
        <v>0</v>
      </c>
      <c r="L48" s="557">
        <f t="shared" si="9"/>
        <v>0</v>
      </c>
    </row>
    <row r="49" spans="1:12" s="54" customFormat="1" ht="15" customHeight="1" x14ac:dyDescent="0.2">
      <c r="A49" s="64"/>
      <c r="B49" s="65"/>
      <c r="C49" s="66"/>
      <c r="D49" s="1169"/>
      <c r="E49" s="66"/>
      <c r="F49" s="66"/>
      <c r="G49" s="66"/>
      <c r="H49" s="66"/>
      <c r="I49" s="66"/>
      <c r="J49" s="66"/>
      <c r="K49" s="66"/>
      <c r="L49" s="66"/>
    </row>
    <row r="50" spans="1:12" s="54" customFormat="1" ht="15" customHeight="1" x14ac:dyDescent="0.2">
      <c r="A50" s="64"/>
      <c r="B50" s="65"/>
      <c r="C50" s="66"/>
      <c r="D50" s="1169"/>
      <c r="E50" s="66"/>
      <c r="F50" s="66"/>
      <c r="G50" s="66"/>
      <c r="H50" s="66"/>
      <c r="I50" s="66"/>
      <c r="J50" s="66"/>
      <c r="K50" s="66"/>
      <c r="L50" s="66"/>
    </row>
    <row r="51" spans="1:12" s="54" customFormat="1" ht="15" customHeight="1" thickBot="1" x14ac:dyDescent="0.25">
      <c r="A51" s="1912" t="s">
        <v>362</v>
      </c>
      <c r="B51" s="1912"/>
      <c r="C51" s="1912"/>
      <c r="D51" s="1912"/>
      <c r="E51" s="1912"/>
      <c r="F51" s="1912"/>
      <c r="G51" s="1912"/>
      <c r="H51" s="1912"/>
      <c r="I51" s="66"/>
      <c r="J51" s="66"/>
      <c r="K51" s="66"/>
      <c r="L51" s="66"/>
    </row>
    <row r="52" spans="1:12" s="554" customFormat="1" ht="55.5" customHeight="1" thickBot="1" x14ac:dyDescent="0.25">
      <c r="A52" s="641"/>
      <c r="B52" s="642" t="s">
        <v>38</v>
      </c>
      <c r="C52" s="21" t="str">
        <f>C7</f>
        <v>2023. évi eredeti előirányzat
2/2023. (II.14.)</v>
      </c>
      <c r="D52" s="1176" t="str">
        <f t="shared" ref="D52:L52" si="10">D7</f>
        <v>Módosított előirányzat a 14/2023.  (VI.29.)  rendelet szerint</v>
      </c>
      <c r="E52" s="21" t="str">
        <f t="shared" si="10"/>
        <v>Módosított előirányzat a 18/2023. (IX.26.)  rendelet szerint</v>
      </c>
      <c r="F52" s="1322" t="str">
        <f t="shared" si="10"/>
        <v>Módosított előirányzat 2023.09.30-án</v>
      </c>
      <c r="G52" s="555" t="str">
        <f t="shared" si="10"/>
        <v>Módosított előirányzat a …../2023. (II…..)  rendelet szerint</v>
      </c>
      <c r="H52" s="32" t="str">
        <f t="shared" si="10"/>
        <v>Változás a 14/2023. (VI.29.) rendelethez képest</v>
      </c>
      <c r="I52" s="21" t="str">
        <f t="shared" si="10"/>
        <v>2023. évi teljesítés              2023.06.30-ig</v>
      </c>
      <c r="J52" s="21" t="str">
        <f t="shared" si="10"/>
        <v>2023. évi teljesítés              2023.09.30-ig</v>
      </c>
      <c r="K52" s="21" t="str">
        <f t="shared" si="10"/>
        <v>2023. évi teljesítés              2023.12.31-ig</v>
      </c>
      <c r="L52" s="21" t="str">
        <f t="shared" si="10"/>
        <v>Teljesítés %-a</v>
      </c>
    </row>
    <row r="53" spans="1:12" s="31" customFormat="1" ht="12.2" customHeight="1" thickBot="1" x14ac:dyDescent="0.25">
      <c r="A53" s="55" t="s">
        <v>12</v>
      </c>
      <c r="B53" s="56" t="s">
        <v>547</v>
      </c>
      <c r="C53" s="89">
        <f>SUM(C54:C59)-C55</f>
        <v>13627385</v>
      </c>
      <c r="D53" s="1154">
        <f t="shared" ref="D53:L53" si="11">SUM(D54:D59)-D55</f>
        <v>13755385</v>
      </c>
      <c r="E53" s="582">
        <f t="shared" si="11"/>
        <v>16349770</v>
      </c>
      <c r="F53" s="582">
        <f t="shared" si="11"/>
        <v>0</v>
      </c>
      <c r="G53" s="582">
        <f t="shared" si="11"/>
        <v>0</v>
      </c>
      <c r="H53" s="48">
        <f>+E53-D53</f>
        <v>2594385</v>
      </c>
      <c r="I53" s="48">
        <f t="shared" si="11"/>
        <v>0</v>
      </c>
      <c r="J53" s="48">
        <f t="shared" si="11"/>
        <v>0</v>
      </c>
      <c r="K53" s="48">
        <f t="shared" si="11"/>
        <v>0</v>
      </c>
      <c r="L53" s="48">
        <f t="shared" si="11"/>
        <v>0</v>
      </c>
    </row>
    <row r="54" spans="1:12" ht="12.2" customHeight="1" x14ac:dyDescent="0.2">
      <c r="A54" s="329" t="s">
        <v>91</v>
      </c>
      <c r="B54" s="17" t="s">
        <v>68</v>
      </c>
      <c r="C54" s="122">
        <v>6582367</v>
      </c>
      <c r="D54" s="1160">
        <f>6582367+100000</f>
        <v>6682367</v>
      </c>
      <c r="E54" s="1160">
        <f>6682367+(150000*2)+391219+1564874</f>
        <v>8938460</v>
      </c>
      <c r="F54" s="586"/>
      <c r="G54" s="586"/>
      <c r="H54" s="33">
        <f t="shared" ref="H54:H72" si="12">+E54-D54</f>
        <v>2256093</v>
      </c>
      <c r="I54" s="33"/>
      <c r="J54" s="33"/>
      <c r="K54" s="33"/>
      <c r="L54" s="33"/>
    </row>
    <row r="55" spans="1:12" ht="12.2" customHeight="1" x14ac:dyDescent="0.2">
      <c r="A55" s="329" t="s">
        <v>305</v>
      </c>
      <c r="B55" s="335" t="s">
        <v>270</v>
      </c>
      <c r="C55" s="122"/>
      <c r="D55" s="1160"/>
      <c r="E55" s="1160">
        <v>391219</v>
      </c>
      <c r="F55" s="586"/>
      <c r="G55" s="586"/>
      <c r="H55" s="33">
        <f t="shared" si="12"/>
        <v>391219</v>
      </c>
      <c r="I55" s="33"/>
      <c r="J55" s="33"/>
      <c r="K55" s="33"/>
      <c r="L55" s="33"/>
    </row>
    <row r="56" spans="1:12" ht="12.2" customHeight="1" x14ac:dyDescent="0.2">
      <c r="A56" s="329" t="s">
        <v>92</v>
      </c>
      <c r="B56" s="330" t="s">
        <v>87</v>
      </c>
      <c r="C56" s="339">
        <v>2300668</v>
      </c>
      <c r="D56" s="1166">
        <f>2300668+28000</f>
        <v>2328668</v>
      </c>
      <c r="E56" s="1166">
        <f>2328668+(150000*2*0.28)+50858+203434</f>
        <v>2666960</v>
      </c>
      <c r="F56" s="107"/>
      <c r="G56" s="107"/>
      <c r="H56" s="324">
        <f t="shared" si="12"/>
        <v>338292</v>
      </c>
      <c r="I56" s="324"/>
      <c r="J56" s="324"/>
      <c r="K56" s="324"/>
      <c r="L56" s="324"/>
    </row>
    <row r="57" spans="1:12" ht="12.2" customHeight="1" x14ac:dyDescent="0.2">
      <c r="A57" s="329" t="s">
        <v>93</v>
      </c>
      <c r="B57" s="330" t="s">
        <v>69</v>
      </c>
      <c r="C57" s="339">
        <v>4744350</v>
      </c>
      <c r="D57" s="1166">
        <v>4744350</v>
      </c>
      <c r="E57" s="1166">
        <v>4744350</v>
      </c>
      <c r="F57" s="107"/>
      <c r="G57" s="107"/>
      <c r="H57" s="324">
        <f t="shared" si="12"/>
        <v>0</v>
      </c>
      <c r="I57" s="324"/>
      <c r="J57" s="324"/>
      <c r="K57" s="324"/>
      <c r="L57" s="324"/>
    </row>
    <row r="58" spans="1:12" ht="12.2" customHeight="1" x14ac:dyDescent="0.2">
      <c r="A58" s="329" t="s">
        <v>90</v>
      </c>
      <c r="B58" s="330" t="s">
        <v>80</v>
      </c>
      <c r="C58" s="339"/>
      <c r="D58" s="1166"/>
      <c r="E58" s="1166"/>
      <c r="F58" s="107"/>
      <c r="G58" s="107"/>
      <c r="H58" s="324">
        <f t="shared" si="12"/>
        <v>0</v>
      </c>
      <c r="I58" s="324"/>
      <c r="J58" s="324"/>
      <c r="K58" s="324"/>
      <c r="L58" s="324"/>
    </row>
    <row r="59" spans="1:12" ht="12.2" customHeight="1" x14ac:dyDescent="0.2">
      <c r="A59" s="329" t="s">
        <v>147</v>
      </c>
      <c r="B59" s="330" t="s">
        <v>88</v>
      </c>
      <c r="C59" s="339"/>
      <c r="D59" s="1166"/>
      <c r="E59" s="107"/>
      <c r="F59" s="107"/>
      <c r="G59" s="107"/>
      <c r="H59" s="324">
        <f t="shared" si="12"/>
        <v>0</v>
      </c>
      <c r="I59" s="324"/>
      <c r="J59" s="324"/>
      <c r="K59" s="324"/>
      <c r="L59" s="324"/>
    </row>
    <row r="60" spans="1:12" ht="12.2" customHeight="1" x14ac:dyDescent="0.2">
      <c r="A60" s="329" t="s">
        <v>306</v>
      </c>
      <c r="B60" s="521" t="s">
        <v>235</v>
      </c>
      <c r="C60" s="339"/>
      <c r="D60" s="1166"/>
      <c r="E60" s="107"/>
      <c r="F60" s="107"/>
      <c r="G60" s="107"/>
      <c r="H60" s="324">
        <f t="shared" si="12"/>
        <v>0</v>
      </c>
      <c r="I60" s="324"/>
      <c r="J60" s="324"/>
      <c r="K60" s="324"/>
      <c r="L60" s="324"/>
    </row>
    <row r="61" spans="1:12" ht="12.2" customHeight="1" thickBot="1" x14ac:dyDescent="0.25">
      <c r="A61" s="84" t="s">
        <v>307</v>
      </c>
      <c r="B61" s="85" t="s">
        <v>234</v>
      </c>
      <c r="C61" s="92"/>
      <c r="D61" s="1162"/>
      <c r="E61" s="593"/>
      <c r="F61" s="593"/>
      <c r="G61" s="593"/>
      <c r="H61" s="61">
        <f t="shared" si="12"/>
        <v>0</v>
      </c>
      <c r="I61" s="61"/>
      <c r="J61" s="61"/>
      <c r="K61" s="61"/>
      <c r="L61" s="61"/>
    </row>
    <row r="62" spans="1:12" ht="12.2" customHeight="1" thickBot="1" x14ac:dyDescent="0.25">
      <c r="A62" s="55" t="s">
        <v>13</v>
      </c>
      <c r="B62" s="56" t="s">
        <v>548</v>
      </c>
      <c r="C62" s="89">
        <f>SUM(C63:C67)</f>
        <v>0</v>
      </c>
      <c r="D62" s="1154">
        <f t="shared" ref="D62:L62" si="13">SUM(D63:D67)</f>
        <v>0</v>
      </c>
      <c r="E62" s="582">
        <f t="shared" si="13"/>
        <v>0</v>
      </c>
      <c r="F62" s="582">
        <f t="shared" si="13"/>
        <v>0</v>
      </c>
      <c r="G62" s="582">
        <f t="shared" si="13"/>
        <v>0</v>
      </c>
      <c r="H62" s="48">
        <f t="shared" si="12"/>
        <v>0</v>
      </c>
      <c r="I62" s="48">
        <f t="shared" si="13"/>
        <v>0</v>
      </c>
      <c r="J62" s="48">
        <f t="shared" si="13"/>
        <v>0</v>
      </c>
      <c r="K62" s="48">
        <f t="shared" si="13"/>
        <v>0</v>
      </c>
      <c r="L62" s="48">
        <f t="shared" si="13"/>
        <v>0</v>
      </c>
    </row>
    <row r="63" spans="1:12" s="31" customFormat="1" ht="12.2" customHeight="1" x14ac:dyDescent="0.2">
      <c r="A63" s="329" t="s">
        <v>94</v>
      </c>
      <c r="B63" s="17" t="s">
        <v>119</v>
      </c>
      <c r="C63" s="122">
        <v>0</v>
      </c>
      <c r="D63" s="1160"/>
      <c r="E63" s="586"/>
      <c r="F63" s="586"/>
      <c r="G63" s="586"/>
      <c r="H63" s="33">
        <f t="shared" si="12"/>
        <v>0</v>
      </c>
      <c r="I63" s="33"/>
      <c r="J63" s="33"/>
      <c r="K63" s="33"/>
      <c r="L63" s="33"/>
    </row>
    <row r="64" spans="1:12" s="31" customFormat="1" ht="12.2" customHeight="1" x14ac:dyDescent="0.2">
      <c r="A64" s="329" t="s">
        <v>316</v>
      </c>
      <c r="B64" s="522" t="s">
        <v>236</v>
      </c>
      <c r="C64" s="122"/>
      <c r="D64" s="1160"/>
      <c r="E64" s="586"/>
      <c r="F64" s="586"/>
      <c r="G64" s="586"/>
      <c r="H64" s="33">
        <f t="shared" si="12"/>
        <v>0</v>
      </c>
      <c r="I64" s="33"/>
      <c r="J64" s="33"/>
      <c r="K64" s="33"/>
      <c r="L64" s="33"/>
    </row>
    <row r="65" spans="1:12" ht="12.2" customHeight="1" x14ac:dyDescent="0.2">
      <c r="A65" s="329" t="s">
        <v>95</v>
      </c>
      <c r="B65" s="330" t="s">
        <v>2</v>
      </c>
      <c r="C65" s="339"/>
      <c r="D65" s="1166"/>
      <c r="E65" s="107"/>
      <c r="F65" s="107"/>
      <c r="G65" s="107"/>
      <c r="H65" s="324">
        <f t="shared" si="12"/>
        <v>0</v>
      </c>
      <c r="I65" s="324"/>
      <c r="J65" s="324"/>
      <c r="K65" s="324"/>
      <c r="L65" s="324"/>
    </row>
    <row r="66" spans="1:12" ht="12.2" customHeight="1" x14ac:dyDescent="0.2">
      <c r="A66" s="329" t="s">
        <v>342</v>
      </c>
      <c r="B66" s="523" t="s">
        <v>237</v>
      </c>
      <c r="C66" s="339"/>
      <c r="D66" s="1166"/>
      <c r="E66" s="107"/>
      <c r="F66" s="107"/>
      <c r="G66" s="107"/>
      <c r="H66" s="324">
        <f t="shared" si="12"/>
        <v>0</v>
      </c>
      <c r="I66" s="324"/>
      <c r="J66" s="324"/>
      <c r="K66" s="324"/>
      <c r="L66" s="324"/>
    </row>
    <row r="67" spans="1:12" ht="12.2" customHeight="1" x14ac:dyDescent="0.2">
      <c r="A67" s="329" t="s">
        <v>96</v>
      </c>
      <c r="B67" s="17" t="s">
        <v>175</v>
      </c>
      <c r="C67" s="339">
        <f>SUM(C68:C69)</f>
        <v>0</v>
      </c>
      <c r="D67" s="1166">
        <f t="shared" ref="D67:L67" si="14">SUM(D68:D69)</f>
        <v>0</v>
      </c>
      <c r="E67" s="107">
        <f t="shared" si="14"/>
        <v>0</v>
      </c>
      <c r="F67" s="107">
        <f t="shared" si="14"/>
        <v>0</v>
      </c>
      <c r="G67" s="107">
        <f t="shared" si="14"/>
        <v>0</v>
      </c>
      <c r="H67" s="324">
        <f t="shared" si="12"/>
        <v>0</v>
      </c>
      <c r="I67" s="324">
        <f t="shared" si="14"/>
        <v>0</v>
      </c>
      <c r="J67" s="324">
        <f t="shared" si="14"/>
        <v>0</v>
      </c>
      <c r="K67" s="324">
        <f t="shared" si="14"/>
        <v>0</v>
      </c>
      <c r="L67" s="324">
        <f t="shared" si="14"/>
        <v>0</v>
      </c>
    </row>
    <row r="68" spans="1:12" ht="12.2" customHeight="1" x14ac:dyDescent="0.2">
      <c r="A68" s="329" t="s">
        <v>317</v>
      </c>
      <c r="B68" s="521" t="s">
        <v>239</v>
      </c>
      <c r="C68" s="339"/>
      <c r="D68" s="1166"/>
      <c r="E68" s="107"/>
      <c r="F68" s="107"/>
      <c r="G68" s="107"/>
      <c r="H68" s="324">
        <f t="shared" si="12"/>
        <v>0</v>
      </c>
      <c r="I68" s="324"/>
      <c r="J68" s="324"/>
      <c r="K68" s="324"/>
      <c r="L68" s="324"/>
    </row>
    <row r="69" spans="1:12" ht="12.2" customHeight="1" thickBot="1" x14ac:dyDescent="0.25">
      <c r="A69" s="84" t="s">
        <v>318</v>
      </c>
      <c r="B69" s="85" t="s">
        <v>238</v>
      </c>
      <c r="C69" s="92"/>
      <c r="D69" s="1166"/>
      <c r="E69" s="107"/>
      <c r="F69" s="107"/>
      <c r="G69" s="107"/>
      <c r="H69" s="324">
        <f t="shared" si="12"/>
        <v>0</v>
      </c>
      <c r="I69" s="324"/>
      <c r="J69" s="324"/>
      <c r="K69" s="324"/>
      <c r="L69" s="324"/>
    </row>
    <row r="70" spans="1:12" ht="15" customHeight="1" thickBot="1" x14ac:dyDescent="0.25">
      <c r="A70" s="55" t="s">
        <v>14</v>
      </c>
      <c r="B70" s="67" t="s">
        <v>176</v>
      </c>
      <c r="C70" s="135">
        <f>+C53+C62</f>
        <v>13627385</v>
      </c>
      <c r="D70" s="1168">
        <f t="shared" ref="D70:L70" si="15">+D53+D62</f>
        <v>13755385</v>
      </c>
      <c r="E70" s="592">
        <f t="shared" si="15"/>
        <v>16349770</v>
      </c>
      <c r="F70" s="592">
        <f t="shared" si="15"/>
        <v>0</v>
      </c>
      <c r="G70" s="592">
        <f t="shared" si="15"/>
        <v>0</v>
      </c>
      <c r="H70" s="68">
        <f t="shared" si="12"/>
        <v>2594385</v>
      </c>
      <c r="I70" s="68">
        <f t="shared" si="15"/>
        <v>0</v>
      </c>
      <c r="J70" s="68">
        <f t="shared" si="15"/>
        <v>0</v>
      </c>
      <c r="K70" s="68">
        <f t="shared" si="15"/>
        <v>0</v>
      </c>
      <c r="L70" s="68">
        <f t="shared" si="15"/>
        <v>0</v>
      </c>
    </row>
    <row r="71" spans="1:12" ht="13.5" thickBot="1" x14ac:dyDescent="0.25">
      <c r="C71" s="27"/>
      <c r="D71" s="1171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69" t="s">
        <v>292</v>
      </c>
      <c r="B72" s="70"/>
      <c r="C72" s="136">
        <v>33</v>
      </c>
      <c r="D72" s="1172">
        <v>2</v>
      </c>
      <c r="E72" s="1172">
        <v>2</v>
      </c>
      <c r="F72" s="520">
        <v>2</v>
      </c>
      <c r="G72" s="520">
        <v>2</v>
      </c>
      <c r="H72" s="174">
        <f t="shared" si="12"/>
        <v>0</v>
      </c>
      <c r="I72" s="174">
        <v>2</v>
      </c>
      <c r="J72" s="174">
        <v>2</v>
      </c>
      <c r="K72" s="174">
        <v>2</v>
      </c>
      <c r="L72" s="174">
        <v>2</v>
      </c>
    </row>
    <row r="73" spans="1:12" ht="14.25" hidden="1" customHeight="1" thickBot="1" x14ac:dyDescent="0.25">
      <c r="A73" s="69" t="s">
        <v>291</v>
      </c>
      <c r="B73" s="70"/>
      <c r="C73" s="608"/>
      <c r="D73" s="1173"/>
      <c r="E73" s="607"/>
      <c r="F73" s="607"/>
      <c r="G73" s="607"/>
      <c r="H73" s="609"/>
      <c r="I73" s="609"/>
      <c r="J73" s="609"/>
      <c r="K73" s="609"/>
      <c r="L73" s="609"/>
    </row>
    <row r="74" spans="1:12" x14ac:dyDescent="0.2">
      <c r="D74" s="1174"/>
      <c r="E74" s="163"/>
      <c r="F74" s="163"/>
      <c r="G74" s="163"/>
      <c r="H74" s="163"/>
      <c r="I74" s="163"/>
      <c r="J74" s="163"/>
      <c r="K74" s="163"/>
      <c r="L74" s="163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5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4"/>
  <sheetViews>
    <sheetView view="pageBreakPreview" zoomScale="117" zoomScaleNormal="100" zoomScaleSheetLayoutView="117" workbookViewId="0">
      <selection activeCell="A2" sqref="A2:H2"/>
    </sheetView>
  </sheetViews>
  <sheetFormatPr defaultRowHeight="12.75" x14ac:dyDescent="0.2"/>
  <cols>
    <col min="1" max="1" width="12" style="1324" customWidth="1"/>
    <col min="2" max="2" width="57.83203125" style="25" customWidth="1"/>
    <col min="3" max="3" width="15.33203125" style="25" customWidth="1"/>
    <col min="4" max="4" width="16.83203125" style="1175" customWidth="1"/>
    <col min="5" max="5" width="17" style="25" customWidth="1"/>
    <col min="6" max="7" width="17" style="25" hidden="1" customWidth="1"/>
    <col min="8" max="8" width="17.1640625" style="25" customWidth="1"/>
    <col min="9" max="11" width="14.83203125" style="25" hidden="1" customWidth="1"/>
    <col min="12" max="12" width="1.16406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535" customFormat="1" ht="12.75" customHeight="1" x14ac:dyDescent="0.2">
      <c r="A1" s="1774" t="s">
        <v>810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731</v>
      </c>
      <c r="B2" s="1774"/>
      <c r="C2" s="1774"/>
      <c r="D2" s="1774"/>
      <c r="E2" s="1774"/>
      <c r="F2" s="1774"/>
      <c r="G2" s="1774"/>
      <c r="H2" s="1774"/>
    </row>
    <row r="3" spans="1:12" s="24" customFormat="1" ht="21.2" customHeight="1" thickBot="1" x14ac:dyDescent="0.25">
      <c r="A3" s="170"/>
      <c r="C3" s="1321"/>
      <c r="D3" s="1151"/>
      <c r="E3" s="1321"/>
      <c r="F3" s="1321"/>
      <c r="G3" s="1321"/>
      <c r="H3" s="1321"/>
      <c r="I3" s="1321"/>
      <c r="J3" s="1321"/>
      <c r="K3" s="1321"/>
      <c r="L3" s="1321"/>
    </row>
    <row r="4" spans="1:12" s="38" customFormat="1" ht="38.25" customHeight="1" x14ac:dyDescent="0.2">
      <c r="A4" s="36" t="s">
        <v>137</v>
      </c>
      <c r="B4" s="37" t="s">
        <v>387</v>
      </c>
      <c r="C4" s="1806" t="s">
        <v>182</v>
      </c>
      <c r="D4" s="1807"/>
      <c r="E4" s="1807"/>
      <c r="F4" s="1807"/>
      <c r="G4" s="1807"/>
      <c r="H4" s="1808" t="s">
        <v>182</v>
      </c>
    </row>
    <row r="5" spans="1:12" s="38" customFormat="1" ht="36.75" thickBot="1" x14ac:dyDescent="0.25">
      <c r="A5" s="39" t="s">
        <v>139</v>
      </c>
      <c r="B5" s="40" t="s">
        <v>404</v>
      </c>
      <c r="C5" s="1929" t="s">
        <v>141</v>
      </c>
      <c r="D5" s="1930"/>
      <c r="E5" s="1930"/>
      <c r="F5" s="1930"/>
      <c r="G5" s="1930"/>
      <c r="H5" s="1931" t="s">
        <v>141</v>
      </c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2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152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153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0</v>
      </c>
      <c r="D10" s="1154">
        <f>SUM(D11:D21)</f>
        <v>0</v>
      </c>
      <c r="E10" s="582"/>
      <c r="F10" s="582"/>
      <c r="G10" s="582"/>
      <c r="H10" s="595">
        <f>SUM(H11:H21)</f>
        <v>0</v>
      </c>
      <c r="I10" s="1085"/>
      <c r="J10" s="595"/>
      <c r="K10" s="595"/>
      <c r="L10" s="595"/>
    </row>
    <row r="11" spans="1:12" s="26" customFormat="1" ht="12.2" customHeight="1" x14ac:dyDescent="0.2">
      <c r="A11" s="49" t="s">
        <v>91</v>
      </c>
      <c r="B11" s="50" t="s">
        <v>143</v>
      </c>
      <c r="C11" s="128"/>
      <c r="D11" s="1155"/>
      <c r="E11" s="583"/>
      <c r="F11" s="583"/>
      <c r="G11" s="583"/>
      <c r="H11" s="540">
        <f>D11-C11</f>
        <v>0</v>
      </c>
      <c r="I11" s="1086"/>
      <c r="J11" s="540"/>
      <c r="K11" s="540"/>
      <c r="L11" s="540"/>
    </row>
    <row r="12" spans="1:12" s="26" customFormat="1" ht="12.2" customHeight="1" x14ac:dyDescent="0.2">
      <c r="A12" s="1037" t="s">
        <v>92</v>
      </c>
      <c r="B12" s="330" t="s">
        <v>144</v>
      </c>
      <c r="C12" s="331"/>
      <c r="D12" s="1156"/>
      <c r="E12" s="88"/>
      <c r="F12" s="88"/>
      <c r="G12" s="88"/>
      <c r="H12" s="541">
        <f t="shared" ref="H12:H48" si="0">D12-C12</f>
        <v>0</v>
      </c>
      <c r="I12" s="1087"/>
      <c r="J12" s="541"/>
      <c r="K12" s="541"/>
      <c r="L12" s="541"/>
    </row>
    <row r="13" spans="1:12" s="26" customFormat="1" ht="12.2" customHeight="1" x14ac:dyDescent="0.2">
      <c r="A13" s="1037" t="s">
        <v>93</v>
      </c>
      <c r="B13" s="330" t="s">
        <v>145</v>
      </c>
      <c r="C13" s="331"/>
      <c r="D13" s="1156"/>
      <c r="E13" s="88"/>
      <c r="F13" s="88"/>
      <c r="G13" s="88"/>
      <c r="H13" s="541">
        <f t="shared" si="0"/>
        <v>0</v>
      </c>
      <c r="I13" s="1087"/>
      <c r="J13" s="541"/>
      <c r="K13" s="541"/>
      <c r="L13" s="541"/>
    </row>
    <row r="14" spans="1:12" s="26" customFormat="1" ht="12.2" customHeight="1" x14ac:dyDescent="0.2">
      <c r="A14" s="1037" t="s">
        <v>90</v>
      </c>
      <c r="B14" s="330" t="s">
        <v>146</v>
      </c>
      <c r="C14" s="331"/>
      <c r="D14" s="1156"/>
      <c r="E14" s="88"/>
      <c r="F14" s="88"/>
      <c r="G14" s="88"/>
      <c r="H14" s="541">
        <f t="shared" si="0"/>
        <v>0</v>
      </c>
      <c r="I14" s="1087"/>
      <c r="J14" s="541"/>
      <c r="K14" s="541"/>
      <c r="L14" s="541"/>
    </row>
    <row r="15" spans="1:12" s="26" customFormat="1" ht="12.2" customHeight="1" x14ac:dyDescent="0.2">
      <c r="A15" s="1037" t="s">
        <v>147</v>
      </c>
      <c r="B15" s="330" t="s">
        <v>148</v>
      </c>
      <c r="C15" s="331"/>
      <c r="D15" s="1156"/>
      <c r="E15" s="88"/>
      <c r="F15" s="88"/>
      <c r="G15" s="88"/>
      <c r="H15" s="541">
        <f t="shared" si="0"/>
        <v>0</v>
      </c>
      <c r="I15" s="1087"/>
      <c r="J15" s="541"/>
      <c r="K15" s="541"/>
      <c r="L15" s="541"/>
    </row>
    <row r="16" spans="1:12" s="26" customFormat="1" ht="12.2" customHeight="1" x14ac:dyDescent="0.2">
      <c r="A16" s="1037" t="s">
        <v>149</v>
      </c>
      <c r="B16" s="330" t="s">
        <v>150</v>
      </c>
      <c r="C16" s="331"/>
      <c r="D16" s="1156"/>
      <c r="E16" s="88"/>
      <c r="F16" s="88"/>
      <c r="G16" s="88"/>
      <c r="H16" s="541">
        <f t="shared" si="0"/>
        <v>0</v>
      </c>
      <c r="I16" s="1087"/>
      <c r="J16" s="541"/>
      <c r="K16" s="541"/>
      <c r="L16" s="541"/>
    </row>
    <row r="17" spans="1:12" s="26" customFormat="1" ht="12.2" customHeight="1" x14ac:dyDescent="0.2">
      <c r="A17" s="1037" t="s">
        <v>151</v>
      </c>
      <c r="B17" s="52" t="s">
        <v>152</v>
      </c>
      <c r="C17" s="331"/>
      <c r="D17" s="1156"/>
      <c r="E17" s="88"/>
      <c r="F17" s="88"/>
      <c r="G17" s="88"/>
      <c r="H17" s="541">
        <f t="shared" si="0"/>
        <v>0</v>
      </c>
      <c r="I17" s="1087"/>
      <c r="J17" s="541"/>
      <c r="K17" s="541"/>
      <c r="L17" s="541"/>
    </row>
    <row r="18" spans="1:12" s="26" customFormat="1" ht="12.2" customHeight="1" x14ac:dyDescent="0.2">
      <c r="A18" s="1037" t="s">
        <v>153</v>
      </c>
      <c r="B18" s="345" t="s">
        <v>302</v>
      </c>
      <c r="C18" s="121"/>
      <c r="D18" s="1157"/>
      <c r="E18" s="90"/>
      <c r="F18" s="90"/>
      <c r="G18" s="90"/>
      <c r="H18" s="542">
        <f t="shared" si="0"/>
        <v>0</v>
      </c>
      <c r="I18" s="1088"/>
      <c r="J18" s="542"/>
      <c r="K18" s="542"/>
      <c r="L18" s="542"/>
    </row>
    <row r="19" spans="1:12" s="54" customFormat="1" ht="12.2" customHeight="1" x14ac:dyDescent="0.2">
      <c r="A19" s="1037" t="s">
        <v>154</v>
      </c>
      <c r="B19" s="330" t="s">
        <v>155</v>
      </c>
      <c r="C19" s="331"/>
      <c r="D19" s="1156"/>
      <c r="E19" s="88"/>
      <c r="F19" s="88"/>
      <c r="G19" s="88"/>
      <c r="H19" s="541">
        <f t="shared" si="0"/>
        <v>0</v>
      </c>
      <c r="I19" s="1087"/>
      <c r="J19" s="541"/>
      <c r="K19" s="541"/>
      <c r="L19" s="541"/>
    </row>
    <row r="20" spans="1:12" s="54" customFormat="1" ht="12.2" customHeight="1" x14ac:dyDescent="0.2">
      <c r="A20" s="1037" t="s">
        <v>156</v>
      </c>
      <c r="B20" s="345" t="s">
        <v>275</v>
      </c>
      <c r="C20" s="333"/>
      <c r="D20" s="1158"/>
      <c r="E20" s="88"/>
      <c r="F20" s="88"/>
      <c r="G20" s="331"/>
      <c r="H20" s="543">
        <f t="shared" si="0"/>
        <v>0</v>
      </c>
      <c r="I20" s="1089"/>
      <c r="J20" s="543"/>
      <c r="K20" s="543"/>
      <c r="L20" s="543"/>
    </row>
    <row r="21" spans="1:12" s="54" customFormat="1" ht="12.2" customHeight="1" thickBot="1" x14ac:dyDescent="0.25">
      <c r="A21" s="1037" t="s">
        <v>276</v>
      </c>
      <c r="B21" s="52" t="s">
        <v>157</v>
      </c>
      <c r="C21" s="333"/>
      <c r="D21" s="1158"/>
      <c r="E21" s="90"/>
      <c r="F21" s="90"/>
      <c r="G21" s="90"/>
      <c r="H21" s="544">
        <f t="shared" si="0"/>
        <v>0</v>
      </c>
      <c r="I21" s="1090"/>
      <c r="J21" s="544"/>
      <c r="K21" s="544"/>
      <c r="L21" s="544"/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SUM(C23:C25)</f>
        <v>0</v>
      </c>
      <c r="D22" s="1154">
        <f>SUM(D23:D25)</f>
        <v>0</v>
      </c>
      <c r="E22" s="582"/>
      <c r="F22" s="582"/>
      <c r="G22" s="582"/>
      <c r="H22" s="48">
        <f t="shared" si="0"/>
        <v>0</v>
      </c>
      <c r="I22" s="175"/>
      <c r="J22" s="48"/>
      <c r="K22" s="48"/>
      <c r="L22" s="48"/>
    </row>
    <row r="23" spans="1:12" s="54" customFormat="1" ht="12.2" customHeight="1" x14ac:dyDescent="0.2">
      <c r="A23" s="1037" t="s">
        <v>94</v>
      </c>
      <c r="B23" s="17" t="s">
        <v>159</v>
      </c>
      <c r="C23" s="331"/>
      <c r="D23" s="1156"/>
      <c r="E23" s="584"/>
      <c r="F23" s="584"/>
      <c r="G23" s="584"/>
      <c r="H23" s="75">
        <f t="shared" si="0"/>
        <v>0</v>
      </c>
      <c r="I23" s="637"/>
      <c r="J23" s="75"/>
      <c r="K23" s="75"/>
      <c r="L23" s="75"/>
    </row>
    <row r="24" spans="1:12" s="54" customFormat="1" ht="12.2" customHeight="1" x14ac:dyDescent="0.2">
      <c r="A24" s="1037" t="s">
        <v>95</v>
      </c>
      <c r="B24" s="330" t="s">
        <v>160</v>
      </c>
      <c r="C24" s="331"/>
      <c r="D24" s="1156"/>
      <c r="E24" s="88"/>
      <c r="F24" s="88"/>
      <c r="G24" s="88"/>
      <c r="H24" s="541">
        <f t="shared" si="0"/>
        <v>0</v>
      </c>
      <c r="I24" s="1087"/>
      <c r="J24" s="541"/>
      <c r="K24" s="541"/>
      <c r="L24" s="541"/>
    </row>
    <row r="25" spans="1:12" s="54" customFormat="1" ht="12.2" customHeight="1" x14ac:dyDescent="0.2">
      <c r="A25" s="1037" t="s">
        <v>96</v>
      </c>
      <c r="B25" s="330" t="s">
        <v>161</v>
      </c>
      <c r="C25" s="331"/>
      <c r="D25" s="1156"/>
      <c r="E25" s="88"/>
      <c r="F25" s="88"/>
      <c r="G25" s="88"/>
      <c r="H25" s="541">
        <f t="shared" si="0"/>
        <v>0</v>
      </c>
      <c r="I25" s="1087"/>
      <c r="J25" s="541"/>
      <c r="K25" s="541"/>
      <c r="L25" s="541"/>
    </row>
    <row r="26" spans="1:12" s="54" customFormat="1" ht="12.2" customHeight="1" thickBot="1" x14ac:dyDescent="0.25">
      <c r="A26" s="1037" t="s">
        <v>317</v>
      </c>
      <c r="B26" s="335" t="s">
        <v>233</v>
      </c>
      <c r="C26" s="331"/>
      <c r="D26" s="1156"/>
      <c r="E26" s="88"/>
      <c r="F26" s="88"/>
      <c r="G26" s="88"/>
      <c r="H26" s="545">
        <f t="shared" si="0"/>
        <v>0</v>
      </c>
      <c r="I26" s="1091"/>
      <c r="J26" s="545"/>
      <c r="K26" s="545"/>
      <c r="L26" s="545"/>
    </row>
    <row r="27" spans="1:12" s="54" customFormat="1" ht="12.2" customHeight="1" thickBot="1" x14ac:dyDescent="0.25">
      <c r="A27" s="55" t="s">
        <v>14</v>
      </c>
      <c r="B27" s="56" t="s">
        <v>83</v>
      </c>
      <c r="C27" s="130"/>
      <c r="D27" s="1159"/>
      <c r="E27" s="585"/>
      <c r="F27" s="585"/>
      <c r="G27" s="585"/>
      <c r="H27" s="74">
        <f t="shared" si="0"/>
        <v>0</v>
      </c>
      <c r="I27" s="638"/>
      <c r="J27" s="74"/>
      <c r="K27" s="74"/>
      <c r="L27" s="74"/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+C29+C30</f>
        <v>0</v>
      </c>
      <c r="D28" s="1154">
        <f>+D29+D30</f>
        <v>0</v>
      </c>
      <c r="E28" s="582"/>
      <c r="F28" s="582"/>
      <c r="G28" s="582"/>
      <c r="H28" s="74">
        <f t="shared" si="0"/>
        <v>0</v>
      </c>
      <c r="I28" s="638"/>
      <c r="J28" s="74"/>
      <c r="K28" s="74"/>
      <c r="L28" s="74"/>
    </row>
    <row r="29" spans="1:12" s="54" customFormat="1" ht="12.2" customHeight="1" x14ac:dyDescent="0.2">
      <c r="A29" s="58" t="s">
        <v>100</v>
      </c>
      <c r="B29" s="59" t="s">
        <v>160</v>
      </c>
      <c r="C29" s="122"/>
      <c r="D29" s="1160"/>
      <c r="E29" s="586"/>
      <c r="F29" s="586"/>
      <c r="G29" s="586"/>
      <c r="H29" s="546">
        <f t="shared" si="0"/>
        <v>0</v>
      </c>
      <c r="I29" s="1092"/>
      <c r="J29" s="546"/>
      <c r="K29" s="546"/>
      <c r="L29" s="546"/>
    </row>
    <row r="30" spans="1:12" s="54" customFormat="1" ht="12.2" customHeight="1" x14ac:dyDescent="0.2">
      <c r="A30" s="58" t="s">
        <v>101</v>
      </c>
      <c r="B30" s="336" t="s">
        <v>163</v>
      </c>
      <c r="C30" s="120"/>
      <c r="D30" s="1161"/>
      <c r="E30" s="107"/>
      <c r="F30" s="107"/>
      <c r="G30" s="339"/>
      <c r="H30" s="534">
        <f t="shared" si="0"/>
        <v>0</v>
      </c>
      <c r="I30" s="630"/>
      <c r="J30" s="534"/>
      <c r="K30" s="534"/>
      <c r="L30" s="534"/>
    </row>
    <row r="31" spans="1:12" s="54" customFormat="1" ht="12.2" customHeight="1" thickBot="1" x14ac:dyDescent="0.25">
      <c r="A31" s="1037" t="s">
        <v>281</v>
      </c>
      <c r="B31" s="102" t="s">
        <v>165</v>
      </c>
      <c r="C31" s="92"/>
      <c r="D31" s="1162"/>
      <c r="E31" s="587"/>
      <c r="F31" s="587"/>
      <c r="G31" s="587"/>
      <c r="H31" s="547">
        <f t="shared" si="0"/>
        <v>0</v>
      </c>
      <c r="I31" s="1093"/>
      <c r="J31" s="547"/>
      <c r="K31" s="547"/>
      <c r="L31" s="547"/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+C33+C34+C35</f>
        <v>0</v>
      </c>
      <c r="D32" s="1154">
        <f>+D33+D34+D35</f>
        <v>0</v>
      </c>
      <c r="E32" s="582"/>
      <c r="F32" s="582"/>
      <c r="G32" s="582"/>
      <c r="H32" s="74">
        <f t="shared" si="0"/>
        <v>0</v>
      </c>
      <c r="I32" s="638"/>
      <c r="J32" s="74"/>
      <c r="K32" s="74"/>
      <c r="L32" s="74"/>
    </row>
    <row r="33" spans="1:12" s="54" customFormat="1" ht="12.2" customHeight="1" x14ac:dyDescent="0.2">
      <c r="A33" s="58" t="s">
        <v>89</v>
      </c>
      <c r="B33" s="59" t="s">
        <v>167</v>
      </c>
      <c r="C33" s="122"/>
      <c r="D33" s="1160"/>
      <c r="E33" s="586"/>
      <c r="F33" s="586"/>
      <c r="G33" s="586"/>
      <c r="H33" s="546">
        <f t="shared" si="0"/>
        <v>0</v>
      </c>
      <c r="I33" s="1092"/>
      <c r="J33" s="546"/>
      <c r="K33" s="546"/>
      <c r="L33" s="546"/>
    </row>
    <row r="34" spans="1:12" s="54" customFormat="1" ht="12.2" customHeight="1" x14ac:dyDescent="0.2">
      <c r="A34" s="58" t="s">
        <v>102</v>
      </c>
      <c r="B34" s="336" t="s">
        <v>168</v>
      </c>
      <c r="C34" s="120"/>
      <c r="D34" s="1161"/>
      <c r="E34" s="107"/>
      <c r="F34" s="107"/>
      <c r="G34" s="339"/>
      <c r="H34" s="534">
        <f t="shared" si="0"/>
        <v>0</v>
      </c>
      <c r="I34" s="630"/>
      <c r="J34" s="534"/>
      <c r="K34" s="534"/>
      <c r="L34" s="534"/>
    </row>
    <row r="35" spans="1:12" s="54" customFormat="1" ht="12.2" customHeight="1" thickBot="1" x14ac:dyDescent="0.25">
      <c r="A35" s="1037" t="s">
        <v>103</v>
      </c>
      <c r="B35" s="62" t="s">
        <v>169</v>
      </c>
      <c r="C35" s="92"/>
      <c r="D35" s="1162"/>
      <c r="E35" s="587"/>
      <c r="F35" s="587"/>
      <c r="G35" s="587"/>
      <c r="H35" s="548">
        <f t="shared" si="0"/>
        <v>0</v>
      </c>
      <c r="I35" s="1094"/>
      <c r="J35" s="548"/>
      <c r="K35" s="548"/>
      <c r="L35" s="548"/>
    </row>
    <row r="36" spans="1:12" s="26" customFormat="1" ht="12.2" customHeight="1" thickBot="1" x14ac:dyDescent="0.25">
      <c r="A36" s="55" t="s">
        <v>17</v>
      </c>
      <c r="B36" s="56" t="s">
        <v>170</v>
      </c>
      <c r="C36" s="130"/>
      <c r="D36" s="1159"/>
      <c r="E36" s="1159"/>
      <c r="F36" s="1159"/>
      <c r="G36" s="1159"/>
      <c r="H36" s="74">
        <f t="shared" si="0"/>
        <v>0</v>
      </c>
      <c r="I36" s="638"/>
      <c r="J36" s="74"/>
      <c r="K36" s="74"/>
      <c r="L36" s="74"/>
    </row>
    <row r="37" spans="1:12" s="26" customFormat="1" ht="12.2" customHeight="1" thickBot="1" x14ac:dyDescent="0.25">
      <c r="A37" s="1038" t="s">
        <v>104</v>
      </c>
      <c r="B37" s="337" t="s">
        <v>165</v>
      </c>
      <c r="C37" s="1032"/>
      <c r="D37" s="1288"/>
      <c r="E37" s="91"/>
      <c r="F37" s="91"/>
      <c r="G37" s="91"/>
      <c r="H37" s="1117">
        <f t="shared" si="0"/>
        <v>0</v>
      </c>
      <c r="I37" s="1095"/>
      <c r="J37" s="549"/>
      <c r="K37" s="549"/>
      <c r="L37" s="549"/>
    </row>
    <row r="38" spans="1:12" s="26" customFormat="1" ht="12.2" customHeight="1" thickBot="1" x14ac:dyDescent="0.25">
      <c r="A38" s="55" t="s">
        <v>18</v>
      </c>
      <c r="B38" s="56" t="s">
        <v>555</v>
      </c>
      <c r="C38" s="130">
        <f>SUM(C39:C40)</f>
        <v>0</v>
      </c>
      <c r="D38" s="1159">
        <f>SUM(D39:D40)</f>
        <v>0</v>
      </c>
      <c r="E38" s="585"/>
      <c r="F38" s="585"/>
      <c r="G38" s="585"/>
      <c r="H38" s="74">
        <f t="shared" si="0"/>
        <v>0</v>
      </c>
      <c r="I38" s="638"/>
      <c r="J38" s="74"/>
      <c r="K38" s="74"/>
      <c r="L38" s="74"/>
    </row>
    <row r="39" spans="1:12" s="26" customFormat="1" ht="12.2" customHeight="1" x14ac:dyDescent="0.2">
      <c r="A39" s="12" t="s">
        <v>107</v>
      </c>
      <c r="B39" s="95" t="s">
        <v>212</v>
      </c>
      <c r="C39" s="131"/>
      <c r="D39" s="1163"/>
      <c r="E39" s="589"/>
      <c r="F39" s="589"/>
      <c r="G39" s="589"/>
      <c r="H39" s="550">
        <f t="shared" si="0"/>
        <v>0</v>
      </c>
      <c r="I39" s="1096"/>
      <c r="J39" s="550"/>
      <c r="K39" s="550"/>
      <c r="L39" s="550"/>
    </row>
    <row r="40" spans="1:12" s="26" customFormat="1" ht="12.2" customHeight="1" x14ac:dyDescent="0.2">
      <c r="A40" s="1003" t="s">
        <v>108</v>
      </c>
      <c r="B40" s="346" t="s">
        <v>213</v>
      </c>
      <c r="C40" s="1033"/>
      <c r="D40" s="1289"/>
      <c r="E40" s="605"/>
      <c r="F40" s="590"/>
      <c r="G40" s="590"/>
      <c r="H40" s="551">
        <f t="shared" si="0"/>
        <v>0</v>
      </c>
      <c r="I40" s="1097"/>
      <c r="J40" s="551"/>
      <c r="K40" s="551"/>
      <c r="L40" s="551"/>
    </row>
    <row r="41" spans="1:12" s="26" customFormat="1" ht="12.2" customHeight="1" thickBot="1" x14ac:dyDescent="0.25">
      <c r="A41" s="1003" t="s">
        <v>323</v>
      </c>
      <c r="B41" s="103" t="s">
        <v>165</v>
      </c>
      <c r="C41" s="92"/>
      <c r="D41" s="1162"/>
      <c r="E41" s="593"/>
      <c r="F41" s="591"/>
      <c r="G41" s="591"/>
      <c r="H41" s="552">
        <f t="shared" si="0"/>
        <v>0</v>
      </c>
      <c r="I41" s="1098"/>
      <c r="J41" s="552"/>
      <c r="K41" s="552"/>
      <c r="L41" s="552"/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0</v>
      </c>
      <c r="D42" s="1154">
        <f>+D10+D22+D27+D28+D32+D36+D38</f>
        <v>0</v>
      </c>
      <c r="E42" s="582"/>
      <c r="F42" s="582"/>
      <c r="G42" s="582"/>
      <c r="H42" s="74">
        <f t="shared" si="0"/>
        <v>0</v>
      </c>
      <c r="I42" s="638"/>
      <c r="J42" s="74"/>
      <c r="K42" s="74"/>
      <c r="L42" s="74"/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SUM(C44:C47)</f>
        <v>0</v>
      </c>
      <c r="D43" s="1154">
        <f>SUM(D44:D47)</f>
        <v>0</v>
      </c>
      <c r="E43" s="582"/>
      <c r="F43" s="582"/>
      <c r="G43" s="582"/>
      <c r="H43" s="74">
        <f t="shared" si="0"/>
        <v>0</v>
      </c>
      <c r="I43" s="638"/>
      <c r="J43" s="74"/>
      <c r="K43" s="74"/>
      <c r="L43" s="74"/>
    </row>
    <row r="44" spans="1:12" s="26" customFormat="1" ht="12.2" customHeight="1" x14ac:dyDescent="0.2">
      <c r="A44" s="58" t="s">
        <v>171</v>
      </c>
      <c r="B44" s="59" t="s">
        <v>131</v>
      </c>
      <c r="C44" s="122"/>
      <c r="D44" s="1160"/>
      <c r="E44" s="586"/>
      <c r="F44" s="586"/>
      <c r="G44" s="586"/>
      <c r="H44" s="546">
        <f t="shared" si="0"/>
        <v>0</v>
      </c>
      <c r="I44" s="1092"/>
      <c r="J44" s="546"/>
      <c r="K44" s="546"/>
      <c r="L44" s="546"/>
    </row>
    <row r="45" spans="1:12" s="26" customFormat="1" ht="12.2" customHeight="1" x14ac:dyDescent="0.2">
      <c r="A45" s="71" t="s">
        <v>172</v>
      </c>
      <c r="B45" s="59" t="s">
        <v>186</v>
      </c>
      <c r="C45" s="120"/>
      <c r="D45" s="1161"/>
      <c r="E45" s="91"/>
      <c r="F45" s="91"/>
      <c r="G45" s="91"/>
      <c r="H45" s="553">
        <f t="shared" si="0"/>
        <v>0</v>
      </c>
      <c r="I45" s="1099"/>
      <c r="J45" s="553"/>
      <c r="K45" s="553"/>
      <c r="L45" s="553"/>
    </row>
    <row r="46" spans="1:12" s="26" customFormat="1" ht="12.2" customHeight="1" x14ac:dyDescent="0.2">
      <c r="A46" s="1037" t="s">
        <v>173</v>
      </c>
      <c r="B46" s="336" t="s">
        <v>177</v>
      </c>
      <c r="C46" s="339"/>
      <c r="D46" s="1166"/>
      <c r="E46" s="107"/>
      <c r="F46" s="107"/>
      <c r="G46" s="107"/>
      <c r="H46" s="534">
        <f t="shared" si="0"/>
        <v>0</v>
      </c>
      <c r="I46" s="630"/>
      <c r="J46" s="534"/>
      <c r="K46" s="534"/>
      <c r="L46" s="534"/>
    </row>
    <row r="47" spans="1:12" s="54" customFormat="1" ht="12.2" customHeight="1" thickBot="1" x14ac:dyDescent="0.25">
      <c r="A47" s="58" t="s">
        <v>178</v>
      </c>
      <c r="B47" s="62" t="s">
        <v>179</v>
      </c>
      <c r="C47" s="1034"/>
      <c r="D47" s="1167"/>
      <c r="E47" s="587"/>
      <c r="F47" s="587"/>
      <c r="G47" s="587"/>
      <c r="H47" s="548">
        <f t="shared" si="0"/>
        <v>0</v>
      </c>
      <c r="I47" s="1094"/>
      <c r="J47" s="548"/>
      <c r="K47" s="548"/>
      <c r="L47" s="548"/>
    </row>
    <row r="48" spans="1:12" s="54" customFormat="1" ht="15" customHeight="1" thickBot="1" x14ac:dyDescent="0.25">
      <c r="A48" s="63" t="s">
        <v>21</v>
      </c>
      <c r="B48" s="524" t="s">
        <v>174</v>
      </c>
      <c r="C48" s="135">
        <f>+C42+C43</f>
        <v>0</v>
      </c>
      <c r="D48" s="1168">
        <f>+D42+D43</f>
        <v>0</v>
      </c>
      <c r="E48" s="592"/>
      <c r="F48" s="592"/>
      <c r="G48" s="592"/>
      <c r="H48" s="557">
        <f t="shared" si="0"/>
        <v>0</v>
      </c>
      <c r="I48" s="1100"/>
      <c r="J48" s="557"/>
      <c r="K48" s="557"/>
      <c r="L48" s="557"/>
    </row>
    <row r="49" spans="1:12" s="54" customFormat="1" ht="15" customHeight="1" x14ac:dyDescent="0.2">
      <c r="A49" s="64"/>
      <c r="B49" s="65"/>
      <c r="C49" s="66"/>
      <c r="D49" s="1169"/>
      <c r="E49" s="66"/>
      <c r="F49" s="66"/>
      <c r="G49" s="66"/>
      <c r="H49" s="66"/>
      <c r="I49" s="66"/>
      <c r="J49" s="66"/>
      <c r="K49" s="66"/>
      <c r="L49" s="66"/>
    </row>
    <row r="50" spans="1:12" s="54" customFormat="1" ht="15" customHeight="1" x14ac:dyDescent="0.2">
      <c r="A50" s="64"/>
      <c r="B50" s="65"/>
      <c r="C50" s="66"/>
      <c r="D50" s="1169"/>
      <c r="E50" s="66"/>
      <c r="F50" s="66"/>
      <c r="G50" s="66"/>
      <c r="H50" s="66"/>
      <c r="I50" s="66"/>
      <c r="J50" s="66"/>
      <c r="K50" s="66"/>
      <c r="L50" s="66"/>
    </row>
    <row r="51" spans="1:12" s="54" customFormat="1" ht="15" customHeight="1" thickBot="1" x14ac:dyDescent="0.25">
      <c r="A51" s="1912" t="s">
        <v>362</v>
      </c>
      <c r="B51" s="1912"/>
      <c r="C51" s="1912"/>
      <c r="D51" s="1912"/>
      <c r="E51" s="1912"/>
      <c r="F51" s="1912"/>
      <c r="G51" s="1912"/>
      <c r="H51" s="1912"/>
      <c r="I51" s="66"/>
      <c r="J51" s="66"/>
      <c r="K51" s="66"/>
      <c r="L51" s="66"/>
    </row>
    <row r="52" spans="1:12" s="554" customFormat="1" ht="55.5" customHeight="1" thickBot="1" x14ac:dyDescent="0.25">
      <c r="A52" s="641"/>
      <c r="B52" s="642" t="s">
        <v>38</v>
      </c>
      <c r="C52" s="21" t="str">
        <f t="shared" ref="C52:L52" si="1">C7</f>
        <v>2023. évi eredeti előirányzat
2/2023. (II.14.)</v>
      </c>
      <c r="D52" s="1176" t="str">
        <f t="shared" si="1"/>
        <v>Módosított előirányzat a 14/2023.  (VI.29.)  rendelet szerint</v>
      </c>
      <c r="E52" s="21" t="str">
        <f t="shared" si="1"/>
        <v>Módosított előirányzat a 18/2023. (IX.26.)  rendelet szerint</v>
      </c>
      <c r="F52" s="1322" t="str">
        <f t="shared" si="1"/>
        <v>Módosított előirányzat 2023.09.30-án</v>
      </c>
      <c r="G52" s="555" t="str">
        <f t="shared" si="1"/>
        <v>Módosított előirányzat a …../2023. (II…..)  rendelet szerint</v>
      </c>
      <c r="H52" s="32" t="str">
        <f t="shared" si="1"/>
        <v>Változás a 14/2023. (VI.29.) rendelethez képest</v>
      </c>
      <c r="I52" s="21" t="str">
        <f t="shared" si="1"/>
        <v>2023. évi teljesítés              2023.06.30-ig</v>
      </c>
      <c r="J52" s="21" t="str">
        <f t="shared" si="1"/>
        <v>2023. évi teljesítés              2023.09.30-ig</v>
      </c>
      <c r="K52" s="21" t="str">
        <f t="shared" si="1"/>
        <v>2023. évi teljesítés              2023.12.31-ig</v>
      </c>
      <c r="L52" s="21" t="str">
        <f t="shared" si="1"/>
        <v>Teljesítés %-a</v>
      </c>
    </row>
    <row r="53" spans="1:12" s="31" customFormat="1" ht="12.2" customHeight="1" thickBot="1" x14ac:dyDescent="0.25">
      <c r="A53" s="55" t="s">
        <v>12</v>
      </c>
      <c r="B53" s="56" t="s">
        <v>547</v>
      </c>
      <c r="C53" s="89">
        <f>SUM(C54:C59)-C55</f>
        <v>0</v>
      </c>
      <c r="D53" s="1154">
        <f>SUM(D54:D59)-D55</f>
        <v>0</v>
      </c>
      <c r="E53" s="582"/>
      <c r="F53" s="582"/>
      <c r="G53" s="582"/>
      <c r="H53" s="48">
        <f t="shared" ref="H53:H70" si="2">D53-C53</f>
        <v>0</v>
      </c>
      <c r="I53" s="48"/>
      <c r="J53" s="48"/>
      <c r="K53" s="48"/>
      <c r="L53" s="48"/>
    </row>
    <row r="54" spans="1:12" ht="12.2" customHeight="1" x14ac:dyDescent="0.2">
      <c r="A54" s="329" t="s">
        <v>91</v>
      </c>
      <c r="B54" s="17" t="s">
        <v>68</v>
      </c>
      <c r="C54" s="122"/>
      <c r="D54" s="1160"/>
      <c r="E54" s="1160"/>
      <c r="F54" s="586"/>
      <c r="G54" s="586"/>
      <c r="H54" s="33">
        <f t="shared" si="2"/>
        <v>0</v>
      </c>
      <c r="I54" s="33"/>
      <c r="J54" s="33"/>
      <c r="K54" s="33"/>
      <c r="L54" s="33"/>
    </row>
    <row r="55" spans="1:12" ht="12.2" customHeight="1" x14ac:dyDescent="0.2">
      <c r="A55" s="329" t="s">
        <v>305</v>
      </c>
      <c r="B55" s="335" t="s">
        <v>270</v>
      </c>
      <c r="C55" s="122"/>
      <c r="D55" s="1160"/>
      <c r="E55" s="1160"/>
      <c r="F55" s="586"/>
      <c r="G55" s="586"/>
      <c r="H55" s="33">
        <f t="shared" si="2"/>
        <v>0</v>
      </c>
      <c r="I55" s="33"/>
      <c r="J55" s="33"/>
      <c r="K55" s="33"/>
      <c r="L55" s="33"/>
    </row>
    <row r="56" spans="1:12" ht="12.2" customHeight="1" x14ac:dyDescent="0.2">
      <c r="A56" s="329" t="s">
        <v>92</v>
      </c>
      <c r="B56" s="330" t="s">
        <v>87</v>
      </c>
      <c r="C56" s="339"/>
      <c r="D56" s="1166"/>
      <c r="E56" s="1166"/>
      <c r="F56" s="107"/>
      <c r="G56" s="107"/>
      <c r="H56" s="324">
        <f t="shared" si="2"/>
        <v>0</v>
      </c>
      <c r="I56" s="324"/>
      <c r="J56" s="324"/>
      <c r="K56" s="324"/>
      <c r="L56" s="324"/>
    </row>
    <row r="57" spans="1:12" ht="12.2" customHeight="1" x14ac:dyDescent="0.2">
      <c r="A57" s="329" t="s">
        <v>93</v>
      </c>
      <c r="B57" s="330" t="s">
        <v>69</v>
      </c>
      <c r="C57" s="339"/>
      <c r="D57" s="1166"/>
      <c r="E57" s="1166"/>
      <c r="F57" s="107"/>
      <c r="G57" s="107"/>
      <c r="H57" s="324">
        <f t="shared" si="2"/>
        <v>0</v>
      </c>
      <c r="I57" s="324"/>
      <c r="J57" s="324"/>
      <c r="K57" s="324"/>
      <c r="L57" s="324"/>
    </row>
    <row r="58" spans="1:12" ht="12.2" customHeight="1" x14ac:dyDescent="0.2">
      <c r="A58" s="329" t="s">
        <v>90</v>
      </c>
      <c r="B58" s="330" t="s">
        <v>80</v>
      </c>
      <c r="C58" s="339"/>
      <c r="D58" s="1166"/>
      <c r="E58" s="1166"/>
      <c r="F58" s="107"/>
      <c r="G58" s="107"/>
      <c r="H58" s="324">
        <f t="shared" si="2"/>
        <v>0</v>
      </c>
      <c r="I58" s="324"/>
      <c r="J58" s="324"/>
      <c r="K58" s="324"/>
      <c r="L58" s="324"/>
    </row>
    <row r="59" spans="1:12" ht="12.2" customHeight="1" x14ac:dyDescent="0.2">
      <c r="A59" s="329" t="s">
        <v>147</v>
      </c>
      <c r="B59" s="330" t="s">
        <v>88</v>
      </c>
      <c r="C59" s="339">
        <f>SUM(C60:C61)</f>
        <v>0</v>
      </c>
      <c r="D59" s="1166">
        <f>SUM(D60:D61)</f>
        <v>0</v>
      </c>
      <c r="E59" s="107"/>
      <c r="F59" s="107"/>
      <c r="G59" s="107"/>
      <c r="H59" s="324">
        <f t="shared" si="2"/>
        <v>0</v>
      </c>
      <c r="I59" s="324"/>
      <c r="J59" s="324"/>
      <c r="K59" s="324"/>
      <c r="L59" s="324"/>
    </row>
    <row r="60" spans="1:12" ht="12.2" customHeight="1" x14ac:dyDescent="0.2">
      <c r="A60" s="329" t="s">
        <v>306</v>
      </c>
      <c r="B60" s="521" t="s">
        <v>235</v>
      </c>
      <c r="C60" s="339"/>
      <c r="D60" s="1166"/>
      <c r="E60" s="107"/>
      <c r="F60" s="107"/>
      <c r="G60" s="107"/>
      <c r="H60" s="324">
        <f t="shared" si="2"/>
        <v>0</v>
      </c>
      <c r="I60" s="324"/>
      <c r="J60" s="324"/>
      <c r="K60" s="324"/>
      <c r="L60" s="324"/>
    </row>
    <row r="61" spans="1:12" ht="12.2" customHeight="1" thickBot="1" x14ac:dyDescent="0.25">
      <c r="A61" s="84" t="s">
        <v>307</v>
      </c>
      <c r="B61" s="85" t="s">
        <v>234</v>
      </c>
      <c r="C61" s="92"/>
      <c r="D61" s="1162"/>
      <c r="E61" s="593"/>
      <c r="F61" s="593"/>
      <c r="G61" s="593"/>
      <c r="H61" s="61">
        <f t="shared" si="2"/>
        <v>0</v>
      </c>
      <c r="I61" s="61"/>
      <c r="J61" s="61"/>
      <c r="K61" s="61"/>
      <c r="L61" s="61"/>
    </row>
    <row r="62" spans="1:12" ht="12.2" customHeight="1" thickBot="1" x14ac:dyDescent="0.25">
      <c r="A62" s="55" t="s">
        <v>13</v>
      </c>
      <c r="B62" s="56" t="s">
        <v>548</v>
      </c>
      <c r="C62" s="89">
        <f>SUM(C63:C67)</f>
        <v>0</v>
      </c>
      <c r="D62" s="1154">
        <f>SUM(D63:D67)</f>
        <v>0</v>
      </c>
      <c r="E62" s="582"/>
      <c r="F62" s="582"/>
      <c r="G62" s="582"/>
      <c r="H62" s="48">
        <f t="shared" si="2"/>
        <v>0</v>
      </c>
      <c r="I62" s="48"/>
      <c r="J62" s="48"/>
      <c r="K62" s="48"/>
      <c r="L62" s="48"/>
    </row>
    <row r="63" spans="1:12" s="31" customFormat="1" ht="12.2" customHeight="1" x14ac:dyDescent="0.2">
      <c r="A63" s="329" t="s">
        <v>94</v>
      </c>
      <c r="B63" s="17" t="s">
        <v>119</v>
      </c>
      <c r="C63" s="122"/>
      <c r="D63" s="1160"/>
      <c r="E63" s="586"/>
      <c r="F63" s="586"/>
      <c r="G63" s="586"/>
      <c r="H63" s="33">
        <f t="shared" si="2"/>
        <v>0</v>
      </c>
      <c r="I63" s="33"/>
      <c r="J63" s="33"/>
      <c r="K63" s="33"/>
      <c r="L63" s="33"/>
    </row>
    <row r="64" spans="1:12" s="31" customFormat="1" ht="12.2" customHeight="1" x14ac:dyDescent="0.2">
      <c r="A64" s="329" t="s">
        <v>316</v>
      </c>
      <c r="B64" s="522" t="s">
        <v>236</v>
      </c>
      <c r="C64" s="122"/>
      <c r="D64" s="1160"/>
      <c r="E64" s="586"/>
      <c r="F64" s="586"/>
      <c r="G64" s="586"/>
      <c r="H64" s="33">
        <f t="shared" si="2"/>
        <v>0</v>
      </c>
      <c r="I64" s="33"/>
      <c r="J64" s="33"/>
      <c r="K64" s="33"/>
      <c r="L64" s="33"/>
    </row>
    <row r="65" spans="1:12" ht="12.2" customHeight="1" x14ac:dyDescent="0.2">
      <c r="A65" s="329" t="s">
        <v>95</v>
      </c>
      <c r="B65" s="330" t="s">
        <v>2</v>
      </c>
      <c r="C65" s="339"/>
      <c r="D65" s="1166"/>
      <c r="E65" s="107"/>
      <c r="F65" s="107"/>
      <c r="G65" s="107"/>
      <c r="H65" s="324">
        <f t="shared" si="2"/>
        <v>0</v>
      </c>
      <c r="I65" s="324"/>
      <c r="J65" s="324"/>
      <c r="K65" s="324"/>
      <c r="L65" s="324"/>
    </row>
    <row r="66" spans="1:12" ht="12.2" customHeight="1" x14ac:dyDescent="0.2">
      <c r="A66" s="329" t="s">
        <v>342</v>
      </c>
      <c r="B66" s="523" t="s">
        <v>237</v>
      </c>
      <c r="C66" s="339"/>
      <c r="D66" s="1166"/>
      <c r="E66" s="107"/>
      <c r="F66" s="107"/>
      <c r="G66" s="107"/>
      <c r="H66" s="324">
        <f t="shared" si="2"/>
        <v>0</v>
      </c>
      <c r="I66" s="324"/>
      <c r="J66" s="324"/>
      <c r="K66" s="324"/>
      <c r="L66" s="324"/>
    </row>
    <row r="67" spans="1:12" ht="12.2" customHeight="1" x14ac:dyDescent="0.2">
      <c r="A67" s="329" t="s">
        <v>96</v>
      </c>
      <c r="B67" s="17" t="s">
        <v>175</v>
      </c>
      <c r="C67" s="339">
        <f>SUM(C68:C69)</f>
        <v>0</v>
      </c>
      <c r="D67" s="1166">
        <f>SUM(D68:D69)</f>
        <v>0</v>
      </c>
      <c r="E67" s="107"/>
      <c r="F67" s="107"/>
      <c r="G67" s="107"/>
      <c r="H67" s="324">
        <f t="shared" si="2"/>
        <v>0</v>
      </c>
      <c r="I67" s="324"/>
      <c r="J67" s="324"/>
      <c r="K67" s="324"/>
      <c r="L67" s="324"/>
    </row>
    <row r="68" spans="1:12" ht="12.2" customHeight="1" x14ac:dyDescent="0.2">
      <c r="A68" s="329" t="s">
        <v>317</v>
      </c>
      <c r="B68" s="521" t="s">
        <v>239</v>
      </c>
      <c r="C68" s="339"/>
      <c r="D68" s="1166"/>
      <c r="E68" s="107"/>
      <c r="F68" s="107"/>
      <c r="G68" s="107"/>
      <c r="H68" s="324">
        <f t="shared" si="2"/>
        <v>0</v>
      </c>
      <c r="I68" s="324"/>
      <c r="J68" s="324"/>
      <c r="K68" s="324"/>
      <c r="L68" s="324"/>
    </row>
    <row r="69" spans="1:12" ht="12.2" customHeight="1" thickBot="1" x14ac:dyDescent="0.25">
      <c r="A69" s="84" t="s">
        <v>318</v>
      </c>
      <c r="B69" s="85" t="s">
        <v>238</v>
      </c>
      <c r="C69" s="92"/>
      <c r="D69" s="1166"/>
      <c r="E69" s="107"/>
      <c r="F69" s="107"/>
      <c r="G69" s="107"/>
      <c r="H69" s="324">
        <f t="shared" si="2"/>
        <v>0</v>
      </c>
      <c r="I69" s="324"/>
      <c r="J69" s="324"/>
      <c r="K69" s="324"/>
      <c r="L69" s="324"/>
    </row>
    <row r="70" spans="1:12" ht="15" customHeight="1" thickBot="1" x14ac:dyDescent="0.25">
      <c r="A70" s="55" t="s">
        <v>14</v>
      </c>
      <c r="B70" s="67" t="s">
        <v>176</v>
      </c>
      <c r="C70" s="135">
        <f>+C53+C62</f>
        <v>0</v>
      </c>
      <c r="D70" s="1168">
        <f>+D53+D62</f>
        <v>0</v>
      </c>
      <c r="E70" s="592"/>
      <c r="F70" s="592"/>
      <c r="G70" s="592"/>
      <c r="H70" s="68">
        <f t="shared" si="2"/>
        <v>0</v>
      </c>
      <c r="I70" s="68"/>
      <c r="J70" s="68"/>
      <c r="K70" s="68"/>
      <c r="L70" s="68"/>
    </row>
    <row r="71" spans="1:12" ht="13.5" thickBot="1" x14ac:dyDescent="0.25">
      <c r="C71" s="27"/>
      <c r="D71" s="1171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69" t="s">
        <v>292</v>
      </c>
      <c r="B72" s="70"/>
      <c r="C72" s="136"/>
      <c r="D72" s="1172"/>
      <c r="E72" s="1172"/>
      <c r="F72" s="520"/>
      <c r="G72" s="520"/>
      <c r="H72" s="174"/>
      <c r="I72" s="174"/>
      <c r="J72" s="174"/>
      <c r="K72" s="174"/>
      <c r="L72" s="174"/>
    </row>
    <row r="73" spans="1:12" ht="14.25" hidden="1" customHeight="1" thickBot="1" x14ac:dyDescent="0.25">
      <c r="A73" s="69" t="s">
        <v>291</v>
      </c>
      <c r="B73" s="70"/>
      <c r="C73" s="608"/>
      <c r="D73" s="1173"/>
      <c r="E73" s="607"/>
      <c r="F73" s="607"/>
      <c r="G73" s="607"/>
      <c r="H73" s="609"/>
      <c r="I73" s="609"/>
      <c r="J73" s="609"/>
      <c r="K73" s="609"/>
      <c r="L73" s="609"/>
    </row>
    <row r="74" spans="1:12" x14ac:dyDescent="0.2">
      <c r="D74" s="1174"/>
      <c r="E74" s="163"/>
      <c r="F74" s="163"/>
      <c r="G74" s="163"/>
      <c r="H74" s="163" t="s">
        <v>734</v>
      </c>
      <c r="I74" s="163"/>
      <c r="J74" s="163"/>
      <c r="K74" s="163"/>
      <c r="L74" s="163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O74"/>
  <sheetViews>
    <sheetView view="pageBreakPreview" zoomScale="136" zoomScaleNormal="100" zoomScaleSheetLayoutView="136" workbookViewId="0">
      <selection activeCell="A2" sqref="A2:H2"/>
    </sheetView>
  </sheetViews>
  <sheetFormatPr defaultRowHeight="12.75" x14ac:dyDescent="0.2"/>
  <cols>
    <col min="1" max="1" width="12" style="1324" customWidth="1"/>
    <col min="2" max="2" width="57.83203125" style="25" customWidth="1"/>
    <col min="3" max="3" width="15.33203125" style="25" customWidth="1"/>
    <col min="4" max="4" width="16.83203125" style="1175" customWidth="1"/>
    <col min="5" max="5" width="17" style="25" customWidth="1"/>
    <col min="6" max="7" width="17" style="25" hidden="1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535" customFormat="1" ht="12.75" customHeight="1" x14ac:dyDescent="0.2">
      <c r="A1" s="1774" t="s">
        <v>811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746</v>
      </c>
      <c r="B2" s="1774"/>
      <c r="C2" s="1774"/>
      <c r="D2" s="1774"/>
      <c r="E2" s="1774"/>
      <c r="F2" s="1774"/>
      <c r="G2" s="1774"/>
      <c r="H2" s="1774"/>
    </row>
    <row r="3" spans="1:12" s="24" customFormat="1" ht="21.2" customHeight="1" thickBot="1" x14ac:dyDescent="0.25">
      <c r="A3" s="170"/>
      <c r="C3" s="1321"/>
      <c r="D3" s="1151"/>
      <c r="E3" s="1321"/>
      <c r="F3" s="1321"/>
      <c r="G3" s="1321"/>
      <c r="H3" s="1321"/>
      <c r="I3" s="1321"/>
      <c r="J3" s="1321"/>
      <c r="K3" s="1321"/>
      <c r="L3" s="1321"/>
    </row>
    <row r="4" spans="1:12" s="38" customFormat="1" ht="38.25" customHeight="1" x14ac:dyDescent="0.2">
      <c r="A4" s="36" t="s">
        <v>137</v>
      </c>
      <c r="B4" s="37" t="s">
        <v>8</v>
      </c>
      <c r="C4" s="1806" t="s">
        <v>181</v>
      </c>
      <c r="D4" s="1807"/>
      <c r="E4" s="1807"/>
      <c r="F4" s="1807"/>
      <c r="G4" s="1807"/>
      <c r="H4" s="1808"/>
    </row>
    <row r="5" spans="1:12" s="38" customFormat="1" ht="36.75" thickBot="1" x14ac:dyDescent="0.25">
      <c r="A5" s="39" t="s">
        <v>139</v>
      </c>
      <c r="B5" s="40" t="s">
        <v>402</v>
      </c>
      <c r="C5" s="1929" t="s">
        <v>141</v>
      </c>
      <c r="D5" s="1930"/>
      <c r="E5" s="1930"/>
      <c r="F5" s="1930"/>
      <c r="G5" s="1930"/>
      <c r="H5" s="1931"/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2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152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153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0</v>
      </c>
      <c r="D10" s="1154">
        <f t="shared" ref="D10:L10" si="0">SUM(D11:D21)</f>
        <v>0</v>
      </c>
      <c r="E10" s="582">
        <f t="shared" si="0"/>
        <v>0</v>
      </c>
      <c r="F10" s="582">
        <f t="shared" si="0"/>
        <v>33797627</v>
      </c>
      <c r="G10" s="582">
        <f t="shared" si="0"/>
        <v>0</v>
      </c>
      <c r="H10" s="595">
        <f>SUM(H11:H21)</f>
        <v>0</v>
      </c>
      <c r="I10" s="1085">
        <f t="shared" si="0"/>
        <v>0</v>
      </c>
      <c r="J10" s="595">
        <f t="shared" si="0"/>
        <v>40305520</v>
      </c>
      <c r="K10" s="595">
        <f t="shared" si="0"/>
        <v>0</v>
      </c>
      <c r="L10" s="595" t="e">
        <f t="shared" si="0"/>
        <v>#VALUE!</v>
      </c>
    </row>
    <row r="11" spans="1:12" s="26" customFormat="1" ht="12.2" customHeight="1" x14ac:dyDescent="0.2">
      <c r="A11" s="49" t="s">
        <v>91</v>
      </c>
      <c r="B11" s="50" t="s">
        <v>143</v>
      </c>
      <c r="C11" s="128">
        <f>'11.Rendelő'!C11-'34._Rendelő_önként'!C11</f>
        <v>0</v>
      </c>
      <c r="D11" s="1155">
        <f>'11.Rendelő'!D11-'34._Rendelő_önként'!D11</f>
        <v>0</v>
      </c>
      <c r="E11" s="583">
        <f>'11.Rendelő'!E11-'34._Rendelő_önként'!E11</f>
        <v>0</v>
      </c>
      <c r="F11" s="583">
        <f>'11.Rendelő'!F11-'34._Rendelő_önként'!F11</f>
        <v>0</v>
      </c>
      <c r="G11" s="583">
        <f>'11.Rendelő'!G11-'34._Rendelő_önként'!G11</f>
        <v>0</v>
      </c>
      <c r="H11" s="540">
        <f>'11.Rendelő'!H11-'34._Rendelő_önként'!H11</f>
        <v>0</v>
      </c>
      <c r="I11" s="1086">
        <f>'11.Rendelő'!I11-'34._Rendelő_önként'!I11</f>
        <v>0</v>
      </c>
      <c r="J11" s="540">
        <f>'11.Rendelő'!J11-'34._Rendelő_önként'!J11</f>
        <v>0</v>
      </c>
      <c r="K11" s="540">
        <f>'11.Rendelő'!K11-'34._Rendelő_önként'!K11</f>
        <v>0</v>
      </c>
      <c r="L11" s="540" t="e">
        <f>'11.Rendelő'!L11-'34._Rendelő_önként'!L11</f>
        <v>#VALUE!</v>
      </c>
    </row>
    <row r="12" spans="1:12" s="26" customFormat="1" ht="12.2" customHeight="1" x14ac:dyDescent="0.2">
      <c r="A12" s="1037" t="s">
        <v>92</v>
      </c>
      <c r="B12" s="330" t="s">
        <v>144</v>
      </c>
      <c r="C12" s="331">
        <f>'11.Rendelő'!C12-'34._Rendelő_önként'!C12</f>
        <v>0</v>
      </c>
      <c r="D12" s="1156">
        <f>'11.Rendelő'!D12-'34._Rendelő_önként'!D12</f>
        <v>0</v>
      </c>
      <c r="E12" s="88">
        <f>'11.Rendelő'!E12-'34._Rendelő_önként'!E12</f>
        <v>0</v>
      </c>
      <c r="F12" s="88">
        <f>'11.Rendelő'!F12-'34._Rendelő_önként'!F12</f>
        <v>32729783</v>
      </c>
      <c r="G12" s="88">
        <f>'11.Rendelő'!G12-'34._Rendelő_önként'!G12</f>
        <v>0</v>
      </c>
      <c r="H12" s="541">
        <f>'11.Rendelő'!H12-'34._Rendelő_önként'!H12</f>
        <v>0</v>
      </c>
      <c r="I12" s="1087">
        <f>'11.Rendelő'!I12-'34._Rendelő_önként'!I12</f>
        <v>0</v>
      </c>
      <c r="J12" s="541">
        <f>'11.Rendelő'!J12-'34._Rendelő_önként'!J12</f>
        <v>39132139</v>
      </c>
      <c r="K12" s="541">
        <f>'11.Rendelő'!K12-'34._Rendelő_önként'!K12</f>
        <v>0</v>
      </c>
      <c r="L12" s="541">
        <f>'11.Rendelő'!L12-'34._Rendelő_önként'!L12</f>
        <v>119.56125404192261</v>
      </c>
    </row>
    <row r="13" spans="1:12" s="26" customFormat="1" ht="12.2" customHeight="1" x14ac:dyDescent="0.2">
      <c r="A13" s="1037" t="s">
        <v>93</v>
      </c>
      <c r="B13" s="330" t="s">
        <v>145</v>
      </c>
      <c r="C13" s="331">
        <f>'11.Rendelő'!C13-'34._Rendelő_önként'!C13</f>
        <v>0</v>
      </c>
      <c r="D13" s="1156">
        <f>'11.Rendelő'!D13-'34._Rendelő_önként'!D13</f>
        <v>0</v>
      </c>
      <c r="E13" s="88">
        <f>'11.Rendelő'!E13-'34._Rendelő_önként'!E13</f>
        <v>0</v>
      </c>
      <c r="F13" s="88">
        <f>'11.Rendelő'!F13-'34._Rendelő_önként'!F13</f>
        <v>58164</v>
      </c>
      <c r="G13" s="88">
        <f>'11.Rendelő'!G13-'34._Rendelő_önként'!G13</f>
        <v>0</v>
      </c>
      <c r="H13" s="541">
        <f>'11.Rendelő'!H13-'34._Rendelő_önként'!H13</f>
        <v>0</v>
      </c>
      <c r="I13" s="1087">
        <f>'11.Rendelő'!I13-'34._Rendelő_önként'!I13</f>
        <v>0</v>
      </c>
      <c r="J13" s="541">
        <f>'11.Rendelő'!J13-'34._Rendelő_önként'!J13</f>
        <v>38880</v>
      </c>
      <c r="K13" s="541">
        <f>'11.Rendelő'!K13-'34._Rendelő_önként'!K13</f>
        <v>0</v>
      </c>
      <c r="L13" s="541">
        <f>'11.Rendelő'!L13-'34._Rendelő_önként'!L13</f>
        <v>66.845471425624098</v>
      </c>
    </row>
    <row r="14" spans="1:12" s="26" customFormat="1" ht="12.2" customHeight="1" x14ac:dyDescent="0.2">
      <c r="A14" s="1037" t="s">
        <v>90</v>
      </c>
      <c r="B14" s="330" t="s">
        <v>146</v>
      </c>
      <c r="C14" s="331">
        <f>'11.Rendelő'!C14-'34._Rendelő_önként'!C14</f>
        <v>0</v>
      </c>
      <c r="D14" s="1156">
        <f>'11.Rendelő'!D14-'34._Rendelő_önként'!D14</f>
        <v>0</v>
      </c>
      <c r="E14" s="88">
        <f>'11.Rendelő'!E14-'34._Rendelő_önként'!E14</f>
        <v>0</v>
      </c>
      <c r="F14" s="88">
        <f>'11.Rendelő'!F14-'34._Rendelő_önként'!F14</f>
        <v>0</v>
      </c>
      <c r="G14" s="88">
        <f>'11.Rendelő'!G14-'34._Rendelő_önként'!G14</f>
        <v>0</v>
      </c>
      <c r="H14" s="541">
        <f>'11.Rendelő'!H14-'34._Rendelő_önként'!H14</f>
        <v>0</v>
      </c>
      <c r="I14" s="1087">
        <f>'11.Rendelő'!I14-'34._Rendelő_önként'!I14</f>
        <v>0</v>
      </c>
      <c r="J14" s="541">
        <f>'11.Rendelő'!J14-'34._Rendelő_önként'!J14</f>
        <v>0</v>
      </c>
      <c r="K14" s="541">
        <f>'11.Rendelő'!K14-'34._Rendelő_önként'!K14</f>
        <v>0</v>
      </c>
      <c r="L14" s="541" t="e">
        <f>'11.Rendelő'!L14-'34._Rendelő_önként'!L14</f>
        <v>#VALUE!</v>
      </c>
    </row>
    <row r="15" spans="1:12" s="26" customFormat="1" ht="12.2" customHeight="1" x14ac:dyDescent="0.2">
      <c r="A15" s="1037" t="s">
        <v>147</v>
      </c>
      <c r="B15" s="330" t="s">
        <v>148</v>
      </c>
      <c r="C15" s="331">
        <f>'11.Rendelő'!C15-'34._Rendelő_önként'!C15</f>
        <v>0</v>
      </c>
      <c r="D15" s="1156">
        <f>'11.Rendelő'!D15-'34._Rendelő_önként'!D15</f>
        <v>0</v>
      </c>
      <c r="E15" s="88">
        <f>'11.Rendelő'!E15-'34._Rendelő_önként'!E15</f>
        <v>0</v>
      </c>
      <c r="F15" s="88">
        <f>'11.Rendelő'!F15-'34._Rendelő_önként'!F15</f>
        <v>0</v>
      </c>
      <c r="G15" s="88">
        <f>'11.Rendelő'!G15-'34._Rendelő_önként'!G15</f>
        <v>0</v>
      </c>
      <c r="H15" s="541">
        <f>'11.Rendelő'!H15-'34._Rendelő_önként'!H15</f>
        <v>0</v>
      </c>
      <c r="I15" s="1087">
        <f>'11.Rendelő'!I15-'34._Rendelő_önként'!I15</f>
        <v>0</v>
      </c>
      <c r="J15" s="541">
        <f>'11.Rendelő'!J15-'34._Rendelő_önként'!J15</f>
        <v>0</v>
      </c>
      <c r="K15" s="541">
        <f>'11.Rendelő'!K15-'34._Rendelő_önként'!K15</f>
        <v>0</v>
      </c>
      <c r="L15" s="541" t="e">
        <f>'11.Rendelő'!L15-'34._Rendelő_önként'!L15</f>
        <v>#VALUE!</v>
      </c>
    </row>
    <row r="16" spans="1:12" s="26" customFormat="1" ht="12.2" customHeight="1" x14ac:dyDescent="0.2">
      <c r="A16" s="1037" t="s">
        <v>149</v>
      </c>
      <c r="B16" s="330" t="s">
        <v>150</v>
      </c>
      <c r="C16" s="331">
        <f>'11.Rendelő'!C16-'34._Rendelő_önként'!C16</f>
        <v>0</v>
      </c>
      <c r="D16" s="1156">
        <f>'11.Rendelő'!D16-'34._Rendelő_önként'!D16</f>
        <v>0</v>
      </c>
      <c r="E16" s="88">
        <f>'11.Rendelő'!E16-'34._Rendelő_önként'!E16</f>
        <v>0</v>
      </c>
      <c r="F16" s="88">
        <f>'11.Rendelő'!F16-'34._Rendelő_önként'!F16</f>
        <v>1009680</v>
      </c>
      <c r="G16" s="88">
        <f>'11.Rendelő'!G16-'34._Rendelő_önként'!G16</f>
        <v>0</v>
      </c>
      <c r="H16" s="541">
        <f>'11.Rendelő'!H16-'34._Rendelő_önként'!H16</f>
        <v>0</v>
      </c>
      <c r="I16" s="1087">
        <f>'11.Rendelő'!I16-'34._Rendelő_önként'!I16</f>
        <v>0</v>
      </c>
      <c r="J16" s="541">
        <f>'11.Rendelő'!J16-'34._Rendelő_önként'!J16</f>
        <v>1134433</v>
      </c>
      <c r="K16" s="541">
        <f>'11.Rendelő'!K16-'34._Rendelő_önként'!K16</f>
        <v>0</v>
      </c>
      <c r="L16" s="541">
        <f>'11.Rendelő'!L16-'34._Rendelő_önként'!L16</f>
        <v>112.35569685444892</v>
      </c>
    </row>
    <row r="17" spans="1:12" s="26" customFormat="1" ht="12.2" customHeight="1" x14ac:dyDescent="0.2">
      <c r="A17" s="1037" t="s">
        <v>151</v>
      </c>
      <c r="B17" s="52" t="s">
        <v>152</v>
      </c>
      <c r="C17" s="331">
        <f>'11.Rendelő'!C17-'34._Rendelő_önként'!C17</f>
        <v>0</v>
      </c>
      <c r="D17" s="1156">
        <f>'11.Rendelő'!D17-'34._Rendelő_önként'!D17</f>
        <v>0</v>
      </c>
      <c r="E17" s="88">
        <f>'11.Rendelő'!E17-'34._Rendelő_önként'!E17</f>
        <v>0</v>
      </c>
      <c r="F17" s="88">
        <f>'11.Rendelő'!F17-'34._Rendelő_önként'!F17</f>
        <v>0</v>
      </c>
      <c r="G17" s="88">
        <f>'11.Rendelő'!G17-'34._Rendelő_önként'!G17</f>
        <v>0</v>
      </c>
      <c r="H17" s="541">
        <f>'11.Rendelő'!H17-'34._Rendelő_önként'!H17</f>
        <v>0</v>
      </c>
      <c r="I17" s="1087">
        <f>'11.Rendelő'!I17-'34._Rendelő_önként'!I17</f>
        <v>0</v>
      </c>
      <c r="J17" s="541">
        <f>'11.Rendelő'!J17-'34._Rendelő_önként'!J17</f>
        <v>0</v>
      </c>
      <c r="K17" s="541">
        <f>'11.Rendelő'!K17-'34._Rendelő_önként'!K17</f>
        <v>0</v>
      </c>
      <c r="L17" s="541" t="e">
        <f>'11.Rendelő'!L17-'34._Rendelő_önként'!L17</f>
        <v>#VALUE!</v>
      </c>
    </row>
    <row r="18" spans="1:12" s="26" customFormat="1" ht="12.2" customHeight="1" x14ac:dyDescent="0.2">
      <c r="A18" s="1037" t="s">
        <v>153</v>
      </c>
      <c r="B18" s="345" t="s">
        <v>302</v>
      </c>
      <c r="C18" s="121">
        <f>'11.Rendelő'!C18-'34._Rendelő_önként'!C18</f>
        <v>0</v>
      </c>
      <c r="D18" s="1157">
        <f>'11.Rendelő'!D18-'34._Rendelő_önként'!D18</f>
        <v>0</v>
      </c>
      <c r="E18" s="90">
        <f>'11.Rendelő'!E18-'34._Rendelő_önként'!E18</f>
        <v>0</v>
      </c>
      <c r="F18" s="90">
        <f>'11.Rendelő'!F18-'34._Rendelő_önként'!F18</f>
        <v>0</v>
      </c>
      <c r="G18" s="90">
        <f>'11.Rendelő'!G18-'34._Rendelő_önként'!G18</f>
        <v>0</v>
      </c>
      <c r="H18" s="542">
        <f>'11.Rendelő'!H18-'34._Rendelő_önként'!H18</f>
        <v>0</v>
      </c>
      <c r="I18" s="1088">
        <f>'11.Rendelő'!I18-'34._Rendelő_önként'!I18</f>
        <v>0</v>
      </c>
      <c r="J18" s="542">
        <f>'11.Rendelő'!J18-'34._Rendelő_önként'!J18</f>
        <v>68</v>
      </c>
      <c r="K18" s="542">
        <f>'11.Rendelő'!K18-'34._Rendelő_önként'!K18</f>
        <v>0</v>
      </c>
      <c r="L18" s="542" t="e">
        <f>'11.Rendelő'!L18-'34._Rendelő_önként'!L18</f>
        <v>#VALUE!</v>
      </c>
    </row>
    <row r="19" spans="1:12" s="54" customFormat="1" ht="12.2" customHeight="1" x14ac:dyDescent="0.2">
      <c r="A19" s="1037" t="s">
        <v>154</v>
      </c>
      <c r="B19" s="330" t="s">
        <v>155</v>
      </c>
      <c r="C19" s="331">
        <f>'11.Rendelő'!C19-'34._Rendelő_önként'!C19</f>
        <v>0</v>
      </c>
      <c r="D19" s="1156">
        <f>'11.Rendelő'!D19-'34._Rendelő_önként'!D19</f>
        <v>0</v>
      </c>
      <c r="E19" s="88">
        <f>'11.Rendelő'!E19-'34._Rendelő_önként'!E19</f>
        <v>0</v>
      </c>
      <c r="F19" s="88">
        <f>'11.Rendelő'!F19-'34._Rendelő_önként'!F19</f>
        <v>0</v>
      </c>
      <c r="G19" s="88">
        <f>'11.Rendelő'!G19-'34._Rendelő_önként'!G19</f>
        <v>0</v>
      </c>
      <c r="H19" s="541">
        <f>'11.Rendelő'!H19-'34._Rendelő_önként'!H19</f>
        <v>0</v>
      </c>
      <c r="I19" s="1087">
        <f>'11.Rendelő'!I19-'34._Rendelő_önként'!I19</f>
        <v>0</v>
      </c>
      <c r="J19" s="541">
        <f>'11.Rendelő'!J19-'34._Rendelő_önként'!J19</f>
        <v>0</v>
      </c>
      <c r="K19" s="541">
        <f>'11.Rendelő'!K19-'34._Rendelő_önként'!K19</f>
        <v>0</v>
      </c>
      <c r="L19" s="541" t="e">
        <f>'11.Rendelő'!L19-'34._Rendelő_önként'!L19</f>
        <v>#VALUE!</v>
      </c>
    </row>
    <row r="20" spans="1:12" s="54" customFormat="1" ht="12.2" customHeight="1" x14ac:dyDescent="0.2">
      <c r="A20" s="1037" t="s">
        <v>156</v>
      </c>
      <c r="B20" s="345" t="s">
        <v>275</v>
      </c>
      <c r="C20" s="333">
        <f>'11.Rendelő'!C20-'34._Rendelő_önként'!C20</f>
        <v>0</v>
      </c>
      <c r="D20" s="1158">
        <f>'11.Rendelő'!D20-'34._Rendelő_önként'!D20</f>
        <v>0</v>
      </c>
      <c r="E20" s="88">
        <f>'11.Rendelő'!E20-'34._Rendelő_önként'!E20</f>
        <v>0</v>
      </c>
      <c r="F20" s="88">
        <f>'11.Rendelő'!F20-'34._Rendelő_önként'!F20</f>
        <v>0</v>
      </c>
      <c r="G20" s="331">
        <f>'11.Rendelő'!G20-'34._Rendelő_önként'!G20</f>
        <v>0</v>
      </c>
      <c r="H20" s="543">
        <f>'11.Rendelő'!H20-'34._Rendelő_önként'!H20</f>
        <v>0</v>
      </c>
      <c r="I20" s="1089">
        <f>'11.Rendelő'!I20-'34._Rendelő_önként'!I20</f>
        <v>0</v>
      </c>
      <c r="J20" s="543">
        <f>'11.Rendelő'!J20-'34._Rendelő_önként'!J20</f>
        <v>0</v>
      </c>
      <c r="K20" s="543">
        <f>'11.Rendelő'!K20-'34._Rendelő_önként'!K20</f>
        <v>0</v>
      </c>
      <c r="L20" s="543" t="e">
        <f>'11.Rendelő'!L20-'34._Rendelő_önként'!L20</f>
        <v>#VALUE!</v>
      </c>
    </row>
    <row r="21" spans="1:12" s="54" customFormat="1" ht="12.2" customHeight="1" thickBot="1" x14ac:dyDescent="0.25">
      <c r="A21" s="1037" t="s">
        <v>276</v>
      </c>
      <c r="B21" s="52" t="s">
        <v>157</v>
      </c>
      <c r="C21" s="333">
        <f>'11.Rendelő'!C21-'34._Rendelő_önként'!C21</f>
        <v>0</v>
      </c>
      <c r="D21" s="1158">
        <f>'11.Rendelő'!D21-'34._Rendelő_önként'!D21</f>
        <v>0</v>
      </c>
      <c r="E21" s="90">
        <f>'11.Rendelő'!E21-'34._Rendelő_önként'!E21</f>
        <v>0</v>
      </c>
      <c r="F21" s="90">
        <f>'11.Rendelő'!F21-'34._Rendelő_önként'!F21</f>
        <v>0</v>
      </c>
      <c r="G21" s="90">
        <f>'11.Rendelő'!G21-'34._Rendelő_önként'!G21</f>
        <v>0</v>
      </c>
      <c r="H21" s="544">
        <f>'11.Rendelő'!H21-'34._Rendelő_önként'!H21</f>
        <v>0</v>
      </c>
      <c r="I21" s="1090">
        <f>'11.Rendelő'!I21-'34._Rendelő_önként'!I21</f>
        <v>0</v>
      </c>
      <c r="J21" s="544">
        <f>'11.Rendelő'!J21-'34._Rendelő_önként'!J21</f>
        <v>0</v>
      </c>
      <c r="K21" s="544">
        <f>'11.Rendelő'!K21-'34._Rendelő_önként'!K21</f>
        <v>0</v>
      </c>
      <c r="L21" s="544" t="e">
        <f>'11.Rendelő'!L21-'34._Rendelő_önként'!L21</f>
        <v>#VALUE!</v>
      </c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SUM(C23:C25)</f>
        <v>80302251</v>
      </c>
      <c r="D22" s="1154">
        <f t="shared" ref="D22:L22" si="1">SUM(D23:D25)</f>
        <v>80302251</v>
      </c>
      <c r="E22" s="582">
        <f t="shared" si="1"/>
        <v>80965107</v>
      </c>
      <c r="F22" s="582">
        <f t="shared" si="1"/>
        <v>1169916770</v>
      </c>
      <c r="G22" s="582">
        <f t="shared" si="1"/>
        <v>0</v>
      </c>
      <c r="H22" s="48">
        <f t="shared" si="1"/>
        <v>662856</v>
      </c>
      <c r="I22" s="175">
        <f t="shared" si="1"/>
        <v>0</v>
      </c>
      <c r="J22" s="48">
        <f t="shared" si="1"/>
        <v>934434988</v>
      </c>
      <c r="K22" s="48">
        <f t="shared" si="1"/>
        <v>0</v>
      </c>
      <c r="L22" s="48" t="e">
        <f t="shared" si="1"/>
        <v>#VALUE!</v>
      </c>
    </row>
    <row r="23" spans="1:12" s="54" customFormat="1" ht="12.2" customHeight="1" x14ac:dyDescent="0.2">
      <c r="A23" s="1037" t="s">
        <v>94</v>
      </c>
      <c r="B23" s="17" t="s">
        <v>159</v>
      </c>
      <c r="C23" s="331">
        <f>'11.Rendelő'!C23-'34._Rendelő_önként'!C23</f>
        <v>0</v>
      </c>
      <c r="D23" s="1156">
        <f>'11.Rendelő'!D23-'34._Rendelő_önként'!D23</f>
        <v>0</v>
      </c>
      <c r="E23" s="584">
        <f>'11.Rendelő'!E23-'34._Rendelő_önként'!E23</f>
        <v>0</v>
      </c>
      <c r="F23" s="584">
        <f>'11.Rendelő'!F23-'34._Rendelő_önként'!F23</f>
        <v>0</v>
      </c>
      <c r="G23" s="584">
        <f>'11.Rendelő'!G23-'34._Rendelő_önként'!G23</f>
        <v>0</v>
      </c>
      <c r="H23" s="75">
        <f>'11.Rendelő'!H23-'34._Rendelő_önként'!H23</f>
        <v>0</v>
      </c>
      <c r="I23" s="637">
        <f>'11.Rendelő'!I23-'34._Rendelő_önként'!I23</f>
        <v>0</v>
      </c>
      <c r="J23" s="75">
        <f>'11.Rendelő'!J23-'34._Rendelő_önként'!J23</f>
        <v>0</v>
      </c>
      <c r="K23" s="75">
        <f>'11.Rendelő'!K23-'34._Rendelő_önként'!K23</f>
        <v>0</v>
      </c>
      <c r="L23" s="75" t="e">
        <f>'11.Rendelő'!L23-'34._Rendelő_önként'!L23</f>
        <v>#VALUE!</v>
      </c>
    </row>
    <row r="24" spans="1:12" s="54" customFormat="1" ht="12.2" customHeight="1" x14ac:dyDescent="0.2">
      <c r="A24" s="1037" t="s">
        <v>95</v>
      </c>
      <c r="B24" s="330" t="s">
        <v>160</v>
      </c>
      <c r="C24" s="331">
        <f>'11.Rendelő'!C24-'34._Rendelő_önként'!C24</f>
        <v>0</v>
      </c>
      <c r="D24" s="1156">
        <f>'11.Rendelő'!D24-'34._Rendelő_önként'!D24</f>
        <v>0</v>
      </c>
      <c r="E24" s="88">
        <f>'11.Rendelő'!E24-'34._Rendelő_önként'!E24</f>
        <v>0</v>
      </c>
      <c r="F24" s="88">
        <f>'11.Rendelő'!F24-'34._Rendelő_önként'!F24</f>
        <v>0</v>
      </c>
      <c r="G24" s="88">
        <f>'11.Rendelő'!G24-'34._Rendelő_önként'!G24</f>
        <v>0</v>
      </c>
      <c r="H24" s="541">
        <f>'11.Rendelő'!H24-'34._Rendelő_önként'!H24</f>
        <v>0</v>
      </c>
      <c r="I24" s="1087">
        <f>'11.Rendelő'!I24-'34._Rendelő_önként'!I24</f>
        <v>0</v>
      </c>
      <c r="J24" s="541">
        <f>'11.Rendelő'!J24-'34._Rendelő_önként'!J24</f>
        <v>0</v>
      </c>
      <c r="K24" s="541">
        <f>'11.Rendelő'!K24-'34._Rendelő_önként'!K24</f>
        <v>0</v>
      </c>
      <c r="L24" s="541" t="e">
        <f>'11.Rendelő'!L24-'34._Rendelő_önként'!L24</f>
        <v>#VALUE!</v>
      </c>
    </row>
    <row r="25" spans="1:12" s="54" customFormat="1" ht="12.2" customHeight="1" x14ac:dyDescent="0.2">
      <c r="A25" s="1037" t="s">
        <v>96</v>
      </c>
      <c r="B25" s="330" t="s">
        <v>161</v>
      </c>
      <c r="C25" s="331">
        <f>'11.Rendelő'!C25-'34._Rendelő_önként'!C25</f>
        <v>80302251</v>
      </c>
      <c r="D25" s="1156">
        <f>'11.Rendelő'!D25-'34._Rendelő_önként'!D25</f>
        <v>80302251</v>
      </c>
      <c r="E25" s="88">
        <f>'11.Rendelő'!E25-'34._Rendelő_önként'!E25</f>
        <v>80965107</v>
      </c>
      <c r="F25" s="88">
        <f>'11.Rendelő'!F25-'34._Rendelő_önként'!F25</f>
        <v>1169916770</v>
      </c>
      <c r="G25" s="88">
        <f>'11.Rendelő'!G25-'34._Rendelő_önként'!G25</f>
        <v>0</v>
      </c>
      <c r="H25" s="541">
        <f>'11.Rendelő'!H25-'34._Rendelő_önként'!H25</f>
        <v>662856</v>
      </c>
      <c r="I25" s="1087">
        <f>'11.Rendelő'!I25-'34._Rendelő_önként'!I25</f>
        <v>0</v>
      </c>
      <c r="J25" s="541">
        <f>'11.Rendelő'!J25-'34._Rendelő_önként'!J25</f>
        <v>934434988</v>
      </c>
      <c r="K25" s="541">
        <f>'11.Rendelő'!K25-'34._Rendelő_önként'!K25</f>
        <v>0</v>
      </c>
      <c r="L25" s="541">
        <f>'11.Rendelő'!L25-'34._Rendelő_önként'!L25</f>
        <v>79.871920119582526</v>
      </c>
    </row>
    <row r="26" spans="1:12" s="54" customFormat="1" ht="12.2" customHeight="1" thickBot="1" x14ac:dyDescent="0.25">
      <c r="A26" s="1037" t="s">
        <v>317</v>
      </c>
      <c r="B26" s="335" t="s">
        <v>233</v>
      </c>
      <c r="C26" s="331">
        <f>'11.Rendelő'!C26-'34._Rendelő_önként'!C26</f>
        <v>0</v>
      </c>
      <c r="D26" s="1156">
        <f>'11.Rendelő'!D26-'34._Rendelő_önként'!D26</f>
        <v>0</v>
      </c>
      <c r="E26" s="88">
        <f>'11.Rendelő'!E26-'34._Rendelő_önként'!E26</f>
        <v>0</v>
      </c>
      <c r="F26" s="88">
        <f>'11.Rendelő'!F26-'34._Rendelő_önként'!F26</f>
        <v>0</v>
      </c>
      <c r="G26" s="88">
        <f>'11.Rendelő'!G26-'34._Rendelő_önként'!G26</f>
        <v>0</v>
      </c>
      <c r="H26" s="545">
        <f>'11.Rendelő'!H26-'34._Rendelő_önként'!H26</f>
        <v>0</v>
      </c>
      <c r="I26" s="1091">
        <f>'11.Rendelő'!I26-'34._Rendelő_önként'!I26</f>
        <v>0</v>
      </c>
      <c r="J26" s="545">
        <f>'11.Rendelő'!J26-'34._Rendelő_önként'!J26</f>
        <v>0</v>
      </c>
      <c r="K26" s="545">
        <f>'11.Rendelő'!K26-'34._Rendelő_önként'!K26</f>
        <v>0</v>
      </c>
      <c r="L26" s="545" t="e">
        <f>'11.Rendelő'!L26-'34._Rendelő_önként'!L26</f>
        <v>#VALUE!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30">
        <f>'11.Rendelő'!C27-'34._Rendelő_önként'!C27</f>
        <v>0</v>
      </c>
      <c r="D27" s="1159">
        <f>'11.Rendelő'!D27-'34._Rendelő_önként'!D27</f>
        <v>0</v>
      </c>
      <c r="E27" s="585">
        <f>'11.Rendelő'!E27-'34._Rendelő_önként'!E27</f>
        <v>0</v>
      </c>
      <c r="F27" s="585">
        <f>'11.Rendelő'!F27-'34._Rendelő_önként'!F27</f>
        <v>0</v>
      </c>
      <c r="G27" s="585">
        <f>'11.Rendelő'!G27-'34._Rendelő_önként'!G27</f>
        <v>0</v>
      </c>
      <c r="H27" s="74">
        <f>'11.Rendelő'!H27-'34._Rendelő_önként'!H27</f>
        <v>0</v>
      </c>
      <c r="I27" s="638">
        <f>'11.Rendelő'!I27-'34._Rendelő_önként'!I27</f>
        <v>0</v>
      </c>
      <c r="J27" s="74">
        <f>'11.Rendelő'!J27-'34._Rendelő_önként'!J27</f>
        <v>0</v>
      </c>
      <c r="K27" s="74">
        <f>'11.Rendelő'!K27-'34._Rendelő_önként'!K27</f>
        <v>0</v>
      </c>
      <c r="L27" s="74" t="e">
        <f>'11.Rendelő'!L27-'34._Rendelő_önként'!L27</f>
        <v>#VALUE!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+C29+C30</f>
        <v>0</v>
      </c>
      <c r="D28" s="1154">
        <f t="shared" ref="D28:L28" si="2">+D29+D30</f>
        <v>0</v>
      </c>
      <c r="E28" s="582">
        <f t="shared" si="2"/>
        <v>0</v>
      </c>
      <c r="F28" s="582">
        <f t="shared" si="2"/>
        <v>0</v>
      </c>
      <c r="G28" s="582">
        <f t="shared" si="2"/>
        <v>0</v>
      </c>
      <c r="H28" s="74">
        <f t="shared" si="2"/>
        <v>0</v>
      </c>
      <c r="I28" s="638">
        <f t="shared" si="2"/>
        <v>0</v>
      </c>
      <c r="J28" s="74">
        <f t="shared" si="2"/>
        <v>0</v>
      </c>
      <c r="K28" s="74">
        <f t="shared" si="2"/>
        <v>0</v>
      </c>
      <c r="L28" s="74" t="e">
        <f t="shared" si="2"/>
        <v>#VALUE!</v>
      </c>
    </row>
    <row r="29" spans="1:12" s="54" customFormat="1" ht="12.2" customHeight="1" x14ac:dyDescent="0.2">
      <c r="A29" s="58" t="s">
        <v>100</v>
      </c>
      <c r="B29" s="59" t="s">
        <v>160</v>
      </c>
      <c r="C29" s="122">
        <f>'11.Rendelő'!C29-'34._Rendelő_önként'!C29</f>
        <v>0</v>
      </c>
      <c r="D29" s="1160">
        <f>'11.Rendelő'!D29-'34._Rendelő_önként'!D29</f>
        <v>0</v>
      </c>
      <c r="E29" s="586">
        <f>'11.Rendelő'!E29-'34._Rendelő_önként'!E29</f>
        <v>0</v>
      </c>
      <c r="F29" s="586">
        <f>'11.Rendelő'!F29-'34._Rendelő_önként'!F29</f>
        <v>0</v>
      </c>
      <c r="G29" s="586">
        <f>'11.Rendelő'!G29-'34._Rendelő_önként'!G29</f>
        <v>0</v>
      </c>
      <c r="H29" s="546">
        <f>'11.Rendelő'!H29-'34._Rendelő_önként'!H29</f>
        <v>0</v>
      </c>
      <c r="I29" s="1092">
        <f>'11.Rendelő'!I29-'34._Rendelő_önként'!I29</f>
        <v>0</v>
      </c>
      <c r="J29" s="546">
        <f>'11.Rendelő'!J29-'34._Rendelő_önként'!J29</f>
        <v>0</v>
      </c>
      <c r="K29" s="546">
        <f>'11.Rendelő'!K29-'34._Rendelő_önként'!K29</f>
        <v>0</v>
      </c>
      <c r="L29" s="546" t="e">
        <f>'11.Rendelő'!L29-'34._Rendelő_önként'!L29</f>
        <v>#VALUE!</v>
      </c>
    </row>
    <row r="30" spans="1:12" s="54" customFormat="1" ht="12.2" customHeight="1" x14ac:dyDescent="0.2">
      <c r="A30" s="58" t="s">
        <v>101</v>
      </c>
      <c r="B30" s="336" t="s">
        <v>163</v>
      </c>
      <c r="C30" s="120">
        <f>'11.Rendelő'!C30-'34._Rendelő_önként'!C30</f>
        <v>0</v>
      </c>
      <c r="D30" s="1161">
        <f>'11.Rendelő'!D30-'34._Rendelő_önként'!D30</f>
        <v>0</v>
      </c>
      <c r="E30" s="107">
        <f>'11.Rendelő'!E30-'34._Rendelő_önként'!E30</f>
        <v>0</v>
      </c>
      <c r="F30" s="107">
        <f>'11.Rendelő'!F30-'34._Rendelő_önként'!F30</f>
        <v>0</v>
      </c>
      <c r="G30" s="339">
        <f>'11.Rendelő'!G30-'34._Rendelő_önként'!G30</f>
        <v>0</v>
      </c>
      <c r="H30" s="534">
        <f>'11.Rendelő'!H30-'34._Rendelő_önként'!H30</f>
        <v>0</v>
      </c>
      <c r="I30" s="630">
        <f>'11.Rendelő'!I30-'34._Rendelő_önként'!I30</f>
        <v>0</v>
      </c>
      <c r="J30" s="534">
        <f>'11.Rendelő'!J30-'34._Rendelő_önként'!J30</f>
        <v>0</v>
      </c>
      <c r="K30" s="534">
        <f>'11.Rendelő'!K30-'34._Rendelő_önként'!K30</f>
        <v>0</v>
      </c>
      <c r="L30" s="534" t="e">
        <f>'11.Rendelő'!L30-'34._Rendelő_önként'!L30</f>
        <v>#VALUE!</v>
      </c>
    </row>
    <row r="31" spans="1:12" s="54" customFormat="1" ht="12.2" customHeight="1" thickBot="1" x14ac:dyDescent="0.25">
      <c r="A31" s="1037" t="s">
        <v>281</v>
      </c>
      <c r="B31" s="102" t="s">
        <v>165</v>
      </c>
      <c r="C31" s="92">
        <f>'11.Rendelő'!C31-'34._Rendelő_önként'!C31</f>
        <v>0</v>
      </c>
      <c r="D31" s="1162">
        <f>'11.Rendelő'!D31-'34._Rendelő_önként'!D31</f>
        <v>0</v>
      </c>
      <c r="E31" s="587">
        <f>'11.Rendelő'!E31-'34._Rendelő_önként'!E31</f>
        <v>0</v>
      </c>
      <c r="F31" s="587">
        <f>'11.Rendelő'!F31-'34._Rendelő_önként'!F31</f>
        <v>0</v>
      </c>
      <c r="G31" s="587">
        <f>'11.Rendelő'!G31-'34._Rendelő_önként'!G31</f>
        <v>0</v>
      </c>
      <c r="H31" s="547">
        <f>'11.Rendelő'!H31-'34._Rendelő_önként'!H31</f>
        <v>0</v>
      </c>
      <c r="I31" s="1093">
        <f>'11.Rendelő'!I31-'34._Rendelő_önként'!I31</f>
        <v>0</v>
      </c>
      <c r="J31" s="547">
        <f>'11.Rendelő'!J31-'34._Rendelő_önként'!J31</f>
        <v>0</v>
      </c>
      <c r="K31" s="547">
        <f>'11.Rendelő'!K31-'34._Rendelő_önként'!K31</f>
        <v>0</v>
      </c>
      <c r="L31" s="547" t="e">
        <f>'11.Rendelő'!L31-'34._Rendelő_önként'!L31</f>
        <v>#VALUE!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+C33+C34+C35</f>
        <v>0</v>
      </c>
      <c r="D32" s="1154">
        <f t="shared" ref="D32:L32" si="3">+D33+D34+D35</f>
        <v>0</v>
      </c>
      <c r="E32" s="582">
        <f t="shared" si="3"/>
        <v>0</v>
      </c>
      <c r="F32" s="582">
        <f t="shared" si="3"/>
        <v>0</v>
      </c>
      <c r="G32" s="582">
        <f t="shared" si="3"/>
        <v>0</v>
      </c>
      <c r="H32" s="74">
        <f t="shared" si="3"/>
        <v>0</v>
      </c>
      <c r="I32" s="638">
        <f t="shared" si="3"/>
        <v>0</v>
      </c>
      <c r="J32" s="74">
        <f t="shared" si="3"/>
        <v>0</v>
      </c>
      <c r="K32" s="74">
        <f t="shared" si="3"/>
        <v>0</v>
      </c>
      <c r="L32" s="74" t="e">
        <f t="shared" si="3"/>
        <v>#VALUE!</v>
      </c>
    </row>
    <row r="33" spans="1:12" s="54" customFormat="1" ht="12.2" customHeight="1" x14ac:dyDescent="0.2">
      <c r="A33" s="58" t="s">
        <v>89</v>
      </c>
      <c r="B33" s="59" t="s">
        <v>167</v>
      </c>
      <c r="C33" s="122">
        <f>'11.Rendelő'!C33-'34._Rendelő_önként'!C33</f>
        <v>0</v>
      </c>
      <c r="D33" s="1160">
        <f>'11.Rendelő'!D33-'34._Rendelő_önként'!D33</f>
        <v>0</v>
      </c>
      <c r="E33" s="586">
        <f>'11.Rendelő'!E33-'34._Rendelő_önként'!E33</f>
        <v>0</v>
      </c>
      <c r="F33" s="586">
        <f>'11.Rendelő'!F33-'34._Rendelő_önként'!F33</f>
        <v>0</v>
      </c>
      <c r="G33" s="586">
        <f>'11.Rendelő'!G33-'34._Rendelő_önként'!G33</f>
        <v>0</v>
      </c>
      <c r="H33" s="546">
        <f>'11.Rendelő'!H33-'34._Rendelő_önként'!H33</f>
        <v>0</v>
      </c>
      <c r="I33" s="1092">
        <f>'11.Rendelő'!I33-'34._Rendelő_önként'!I33</f>
        <v>0</v>
      </c>
      <c r="J33" s="546">
        <f>'11.Rendelő'!J33-'34._Rendelő_önként'!J33</f>
        <v>0</v>
      </c>
      <c r="K33" s="546">
        <f>'11.Rendelő'!K33-'34._Rendelő_önként'!K33</f>
        <v>0</v>
      </c>
      <c r="L33" s="546" t="e">
        <f>'11.Rendelő'!L33-'34._Rendelő_önként'!L33</f>
        <v>#VALUE!</v>
      </c>
    </row>
    <row r="34" spans="1:12" s="54" customFormat="1" ht="12.2" customHeight="1" x14ac:dyDescent="0.2">
      <c r="A34" s="58" t="s">
        <v>102</v>
      </c>
      <c r="B34" s="336" t="s">
        <v>168</v>
      </c>
      <c r="C34" s="120">
        <f>'11.Rendelő'!C34-'34._Rendelő_önként'!C34</f>
        <v>0</v>
      </c>
      <c r="D34" s="1161">
        <f>'11.Rendelő'!D34-'34._Rendelő_önként'!D34</f>
        <v>0</v>
      </c>
      <c r="E34" s="107">
        <f>'11.Rendelő'!E34-'34._Rendelő_önként'!E34</f>
        <v>0</v>
      </c>
      <c r="F34" s="107">
        <f>'11.Rendelő'!F34-'34._Rendelő_önként'!F34</f>
        <v>0</v>
      </c>
      <c r="G34" s="339">
        <f>'11.Rendelő'!G34-'34._Rendelő_önként'!G34</f>
        <v>0</v>
      </c>
      <c r="H34" s="534">
        <f>'11.Rendelő'!H34-'34._Rendelő_önként'!H34</f>
        <v>0</v>
      </c>
      <c r="I34" s="630">
        <f>'11.Rendelő'!I34-'34._Rendelő_önként'!I34</f>
        <v>0</v>
      </c>
      <c r="J34" s="534">
        <f>'11.Rendelő'!J34-'34._Rendelő_önként'!J34</f>
        <v>0</v>
      </c>
      <c r="K34" s="534">
        <f>'11.Rendelő'!K34-'34._Rendelő_önként'!K34</f>
        <v>0</v>
      </c>
      <c r="L34" s="534" t="e">
        <f>'11.Rendelő'!L34-'34._Rendelő_önként'!L34</f>
        <v>#VALUE!</v>
      </c>
    </row>
    <row r="35" spans="1:12" s="54" customFormat="1" ht="12.2" customHeight="1" thickBot="1" x14ac:dyDescent="0.25">
      <c r="A35" s="1037" t="s">
        <v>103</v>
      </c>
      <c r="B35" s="62" t="s">
        <v>169</v>
      </c>
      <c r="C35" s="92">
        <f>'11.Rendelő'!C35-'34._Rendelő_önként'!C35</f>
        <v>0</v>
      </c>
      <c r="D35" s="1162">
        <f>'11.Rendelő'!D35-'34._Rendelő_önként'!D35</f>
        <v>0</v>
      </c>
      <c r="E35" s="587">
        <f>'11.Rendelő'!E35-'34._Rendelő_önként'!E35</f>
        <v>0</v>
      </c>
      <c r="F35" s="587">
        <f>'11.Rendelő'!F35-'34._Rendelő_önként'!F35</f>
        <v>0</v>
      </c>
      <c r="G35" s="587">
        <f>'11.Rendelő'!G35-'34._Rendelő_önként'!G35</f>
        <v>0</v>
      </c>
      <c r="H35" s="548">
        <f>'11.Rendelő'!H35-'34._Rendelő_önként'!H35</f>
        <v>0</v>
      </c>
      <c r="I35" s="1094">
        <f>'11.Rendelő'!I35-'34._Rendelő_önként'!I35</f>
        <v>0</v>
      </c>
      <c r="J35" s="548">
        <f>'11.Rendelő'!J35-'34._Rendelő_önként'!J35</f>
        <v>0</v>
      </c>
      <c r="K35" s="548">
        <f>'11.Rendelő'!K35-'34._Rendelő_önként'!K35</f>
        <v>0</v>
      </c>
      <c r="L35" s="548" t="e">
        <f>'11.Rendelő'!L35-'34._Rendelő_önként'!L35</f>
        <v>#VALUE!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30">
        <f>'11.Rendelő'!C36-'34._Rendelő_önként'!C36</f>
        <v>0</v>
      </c>
      <c r="D36" s="1159">
        <f>'11.Rendelő'!D36-'34._Rendelő_önként'!D36</f>
        <v>0</v>
      </c>
      <c r="E36" s="1159">
        <f>'11.Rendelő'!E36-'34._Rendelő_önként'!E36</f>
        <v>0</v>
      </c>
      <c r="F36" s="1159">
        <f>'11.Rendelő'!F36-'34._Rendelő_önként'!F36</f>
        <v>-4441987</v>
      </c>
      <c r="G36" s="1159">
        <f>'11.Rendelő'!G36-'34._Rendelő_önként'!G36</f>
        <v>-4441987</v>
      </c>
      <c r="H36" s="74">
        <f>'11.Rendelő'!H36-'34._Rendelő_önként'!H36</f>
        <v>5018250</v>
      </c>
      <c r="I36" s="638">
        <f>'11.Rendelő'!I36-'34._Rendelő_önként'!I36</f>
        <v>576263</v>
      </c>
      <c r="J36" s="74">
        <f>'11.Rendelő'!J36-'34._Rendelő_önként'!J36</f>
        <v>576263</v>
      </c>
      <c r="K36" s="74">
        <f>'11.Rendelő'!K36-'34._Rendelő_önként'!K36</f>
        <v>0</v>
      </c>
      <c r="L36" s="74">
        <f>'11.Rendelő'!L36-'34._Rendelő_önként'!L36</f>
        <v>100</v>
      </c>
    </row>
    <row r="37" spans="1:12" s="26" customFormat="1" ht="12.2" customHeight="1" thickBot="1" x14ac:dyDescent="0.25">
      <c r="A37" s="1038" t="s">
        <v>104</v>
      </c>
      <c r="B37" s="337" t="s">
        <v>165</v>
      </c>
      <c r="C37" s="1032">
        <f>'11.Rendelő'!C37-'34._Rendelő_önként'!C37</f>
        <v>0</v>
      </c>
      <c r="D37" s="1288">
        <f>'11.Rendelő'!D37-'34._Rendelő_önként'!D37</f>
        <v>0</v>
      </c>
      <c r="E37" s="91">
        <f>'11.Rendelő'!E37-'34._Rendelő_önként'!E37</f>
        <v>0</v>
      </c>
      <c r="F37" s="91">
        <f>'11.Rendelő'!F37-'34._Rendelő_önként'!F37</f>
        <v>576263</v>
      </c>
      <c r="G37" s="91">
        <f>'11.Rendelő'!G37-'34._Rendelő_önként'!G37</f>
        <v>0</v>
      </c>
      <c r="H37" s="1117">
        <f>'11.Rendelő'!H37-'34._Rendelő_önként'!H37</f>
        <v>0</v>
      </c>
      <c r="I37" s="1095">
        <f>'11.Rendelő'!I37-'34._Rendelő_önként'!I37</f>
        <v>0</v>
      </c>
      <c r="J37" s="549">
        <f>'11.Rendelő'!J37-'34._Rendelő_önként'!J37</f>
        <v>576263</v>
      </c>
      <c r="K37" s="549">
        <f>'11.Rendelő'!K37-'34._Rendelő_önként'!K37</f>
        <v>0</v>
      </c>
      <c r="L37" s="549">
        <f>'11.Rendelő'!L37-'34._Rendelő_önként'!L37</f>
        <v>100</v>
      </c>
    </row>
    <row r="38" spans="1:12" s="26" customFormat="1" ht="12.2" customHeight="1" thickBot="1" x14ac:dyDescent="0.25">
      <c r="A38" s="55" t="s">
        <v>18</v>
      </c>
      <c r="B38" s="56" t="s">
        <v>555</v>
      </c>
      <c r="C38" s="130">
        <f>'11.Rendelő'!C38-'34._Rendelő_önként'!C38</f>
        <v>0</v>
      </c>
      <c r="D38" s="1159">
        <f>'11.Rendelő'!D38-'34._Rendelő_önként'!D38</f>
        <v>0</v>
      </c>
      <c r="E38" s="585">
        <f>'11.Rendelő'!E38-'34._Rendelő_önként'!E38</f>
        <v>0</v>
      </c>
      <c r="F38" s="585">
        <f>'11.Rendelő'!F38-'34._Rendelő_önként'!F38</f>
        <v>136399490</v>
      </c>
      <c r="G38" s="585">
        <f>'11.Rendelő'!G38-'34._Rendelő_önként'!G38</f>
        <v>0</v>
      </c>
      <c r="H38" s="74">
        <f>'11.Rendelő'!H38-'34._Rendelő_önként'!H38</f>
        <v>0</v>
      </c>
      <c r="I38" s="638">
        <f>'11.Rendelő'!I38-'34._Rendelő_önként'!I38</f>
        <v>0</v>
      </c>
      <c r="J38" s="74">
        <f>'11.Rendelő'!J38-'34._Rendelő_önként'!J38</f>
        <v>136399490</v>
      </c>
      <c r="K38" s="74">
        <f>'11.Rendelő'!K38-'34._Rendelő_önként'!K38</f>
        <v>0</v>
      </c>
      <c r="L38" s="74">
        <f>'11.Rendelő'!L38-'34._Rendelő_önként'!L38</f>
        <v>100</v>
      </c>
    </row>
    <row r="39" spans="1:12" s="26" customFormat="1" ht="12.2" customHeight="1" x14ac:dyDescent="0.2">
      <c r="A39" s="12" t="s">
        <v>107</v>
      </c>
      <c r="B39" s="95" t="s">
        <v>212</v>
      </c>
      <c r="C39" s="131">
        <f>'11.Rendelő'!C39-'34._Rendelő_önként'!C39</f>
        <v>0</v>
      </c>
      <c r="D39" s="1163">
        <f>'11.Rendelő'!D39-'34._Rendelő_önként'!D39</f>
        <v>0</v>
      </c>
      <c r="E39" s="589">
        <f>'11.Rendelő'!E39-'34._Rendelő_önként'!E39</f>
        <v>0</v>
      </c>
      <c r="F39" s="589">
        <f>'11.Rendelő'!F39-'34._Rendelő_önként'!F39</f>
        <v>0</v>
      </c>
      <c r="G39" s="589">
        <f>'11.Rendelő'!G39-'34._Rendelő_önként'!G39</f>
        <v>0</v>
      </c>
      <c r="H39" s="550">
        <f>'11.Rendelő'!H39-'34._Rendelő_önként'!H39</f>
        <v>0</v>
      </c>
      <c r="I39" s="1096">
        <f>'11.Rendelő'!I39-'34._Rendelő_önként'!I39</f>
        <v>0</v>
      </c>
      <c r="J39" s="550">
        <f>'11.Rendelő'!J39-'34._Rendelő_önként'!J39</f>
        <v>0</v>
      </c>
      <c r="K39" s="550">
        <f>'11.Rendelő'!K39-'34._Rendelő_önként'!K39</f>
        <v>0</v>
      </c>
      <c r="L39" s="550" t="e">
        <f>'11.Rendelő'!L39-'34._Rendelő_önként'!L39</f>
        <v>#VALUE!</v>
      </c>
    </row>
    <row r="40" spans="1:12" s="26" customFormat="1" ht="12.2" customHeight="1" x14ac:dyDescent="0.2">
      <c r="A40" s="1003" t="s">
        <v>108</v>
      </c>
      <c r="B40" s="346" t="s">
        <v>213</v>
      </c>
      <c r="C40" s="1033">
        <f>'11.Rendelő'!C40-'34._Rendelő_önként'!C40</f>
        <v>0</v>
      </c>
      <c r="D40" s="1289">
        <f>'11.Rendelő'!D40-'34._Rendelő_önként'!D40</f>
        <v>0</v>
      </c>
      <c r="E40" s="605">
        <f>'11.Rendelő'!E40-'34._Rendelő_önként'!E40</f>
        <v>0</v>
      </c>
      <c r="F40" s="590">
        <f>'11.Rendelő'!F40-'34._Rendelő_önként'!F40</f>
        <v>136399490</v>
      </c>
      <c r="G40" s="590">
        <f>'11.Rendelő'!G40-'34._Rendelő_önként'!G40</f>
        <v>0</v>
      </c>
      <c r="H40" s="551">
        <f>'11.Rendelő'!H40-'34._Rendelő_önként'!H40</f>
        <v>0</v>
      </c>
      <c r="I40" s="1097">
        <f>'11.Rendelő'!I40-'34._Rendelő_önként'!I40</f>
        <v>0</v>
      </c>
      <c r="J40" s="551">
        <f>'11.Rendelő'!J40-'34._Rendelő_önként'!J40</f>
        <v>136399490</v>
      </c>
      <c r="K40" s="551">
        <f>'11.Rendelő'!K40-'34._Rendelő_önként'!K40</f>
        <v>0</v>
      </c>
      <c r="L40" s="551">
        <f>'11.Rendelő'!L40-'34._Rendelő_önként'!L40</f>
        <v>100</v>
      </c>
    </row>
    <row r="41" spans="1:12" s="26" customFormat="1" ht="12.2" customHeight="1" thickBot="1" x14ac:dyDescent="0.25">
      <c r="A41" s="1003" t="s">
        <v>323</v>
      </c>
      <c r="B41" s="103" t="s">
        <v>165</v>
      </c>
      <c r="C41" s="92">
        <f>'11.Rendelő'!C41-'34._Rendelő_önként'!C41</f>
        <v>0</v>
      </c>
      <c r="D41" s="1162">
        <f>'11.Rendelő'!D41-'34._Rendelő_önként'!D41</f>
        <v>0</v>
      </c>
      <c r="E41" s="593">
        <f>'11.Rendelő'!E41-'34._Rendelő_önként'!E41</f>
        <v>0</v>
      </c>
      <c r="F41" s="591">
        <f>'11.Rendelő'!F41-'34._Rendelő_önként'!F41</f>
        <v>136399490</v>
      </c>
      <c r="G41" s="591">
        <f>'11.Rendelő'!G41-'34._Rendelő_önként'!G41</f>
        <v>0</v>
      </c>
      <c r="H41" s="552">
        <f>'11.Rendelő'!H41-'34._Rendelő_önként'!H41</f>
        <v>0</v>
      </c>
      <c r="I41" s="1098">
        <f>'11.Rendelő'!I41-'34._Rendelő_önként'!I41</f>
        <v>0</v>
      </c>
      <c r="J41" s="552">
        <f>'11.Rendelő'!J41-'34._Rendelő_önként'!J41</f>
        <v>136399490</v>
      </c>
      <c r="K41" s="552">
        <f>'11.Rendelő'!K41-'34._Rendelő_önként'!K41</f>
        <v>0</v>
      </c>
      <c r="L41" s="552">
        <f>'11.Rendelő'!L41-'34._Rendelő_önként'!L41</f>
        <v>100</v>
      </c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80302251</v>
      </c>
      <c r="D42" s="1154">
        <f t="shared" ref="D42:L42" si="4">+D10+D22+D27+D28+D32+D36+D38</f>
        <v>80302251</v>
      </c>
      <c r="E42" s="582">
        <f t="shared" si="4"/>
        <v>80965107</v>
      </c>
      <c r="F42" s="582">
        <f t="shared" si="4"/>
        <v>1335671900</v>
      </c>
      <c r="G42" s="582">
        <f t="shared" si="4"/>
        <v>-4441987</v>
      </c>
      <c r="H42" s="74">
        <f t="shared" si="4"/>
        <v>5681106</v>
      </c>
      <c r="I42" s="638">
        <f t="shared" si="4"/>
        <v>576263</v>
      </c>
      <c r="J42" s="74">
        <f t="shared" si="4"/>
        <v>1111716261</v>
      </c>
      <c r="K42" s="74">
        <f t="shared" si="4"/>
        <v>0</v>
      </c>
      <c r="L42" s="74" t="e">
        <f t="shared" si="4"/>
        <v>#VALUE!</v>
      </c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SUM(C44:C47)</f>
        <v>90296336</v>
      </c>
      <c r="D43" s="1154">
        <f t="shared" ref="D43:L43" si="5">SUM(D44:D47)</f>
        <v>128981159</v>
      </c>
      <c r="E43" s="582">
        <f t="shared" si="5"/>
        <v>145046192</v>
      </c>
      <c r="F43" s="582">
        <f t="shared" si="5"/>
        <v>736594510</v>
      </c>
      <c r="G43" s="582">
        <f t="shared" si="5"/>
        <v>4441987</v>
      </c>
      <c r="H43" s="74">
        <f t="shared" si="5"/>
        <v>16065033</v>
      </c>
      <c r="I43" s="638">
        <f t="shared" si="5"/>
        <v>173442282</v>
      </c>
      <c r="J43" s="74">
        <f t="shared" si="5"/>
        <v>513181245</v>
      </c>
      <c r="K43" s="74" t="e">
        <f t="shared" si="5"/>
        <v>#VALUE!</v>
      </c>
      <c r="L43" s="74">
        <f t="shared" si="5"/>
        <v>332.85301885372274</v>
      </c>
    </row>
    <row r="44" spans="1:12" s="26" customFormat="1" ht="12.2" customHeight="1" x14ac:dyDescent="0.2">
      <c r="A44" s="58" t="s">
        <v>171</v>
      </c>
      <c r="B44" s="59" t="s">
        <v>131</v>
      </c>
      <c r="C44" s="122">
        <f>'11.Rendelő'!C44-'34._Rendelő_önként'!C44</f>
        <v>0</v>
      </c>
      <c r="D44" s="1160">
        <f>'11.Rendelő'!D44-'34._Rendelő_önként'!D44</f>
        <v>1222502</v>
      </c>
      <c r="E44" s="586">
        <f>'11.Rendelő'!E44-'34._Rendelő_önként'!E44</f>
        <v>1222502</v>
      </c>
      <c r="F44" s="586">
        <f>'11.Rendelő'!F44-'34._Rendelő_önként'!F44</f>
        <v>234451958</v>
      </c>
      <c r="G44" s="586">
        <f>'11.Rendelő'!G44-'34._Rendelő_önként'!G44</f>
        <v>0</v>
      </c>
      <c r="H44" s="546">
        <f>'11.Rendelő'!H44-'34._Rendelő_önként'!H44</f>
        <v>0</v>
      </c>
      <c r="I44" s="1092">
        <f>'11.Rendelő'!I44-'34._Rendelő_önként'!I44</f>
        <v>0</v>
      </c>
      <c r="J44" s="546">
        <f>'11.Rendelő'!J44-'34._Rendelő_önként'!J44</f>
        <v>234451958</v>
      </c>
      <c r="K44" s="546">
        <f>'11.Rendelő'!K44-'34._Rendelő_önként'!K44</f>
        <v>0</v>
      </c>
      <c r="L44" s="546">
        <f>'11.Rendelő'!L44-'34._Rendelő_önként'!L44</f>
        <v>100</v>
      </c>
    </row>
    <row r="45" spans="1:12" s="26" customFormat="1" ht="12.2" customHeight="1" x14ac:dyDescent="0.2">
      <c r="A45" s="71" t="s">
        <v>172</v>
      </c>
      <c r="B45" s="59" t="s">
        <v>186</v>
      </c>
      <c r="C45" s="120">
        <f>'11.Rendelő'!C45-'34._Rendelő_önként'!C45</f>
        <v>0</v>
      </c>
      <c r="D45" s="1161">
        <f>'11.Rendelő'!D45-'34._Rendelő_önként'!D45</f>
        <v>0</v>
      </c>
      <c r="E45" s="91">
        <f>'11.Rendelő'!E45-'34._Rendelő_önként'!E45</f>
        <v>0</v>
      </c>
      <c r="F45" s="91">
        <f>'11.Rendelő'!F45-'34._Rendelő_önként'!F45</f>
        <v>297434</v>
      </c>
      <c r="G45" s="91">
        <f>'11.Rendelő'!G45-'34._Rendelő_önként'!G45</f>
        <v>0</v>
      </c>
      <c r="H45" s="553">
        <f>'11.Rendelő'!H45-'34._Rendelő_önként'!H45</f>
        <v>0</v>
      </c>
      <c r="I45" s="1099">
        <f>'11.Rendelő'!I45-'34._Rendelő_önként'!I45</f>
        <v>0</v>
      </c>
      <c r="J45" s="553">
        <f>'11.Rendelő'!J45-'34._Rendelő_önként'!J45</f>
        <v>297434</v>
      </c>
      <c r="K45" s="553">
        <f>'11.Rendelő'!K45-'34._Rendelő_önként'!K45</f>
        <v>0</v>
      </c>
      <c r="L45" s="553">
        <f>'11.Rendelő'!L45-'34._Rendelő_önként'!L45</f>
        <v>100</v>
      </c>
    </row>
    <row r="46" spans="1:12" s="26" customFormat="1" ht="12.2" customHeight="1" x14ac:dyDescent="0.2">
      <c r="A46" s="1037" t="s">
        <v>173</v>
      </c>
      <c r="B46" s="336" t="s">
        <v>177</v>
      </c>
      <c r="C46" s="339">
        <f>'11.Rendelő'!C46-'34._Rendelő_önként'!C46</f>
        <v>87796336</v>
      </c>
      <c r="D46" s="1166">
        <f>'11.Rendelő'!D46-'34._Rendelő_önként'!D46</f>
        <v>108429725</v>
      </c>
      <c r="E46" s="107">
        <f>'11.Rendelő'!E46-'34._Rendelő_önként'!E46</f>
        <v>115494758</v>
      </c>
      <c r="F46" s="107">
        <f>'11.Rendelő'!F46-'34._Rendelő_önként'!F46</f>
        <v>454745960</v>
      </c>
      <c r="G46" s="107">
        <f>'11.Rendelő'!G46-'34._Rendelő_önként'!G46</f>
        <v>4441987</v>
      </c>
      <c r="H46" s="534">
        <f>'11.Rendelő'!H46-'34._Rendelő_önként'!H46</f>
        <v>7065033</v>
      </c>
      <c r="I46" s="630">
        <f>'11.Rendelő'!I46-'34._Rendelő_önként'!I46</f>
        <v>-576263</v>
      </c>
      <c r="J46" s="534">
        <f>'11.Rendelő'!J46-'34._Rendelő_önként'!J46</f>
        <v>241110232</v>
      </c>
      <c r="K46" s="534" t="e">
        <f>'11.Rendelő'!K46-'34._Rendelő_önként'!K46</f>
        <v>#VALUE!</v>
      </c>
      <c r="L46" s="534">
        <f>'11.Rendelő'!L46-'34._Rendelő_önként'!L46</f>
        <v>53.612491878697</v>
      </c>
    </row>
    <row r="47" spans="1:12" s="54" customFormat="1" ht="12.2" customHeight="1" thickBot="1" x14ac:dyDescent="0.25">
      <c r="A47" s="58" t="s">
        <v>178</v>
      </c>
      <c r="B47" s="62" t="s">
        <v>179</v>
      </c>
      <c r="C47" s="1034">
        <f>'11.Rendelő'!C47-'34._Rendelő_önként'!C47</f>
        <v>2500000</v>
      </c>
      <c r="D47" s="1167">
        <f>'11.Rendelő'!D47-'34._Rendelő_önként'!D47</f>
        <v>19328932</v>
      </c>
      <c r="E47" s="587">
        <f>'11.Rendelő'!E47-'34._Rendelő_önként'!E47</f>
        <v>28328932</v>
      </c>
      <c r="F47" s="587">
        <f>'11.Rendelő'!F47-'34._Rendelő_önként'!F47</f>
        <v>47099158</v>
      </c>
      <c r="G47" s="587">
        <f>'11.Rendelő'!G47-'34._Rendelő_önként'!G47</f>
        <v>0</v>
      </c>
      <c r="H47" s="548">
        <f>'11.Rendelő'!H47-'34._Rendelő_önként'!H47</f>
        <v>9000000</v>
      </c>
      <c r="I47" s="1094">
        <f>'11.Rendelő'!I47-'34._Rendelő_önként'!I47</f>
        <v>174018545</v>
      </c>
      <c r="J47" s="548">
        <f>'11.Rendelő'!J47-'34._Rendelő_önként'!J47</f>
        <v>37321621</v>
      </c>
      <c r="K47" s="548">
        <f>'11.Rendelő'!K47-'34._Rendelő_önként'!K47</f>
        <v>94.680225555624205</v>
      </c>
      <c r="L47" s="548">
        <f>'11.Rendelő'!L47-'34._Rendelő_önként'!L47</f>
        <v>79.240526975025745</v>
      </c>
    </row>
    <row r="48" spans="1:12" s="54" customFormat="1" ht="15" customHeight="1" thickBot="1" x14ac:dyDescent="0.25">
      <c r="A48" s="63" t="s">
        <v>21</v>
      </c>
      <c r="B48" s="524" t="s">
        <v>174</v>
      </c>
      <c r="C48" s="135">
        <f>+C42+C43</f>
        <v>170598587</v>
      </c>
      <c r="D48" s="1168">
        <f t="shared" ref="D48:L48" si="6">+D42+D43</f>
        <v>209283410</v>
      </c>
      <c r="E48" s="592">
        <f t="shared" si="6"/>
        <v>226011299</v>
      </c>
      <c r="F48" s="592">
        <f t="shared" si="6"/>
        <v>2072266410</v>
      </c>
      <c r="G48" s="592">
        <f t="shared" si="6"/>
        <v>0</v>
      </c>
      <c r="H48" s="557">
        <f t="shared" si="6"/>
        <v>21746139</v>
      </c>
      <c r="I48" s="1100">
        <f t="shared" si="6"/>
        <v>174018545</v>
      </c>
      <c r="J48" s="557">
        <f t="shared" si="6"/>
        <v>1624897506</v>
      </c>
      <c r="K48" s="557" t="e">
        <f t="shared" si="6"/>
        <v>#VALUE!</v>
      </c>
      <c r="L48" s="557" t="e">
        <f t="shared" si="6"/>
        <v>#VALUE!</v>
      </c>
    </row>
    <row r="49" spans="1:15" s="54" customFormat="1" ht="15" customHeight="1" x14ac:dyDescent="0.2">
      <c r="A49" s="64"/>
      <c r="B49" s="65"/>
      <c r="C49" s="66"/>
      <c r="D49" s="1169"/>
      <c r="E49" s="66"/>
      <c r="F49" s="66"/>
      <c r="G49" s="66"/>
      <c r="H49" s="66"/>
      <c r="I49" s="66"/>
      <c r="J49" s="66"/>
      <c r="K49" s="66"/>
      <c r="L49" s="66"/>
    </row>
    <row r="50" spans="1:15" s="54" customFormat="1" ht="15" customHeight="1" x14ac:dyDescent="0.2">
      <c r="A50" s="64"/>
      <c r="B50" s="65"/>
      <c r="C50" s="66"/>
      <c r="D50" s="1169"/>
      <c r="E50" s="66"/>
      <c r="F50" s="66"/>
      <c r="G50" s="66"/>
      <c r="H50" s="66"/>
      <c r="I50" s="66"/>
      <c r="J50" s="66"/>
      <c r="K50" s="66"/>
      <c r="L50" s="66"/>
    </row>
    <row r="51" spans="1:15" s="54" customFormat="1" ht="15" customHeight="1" thickBot="1" x14ac:dyDescent="0.25">
      <c r="A51" s="1912" t="s">
        <v>362</v>
      </c>
      <c r="B51" s="1912"/>
      <c r="C51" s="1912"/>
      <c r="D51" s="1912"/>
      <c r="E51" s="1912"/>
      <c r="F51" s="1912"/>
      <c r="G51" s="1912"/>
      <c r="H51" s="1912"/>
      <c r="I51" s="66"/>
      <c r="J51" s="66"/>
      <c r="K51" s="66"/>
      <c r="L51" s="66"/>
    </row>
    <row r="52" spans="1:15" s="554" customFormat="1" ht="55.5" customHeight="1" thickBot="1" x14ac:dyDescent="0.25">
      <c r="A52" s="641"/>
      <c r="B52" s="642" t="s">
        <v>38</v>
      </c>
      <c r="C52" s="21" t="str">
        <f>C7</f>
        <v>2023. évi eredeti előirányzat
2/2023. (II.14.)</v>
      </c>
      <c r="D52" s="1176" t="str">
        <f t="shared" ref="D52:K52" si="7">D7</f>
        <v>Módosított előirányzat a 14/2023.  (VI.29.)  rendelet szerint</v>
      </c>
      <c r="E52" s="21" t="str">
        <f t="shared" si="7"/>
        <v>Módosított előirányzat a 18/2023. (IX.26.)  rendelet szerint</v>
      </c>
      <c r="F52" s="1322" t="str">
        <f t="shared" si="7"/>
        <v>Módosított előirányzat 2023.09.30-án</v>
      </c>
      <c r="G52" s="555" t="str">
        <f t="shared" si="7"/>
        <v>Módosított előirányzat a …../2023. (II…..)  rendelet szerint</v>
      </c>
      <c r="H52" s="32" t="str">
        <f t="shared" si="7"/>
        <v>Változás a 14/2023. (VI.29.) rendelethez képest</v>
      </c>
      <c r="I52" s="21" t="str">
        <f t="shared" si="7"/>
        <v>2023. évi teljesítés              2023.06.30-ig</v>
      </c>
      <c r="J52" s="21" t="str">
        <f t="shared" si="7"/>
        <v>2023. évi teljesítés              2023.09.30-ig</v>
      </c>
      <c r="K52" s="21" t="str">
        <f t="shared" si="7"/>
        <v>2023. évi teljesítés              2023.12.31-ig</v>
      </c>
      <c r="L52" s="21"/>
    </row>
    <row r="53" spans="1:15" s="31" customFormat="1" ht="12.2" customHeight="1" thickBot="1" x14ac:dyDescent="0.25">
      <c r="A53" s="55" t="s">
        <v>12</v>
      </c>
      <c r="B53" s="56" t="s">
        <v>547</v>
      </c>
      <c r="C53" s="89">
        <f>SUM(C54:C59)-C55</f>
        <v>168098587</v>
      </c>
      <c r="D53" s="1154">
        <f t="shared" ref="D53:L53" si="8">SUM(D54:D59)-D55</f>
        <v>189954478</v>
      </c>
      <c r="E53" s="582">
        <f t="shared" si="8"/>
        <v>197682367</v>
      </c>
      <c r="F53" s="582">
        <f t="shared" si="8"/>
        <v>1888470328</v>
      </c>
      <c r="G53" s="582">
        <f t="shared" si="8"/>
        <v>0</v>
      </c>
      <c r="H53" s="48">
        <f t="shared" si="8"/>
        <v>7727889</v>
      </c>
      <c r="I53" s="48">
        <f t="shared" si="8"/>
        <v>0</v>
      </c>
      <c r="J53" s="48">
        <f t="shared" si="8"/>
        <v>1305774672</v>
      </c>
      <c r="K53" s="48">
        <f t="shared" si="8"/>
        <v>0</v>
      </c>
      <c r="L53" s="48" t="e">
        <f t="shared" si="8"/>
        <v>#VALUE!</v>
      </c>
    </row>
    <row r="54" spans="1:15" ht="12.2" customHeight="1" x14ac:dyDescent="0.2">
      <c r="A54" s="329" t="s">
        <v>91</v>
      </c>
      <c r="B54" s="17" t="s">
        <v>68</v>
      </c>
      <c r="C54" s="122">
        <f>'11.Rendelő'!C54-'34._Rendelő_önként'!C54</f>
        <v>112328611</v>
      </c>
      <c r="D54" s="1160">
        <f>'11.Rendelő'!D54-'34._Rendelő_önként'!D54</f>
        <v>115509237</v>
      </c>
      <c r="E54" s="1160">
        <f>'11.Rendelő'!E54-'34._Rendelő_önként'!E54</f>
        <v>119310607</v>
      </c>
      <c r="F54" s="586">
        <f>'11.Rendelő'!F54-'34._Rendelő_önként'!F54</f>
        <v>1280248926</v>
      </c>
      <c r="G54" s="586">
        <f>'11.Rendelő'!G54-'34._Rendelő_önként'!G54</f>
        <v>0</v>
      </c>
      <c r="H54" s="33">
        <f>'11.Rendelő'!H54-'34._Rendelő_önként'!H54</f>
        <v>3801370</v>
      </c>
      <c r="I54" s="33">
        <f>'11.Rendelő'!I54-'34._Rendelő_önként'!I54</f>
        <v>0</v>
      </c>
      <c r="J54" s="33">
        <f>'11.Rendelő'!J54-'34._Rendelő_önként'!J54</f>
        <v>888533798</v>
      </c>
      <c r="K54" s="33">
        <f>'11.Rendelő'!K54-'34._Rendelő_önként'!K54</f>
        <v>0</v>
      </c>
      <c r="L54" s="33">
        <f>'11.Rendelő'!L54-'34._Rendelő_önként'!L54</f>
        <v>69.4032058887273</v>
      </c>
    </row>
    <row r="55" spans="1:15" ht="12.2" customHeight="1" x14ac:dyDescent="0.2">
      <c r="A55" s="329" t="s">
        <v>305</v>
      </c>
      <c r="B55" s="335" t="s">
        <v>270</v>
      </c>
      <c r="C55" s="122">
        <f>'11.Rendelő'!C55-'34._Rendelő_önként'!C55</f>
        <v>0</v>
      </c>
      <c r="D55" s="1160">
        <f>'11.Rendelő'!D55-'34._Rendelő_önként'!D55</f>
        <v>0</v>
      </c>
      <c r="E55" s="1160">
        <f>'11.Rendelő'!E55-'34._Rendelő_önként'!E55</f>
        <v>1788514</v>
      </c>
      <c r="F55" s="586">
        <f>'11.Rendelő'!F55-'34._Rendelő_önként'!F55</f>
        <v>48000000</v>
      </c>
      <c r="G55" s="586">
        <f>'11.Rendelő'!G55-'34._Rendelő_önként'!G55</f>
        <v>0</v>
      </c>
      <c r="H55" s="33">
        <f>'11.Rendelő'!H55-'34._Rendelő_önként'!H55</f>
        <v>1788514</v>
      </c>
      <c r="I55" s="33">
        <f>'11.Rendelő'!I55-'34._Rendelő_önként'!I55</f>
        <v>0</v>
      </c>
      <c r="J55" s="33">
        <f>'11.Rendelő'!J55-'34._Rendelő_önként'!J55</f>
        <v>0</v>
      </c>
      <c r="K55" s="33">
        <f>'11.Rendelő'!K55-'34._Rendelő_önként'!K55</f>
        <v>0</v>
      </c>
      <c r="L55" s="33">
        <f>'11.Rendelő'!L55-'34._Rendelő_önként'!L55</f>
        <v>0</v>
      </c>
    </row>
    <row r="56" spans="1:15" ht="12.2" customHeight="1" x14ac:dyDescent="0.2">
      <c r="A56" s="329" t="s">
        <v>92</v>
      </c>
      <c r="B56" s="330" t="s">
        <v>87</v>
      </c>
      <c r="C56" s="339">
        <f>'11.Rendelő'!C56-'34._Rendelő_önként'!C56</f>
        <v>22033181</v>
      </c>
      <c r="D56" s="1166">
        <f>'11.Rendelő'!D56-'34._Rendelő_önként'!D56</f>
        <v>23233339</v>
      </c>
      <c r="E56" s="1166">
        <f>'11.Rendelő'!E56-'34._Rendelő_önként'!E56</f>
        <v>24163846</v>
      </c>
      <c r="F56" s="107">
        <f>'11.Rendelő'!F56-'34._Rendelő_önként'!F56</f>
        <v>180361858</v>
      </c>
      <c r="G56" s="107">
        <f>'11.Rendelő'!G56-'34._Rendelő_önként'!G56</f>
        <v>0</v>
      </c>
      <c r="H56" s="324">
        <f>'11.Rendelő'!H56-'34._Rendelő_önként'!H56</f>
        <v>930507</v>
      </c>
      <c r="I56" s="324">
        <f>'11.Rendelő'!I56-'34._Rendelő_önként'!I56</f>
        <v>0</v>
      </c>
      <c r="J56" s="324">
        <f>'11.Rendelő'!J56-'34._Rendelő_önként'!J56</f>
        <v>122670350</v>
      </c>
      <c r="K56" s="324">
        <f>'11.Rendelő'!K56-'34._Rendelő_önként'!K56</f>
        <v>0</v>
      </c>
      <c r="L56" s="324">
        <f>'11.Rendelő'!L56-'34._Rendelő_önként'!L56</f>
        <v>68.013465463412999</v>
      </c>
    </row>
    <row r="57" spans="1:15" ht="12.2" customHeight="1" x14ac:dyDescent="0.2">
      <c r="A57" s="329" t="s">
        <v>93</v>
      </c>
      <c r="B57" s="330" t="s">
        <v>69</v>
      </c>
      <c r="C57" s="339">
        <f>'11.Rendelő'!C57-'34._Rendelő_önként'!C57</f>
        <v>33736795</v>
      </c>
      <c r="D57" s="1166">
        <f>'11.Rendelő'!D57-'34._Rendelő_önként'!D57</f>
        <v>51211902</v>
      </c>
      <c r="E57" s="1166">
        <f>'11.Rendelő'!E57-'34._Rendelő_önként'!E57</f>
        <v>54207914</v>
      </c>
      <c r="F57" s="1394">
        <f>'11.Rendelő'!F57-'34._Rendelő_önként'!F57</f>
        <v>427859544</v>
      </c>
      <c r="G57" s="1394">
        <f>'11.Rendelő'!G57-'34._Rendelő_önként'!G57</f>
        <v>0</v>
      </c>
      <c r="H57" s="1395">
        <f>'11.Rendelő'!H57-'34._Rendelő_önként'!H57</f>
        <v>2996012</v>
      </c>
      <c r="I57" s="324">
        <f>'11.Rendelő'!I57-'34._Rendelő_önként'!I57</f>
        <v>0</v>
      </c>
      <c r="J57" s="324">
        <f>'11.Rendelő'!J57-'34._Rendelő_önként'!J57</f>
        <v>294570524</v>
      </c>
      <c r="K57" s="324">
        <f>'11.Rendelő'!K57-'34._Rendelő_önként'!K57</f>
        <v>0</v>
      </c>
      <c r="L57" s="324">
        <f>'11.Rendelő'!L57-'34._Rendelő_önként'!L57</f>
        <v>68.847482341074056</v>
      </c>
    </row>
    <row r="58" spans="1:15" ht="12.2" customHeight="1" x14ac:dyDescent="0.2">
      <c r="A58" s="329" t="s">
        <v>90</v>
      </c>
      <c r="B58" s="330" t="s">
        <v>80</v>
      </c>
      <c r="C58" s="339">
        <f>'11.Rendelő'!C58-'34._Rendelő_önként'!C58</f>
        <v>0</v>
      </c>
      <c r="D58" s="1166">
        <f>'11.Rendelő'!D58-'34._Rendelő_önként'!D58</f>
        <v>0</v>
      </c>
      <c r="E58" s="1166">
        <f>'11.Rendelő'!E58-'34._Rendelő_önként'!E58</f>
        <v>0</v>
      </c>
      <c r="F58" s="107">
        <f>'11.Rendelő'!F58-'34._Rendelő_önként'!F58</f>
        <v>0</v>
      </c>
      <c r="G58" s="107">
        <f>'11.Rendelő'!G58-'34._Rendelő_önként'!G58</f>
        <v>0</v>
      </c>
      <c r="H58" s="324">
        <f>'11.Rendelő'!H58-'34._Rendelő_önként'!H58</f>
        <v>0</v>
      </c>
      <c r="I58" s="324">
        <f>'11.Rendelő'!I58-'34._Rendelő_önként'!I58</f>
        <v>0</v>
      </c>
      <c r="J58" s="324">
        <f>'11.Rendelő'!J58-'34._Rendelő_önként'!J58</f>
        <v>0</v>
      </c>
      <c r="K58" s="324">
        <f>'11.Rendelő'!K58-'34._Rendelő_önként'!K58</f>
        <v>0</v>
      </c>
      <c r="L58" s="324" t="e">
        <f>'11.Rendelő'!L58-'34._Rendelő_önként'!L58</f>
        <v>#VALUE!</v>
      </c>
    </row>
    <row r="59" spans="1:15" ht="12.2" customHeight="1" x14ac:dyDescent="0.2">
      <c r="A59" s="329" t="s">
        <v>147</v>
      </c>
      <c r="B59" s="330" t="s">
        <v>88</v>
      </c>
      <c r="C59" s="339">
        <f>'11.Rendelő'!C59-'34._Rendelő_önként'!C59</f>
        <v>0</v>
      </c>
      <c r="D59" s="1166">
        <f>'11.Rendelő'!D59-'34._Rendelő_önként'!D59</f>
        <v>0</v>
      </c>
      <c r="E59" s="107">
        <f>'11.Rendelő'!E59-'34._Rendelő_önként'!E59</f>
        <v>0</v>
      </c>
      <c r="F59" s="107">
        <f>'11.Rendelő'!F59-'34._Rendelő_önként'!F59</f>
        <v>0</v>
      </c>
      <c r="G59" s="107">
        <f>'11.Rendelő'!G59-'34._Rendelő_önként'!G59</f>
        <v>0</v>
      </c>
      <c r="H59" s="324">
        <f>'11.Rendelő'!H59-'34._Rendelő_önként'!H59</f>
        <v>0</v>
      </c>
      <c r="I59" s="324">
        <f>'11.Rendelő'!I59-'34._Rendelő_önként'!I59</f>
        <v>0</v>
      </c>
      <c r="J59" s="324">
        <f>'11.Rendelő'!J59-'34._Rendelő_önként'!J59</f>
        <v>0</v>
      </c>
      <c r="K59" s="324">
        <f>'11.Rendelő'!K59-'34._Rendelő_önként'!K59</f>
        <v>0</v>
      </c>
      <c r="L59" s="324" t="e">
        <f>'11.Rendelő'!L59-'34._Rendelő_önként'!L59</f>
        <v>#VALUE!</v>
      </c>
    </row>
    <row r="60" spans="1:15" ht="12.2" customHeight="1" x14ac:dyDescent="0.2">
      <c r="A60" s="329" t="s">
        <v>306</v>
      </c>
      <c r="B60" s="521" t="s">
        <v>235</v>
      </c>
      <c r="C60" s="339">
        <f>'11.Rendelő'!C60-'34._Rendelő_önként'!C60</f>
        <v>0</v>
      </c>
      <c r="D60" s="1166">
        <f>'11.Rendelő'!D60-'34._Rendelő_önként'!D60</f>
        <v>0</v>
      </c>
      <c r="E60" s="107">
        <f>'11.Rendelő'!E60-'34._Rendelő_önként'!E60</f>
        <v>0</v>
      </c>
      <c r="F60" s="107">
        <f>'11.Rendelő'!F60-'34._Rendelő_önként'!F60</f>
        <v>0</v>
      </c>
      <c r="G60" s="107">
        <f>'11.Rendelő'!G60-'34._Rendelő_önként'!G60</f>
        <v>0</v>
      </c>
      <c r="H60" s="324">
        <f>'11.Rendelő'!H60-'34._Rendelő_önként'!H60</f>
        <v>0</v>
      </c>
      <c r="I60" s="324">
        <f>'11.Rendelő'!I60-'34._Rendelő_önként'!I60</f>
        <v>0</v>
      </c>
      <c r="J60" s="324">
        <f>'11.Rendelő'!J60-'34._Rendelő_önként'!J60</f>
        <v>0</v>
      </c>
      <c r="K60" s="324">
        <f>'11.Rendelő'!K60-'34._Rendelő_önként'!K60</f>
        <v>0</v>
      </c>
      <c r="L60" s="324" t="e">
        <f>'11.Rendelő'!L60-'34._Rendelő_önként'!L60</f>
        <v>#VALUE!</v>
      </c>
    </row>
    <row r="61" spans="1:15" ht="12.2" customHeight="1" thickBot="1" x14ac:dyDescent="0.25">
      <c r="A61" s="84" t="s">
        <v>307</v>
      </c>
      <c r="B61" s="85" t="s">
        <v>234</v>
      </c>
      <c r="C61" s="92">
        <f>'11.Rendelő'!C61-'34._Rendelő_önként'!C61</f>
        <v>0</v>
      </c>
      <c r="D61" s="1162">
        <f>'11.Rendelő'!D61-'34._Rendelő_önként'!D61</f>
        <v>0</v>
      </c>
      <c r="E61" s="593">
        <f>'11.Rendelő'!E61-'34._Rendelő_önként'!E61</f>
        <v>0</v>
      </c>
      <c r="F61" s="593">
        <f>'11.Rendelő'!F61-'34._Rendelő_önként'!F61</f>
        <v>0</v>
      </c>
      <c r="G61" s="593">
        <f>'11.Rendelő'!G61-'34._Rendelő_önként'!G61</f>
        <v>0</v>
      </c>
      <c r="H61" s="61">
        <f>'11.Rendelő'!H61-'34._Rendelő_önként'!H61</f>
        <v>0</v>
      </c>
      <c r="I61" s="61">
        <f>'11.Rendelő'!I61-'34._Rendelő_önként'!I61</f>
        <v>0</v>
      </c>
      <c r="J61" s="61">
        <f>'11.Rendelő'!J61-'34._Rendelő_önként'!J61</f>
        <v>0</v>
      </c>
      <c r="K61" s="61">
        <f>'11.Rendelő'!K61-'34._Rendelő_önként'!K61</f>
        <v>0</v>
      </c>
      <c r="L61" s="61" t="e">
        <f>'11.Rendelő'!L61-'34._Rendelő_önként'!L61</f>
        <v>#VALUE!</v>
      </c>
    </row>
    <row r="62" spans="1:15" ht="12.2" customHeight="1" thickBot="1" x14ac:dyDescent="0.25">
      <c r="A62" s="55" t="s">
        <v>13</v>
      </c>
      <c r="B62" s="56" t="s">
        <v>548</v>
      </c>
      <c r="C62" s="89">
        <f>+C63+C65+C67</f>
        <v>2500000</v>
      </c>
      <c r="D62" s="1154">
        <f t="shared" ref="D62:L62" si="9">SUM(D63:D67)</f>
        <v>19328932</v>
      </c>
      <c r="E62" s="582">
        <f t="shared" si="9"/>
        <v>28328932</v>
      </c>
      <c r="F62" s="582">
        <f t="shared" si="9"/>
        <v>315753585</v>
      </c>
      <c r="G62" s="582">
        <f t="shared" si="9"/>
        <v>0</v>
      </c>
      <c r="H62" s="48">
        <f t="shared" si="9"/>
        <v>9000000</v>
      </c>
      <c r="I62" s="48">
        <f t="shared" si="9"/>
        <v>174018545</v>
      </c>
      <c r="J62" s="48">
        <f t="shared" si="9"/>
        <v>305976048</v>
      </c>
      <c r="K62" s="48" t="e">
        <f t="shared" si="9"/>
        <v>#VALUE!</v>
      </c>
      <c r="L62" s="48" t="e">
        <f t="shared" si="9"/>
        <v>#VALUE!</v>
      </c>
    </row>
    <row r="63" spans="1:15" s="31" customFormat="1" ht="12.2" customHeight="1" x14ac:dyDescent="0.2">
      <c r="A63" s="329" t="s">
        <v>94</v>
      </c>
      <c r="B63" s="17" t="s">
        <v>119</v>
      </c>
      <c r="C63" s="122">
        <f>'11.Rendelő'!C63-'34._Rendelő_önként'!C63</f>
        <v>2500000</v>
      </c>
      <c r="D63" s="1160">
        <f>'11.Rendelő'!D63-'34._Rendelő_önként'!D63</f>
        <v>19328932</v>
      </c>
      <c r="E63" s="586">
        <f>'11.Rendelő'!E63-'34._Rendelő_önként'!E63</f>
        <v>28328932</v>
      </c>
      <c r="F63" s="586">
        <f>'11.Rendelő'!F63-'34._Rendelő_önként'!F63</f>
        <v>183796082</v>
      </c>
      <c r="G63" s="586">
        <f>'11.Rendelő'!G63-'34._Rendelő_önként'!G63</f>
        <v>0</v>
      </c>
      <c r="H63" s="33">
        <f>'11.Rendelő'!H63-'34._Rendelő_önként'!H63</f>
        <v>9000000</v>
      </c>
      <c r="I63" s="33">
        <f>'11.Rendelő'!I63-'34._Rendelő_önként'!I63</f>
        <v>174018545</v>
      </c>
      <c r="J63" s="33">
        <f>'11.Rendelő'!J63-'34._Rendelő_önként'!J63</f>
        <v>174018545</v>
      </c>
      <c r="K63" s="33">
        <f>'11.Rendelő'!K63-'34._Rendelő_önként'!K63</f>
        <v>94.680225555624205</v>
      </c>
      <c r="L63" s="33">
        <f>'11.Rendelő'!L63-'34._Rendelő_önként'!L63</f>
        <v>94.680225555624205</v>
      </c>
    </row>
    <row r="64" spans="1:15" s="31" customFormat="1" ht="12.2" customHeight="1" x14ac:dyDescent="0.2">
      <c r="A64" s="329" t="s">
        <v>316</v>
      </c>
      <c r="B64" s="522" t="s">
        <v>236</v>
      </c>
      <c r="C64" s="122">
        <f>'11.Rendelő'!C64-'34._Rendelő_önként'!C64</f>
        <v>0</v>
      </c>
      <c r="D64" s="1160">
        <f>'11.Rendelő'!D64-'34._Rendelő_önként'!D64</f>
        <v>0</v>
      </c>
      <c r="E64" s="586">
        <f>'11.Rendelő'!E64-'34._Rendelő_önként'!E64</f>
        <v>0</v>
      </c>
      <c r="F64" s="586">
        <f>'11.Rendelő'!F64-'34._Rendelő_önként'!F64</f>
        <v>131957503</v>
      </c>
      <c r="G64" s="586">
        <f>'11.Rendelő'!G64-'34._Rendelő_önként'!G64</f>
        <v>0</v>
      </c>
      <c r="H64" s="33">
        <f>'11.Rendelő'!H64-'34._Rendelő_önként'!H64</f>
        <v>0</v>
      </c>
      <c r="I64" s="33">
        <f>'11.Rendelő'!I64-'34._Rendelő_önként'!I64</f>
        <v>0</v>
      </c>
      <c r="J64" s="33">
        <f>'11.Rendelő'!J64-'34._Rendelő_önként'!J64</f>
        <v>131957503</v>
      </c>
      <c r="K64" s="33">
        <f>'11.Rendelő'!K64-'34._Rendelő_önként'!K64</f>
        <v>0</v>
      </c>
      <c r="L64" s="33">
        <f>'11.Rendelő'!L64-'34._Rendelő_önként'!L64</f>
        <v>100</v>
      </c>
      <c r="O64" s="31" t="s">
        <v>385</v>
      </c>
    </row>
    <row r="65" spans="1:12" ht="12.2" customHeight="1" x14ac:dyDescent="0.2">
      <c r="A65" s="329" t="s">
        <v>95</v>
      </c>
      <c r="B65" s="330" t="s">
        <v>2</v>
      </c>
      <c r="C65" s="339">
        <f>'11.Rendelő'!C65-'34._Rendelő_önként'!C65</f>
        <v>0</v>
      </c>
      <c r="D65" s="1166">
        <f>'11.Rendelő'!D65-'34._Rendelő_önként'!D65</f>
        <v>0</v>
      </c>
      <c r="E65" s="107">
        <f>'11.Rendelő'!E65-'34._Rendelő_önként'!E65</f>
        <v>0</v>
      </c>
      <c r="F65" s="107">
        <f>'11.Rendelő'!F65-'34._Rendelő_önként'!F65</f>
        <v>0</v>
      </c>
      <c r="G65" s="107">
        <f>'11.Rendelő'!G65-'34._Rendelő_önként'!G65</f>
        <v>0</v>
      </c>
      <c r="H65" s="324">
        <f>'11.Rendelő'!H65-'34._Rendelő_önként'!H65</f>
        <v>0</v>
      </c>
      <c r="I65" s="324">
        <f>'11.Rendelő'!I65-'34._Rendelő_önként'!I65</f>
        <v>0</v>
      </c>
      <c r="J65" s="324">
        <f>'11.Rendelő'!J65-'34._Rendelő_önként'!J65</f>
        <v>0</v>
      </c>
      <c r="K65" s="324" t="e">
        <f>'11.Rendelő'!K65-'34._Rendelő_önként'!K65</f>
        <v>#VALUE!</v>
      </c>
      <c r="L65" s="324" t="e">
        <f>'11.Rendelő'!L65-'34._Rendelő_önként'!L65</f>
        <v>#VALUE!</v>
      </c>
    </row>
    <row r="66" spans="1:12" ht="12.2" customHeight="1" x14ac:dyDescent="0.2">
      <c r="A66" s="329" t="s">
        <v>342</v>
      </c>
      <c r="B66" s="523" t="s">
        <v>237</v>
      </c>
      <c r="C66" s="339">
        <f>'11.Rendelő'!C66-'34._Rendelő_önként'!C66</f>
        <v>0</v>
      </c>
      <c r="D66" s="1166">
        <f>'11.Rendelő'!D66-'34._Rendelő_önként'!D66</f>
        <v>0</v>
      </c>
      <c r="E66" s="107">
        <f>'11.Rendelő'!E66-'34._Rendelő_önként'!E66</f>
        <v>0</v>
      </c>
      <c r="F66" s="107">
        <f>'11.Rendelő'!F66-'34._Rendelő_önként'!F66</f>
        <v>0</v>
      </c>
      <c r="G66" s="107">
        <f>'11.Rendelő'!G66-'34._Rendelő_önként'!G66</f>
        <v>0</v>
      </c>
      <c r="H66" s="324">
        <f>'11.Rendelő'!H66-'34._Rendelő_önként'!H66</f>
        <v>0</v>
      </c>
      <c r="I66" s="324">
        <f>'11.Rendelő'!I66-'34._Rendelő_önként'!I66</f>
        <v>0</v>
      </c>
      <c r="J66" s="324">
        <f>'11.Rendelő'!J66-'34._Rendelő_önként'!J66</f>
        <v>0</v>
      </c>
      <c r="K66" s="324">
        <f>'11.Rendelő'!K66-'34._Rendelő_önként'!K66</f>
        <v>0</v>
      </c>
      <c r="L66" s="324" t="e">
        <f>'11.Rendelő'!L66-'34._Rendelő_önként'!L66</f>
        <v>#VALUE!</v>
      </c>
    </row>
    <row r="67" spans="1:12" ht="12.2" customHeight="1" x14ac:dyDescent="0.2">
      <c r="A67" s="329" t="s">
        <v>96</v>
      </c>
      <c r="B67" s="17" t="s">
        <v>175</v>
      </c>
      <c r="C67" s="339">
        <f>'11.Rendelő'!C67-'34._Rendelő_önként'!C67</f>
        <v>0</v>
      </c>
      <c r="D67" s="1166">
        <f>'11.Rendelő'!D67-'34._Rendelő_önként'!D67</f>
        <v>0</v>
      </c>
      <c r="E67" s="107">
        <f>'11.Rendelő'!E67-'34._Rendelő_önként'!E67</f>
        <v>0</v>
      </c>
      <c r="F67" s="107">
        <f>'11.Rendelő'!F67-'34._Rendelő_önként'!F67</f>
        <v>0</v>
      </c>
      <c r="G67" s="107">
        <f>'11.Rendelő'!G67-'34._Rendelő_önként'!G67</f>
        <v>0</v>
      </c>
      <c r="H67" s="324">
        <f>'11.Rendelő'!H67-'34._Rendelő_önként'!H67</f>
        <v>0</v>
      </c>
      <c r="I67" s="324">
        <f>'11.Rendelő'!I67-'34._Rendelő_önként'!I67</f>
        <v>0</v>
      </c>
      <c r="J67" s="324">
        <f>'11.Rendelő'!J67-'34._Rendelő_önként'!J67</f>
        <v>0</v>
      </c>
      <c r="K67" s="324">
        <f>'11.Rendelő'!K67-'34._Rendelő_önként'!K67</f>
        <v>0</v>
      </c>
      <c r="L67" s="324" t="e">
        <f>'11.Rendelő'!L67-'34._Rendelő_önként'!L67</f>
        <v>#VALUE!</v>
      </c>
    </row>
    <row r="68" spans="1:12" ht="12.2" customHeight="1" x14ac:dyDescent="0.2">
      <c r="A68" s="329" t="s">
        <v>317</v>
      </c>
      <c r="B68" s="521" t="s">
        <v>239</v>
      </c>
      <c r="C68" s="339">
        <f>'11.Rendelő'!C68-'34._Rendelő_önként'!C68</f>
        <v>0</v>
      </c>
      <c r="D68" s="1166">
        <f>'11.Rendelő'!D68-'34._Rendelő_önként'!D68</f>
        <v>0</v>
      </c>
      <c r="E68" s="107">
        <f>'11.Rendelő'!E68-'34._Rendelő_önként'!E68</f>
        <v>0</v>
      </c>
      <c r="F68" s="107">
        <f>'11.Rendelő'!F68-'34._Rendelő_önként'!F68</f>
        <v>0</v>
      </c>
      <c r="G68" s="107">
        <f>'11.Rendelő'!G68-'34._Rendelő_önként'!G68</f>
        <v>0</v>
      </c>
      <c r="H68" s="324">
        <f>'11.Rendelő'!H68-'34._Rendelő_önként'!H68</f>
        <v>0</v>
      </c>
      <c r="I68" s="324">
        <f>'11.Rendelő'!I68-'34._Rendelő_önként'!I68</f>
        <v>0</v>
      </c>
      <c r="J68" s="324">
        <f>'11.Rendelő'!J68-'34._Rendelő_önként'!J68</f>
        <v>0</v>
      </c>
      <c r="K68" s="324">
        <f>'11.Rendelő'!K68-'34._Rendelő_önként'!K68</f>
        <v>0</v>
      </c>
      <c r="L68" s="324" t="e">
        <f>'11.Rendelő'!L68-'34._Rendelő_önként'!L68</f>
        <v>#VALUE!</v>
      </c>
    </row>
    <row r="69" spans="1:12" ht="12.2" customHeight="1" thickBot="1" x14ac:dyDescent="0.25">
      <c r="A69" s="84" t="s">
        <v>318</v>
      </c>
      <c r="B69" s="85" t="s">
        <v>238</v>
      </c>
      <c r="C69" s="92">
        <f>'11.Rendelő'!C69-'34._Rendelő_önként'!C69</f>
        <v>0</v>
      </c>
      <c r="D69" s="1166">
        <f>'11.Rendelő'!D69-'34._Rendelő_önként'!D69</f>
        <v>0</v>
      </c>
      <c r="E69" s="107">
        <f>'11.Rendelő'!E69-'34._Rendelő_önként'!E69</f>
        <v>0</v>
      </c>
      <c r="F69" s="107">
        <f>'11.Rendelő'!F69-'34._Rendelő_önként'!F69</f>
        <v>0</v>
      </c>
      <c r="G69" s="107">
        <f>'11.Rendelő'!G69-'34._Rendelő_önként'!G69</f>
        <v>0</v>
      </c>
      <c r="H69" s="324">
        <f>'11.Rendelő'!H69-'34._Rendelő_önként'!H69</f>
        <v>0</v>
      </c>
      <c r="I69" s="324">
        <f>'11.Rendelő'!I69-'34._Rendelő_önként'!I69</f>
        <v>0</v>
      </c>
      <c r="J69" s="324">
        <f>'11.Rendelő'!J69-'34._Rendelő_önként'!J69</f>
        <v>0</v>
      </c>
      <c r="K69" s="324">
        <f>'11.Rendelő'!K69-'34._Rendelő_önként'!K69</f>
        <v>0</v>
      </c>
      <c r="L69" s="324" t="e">
        <f>'11.Rendelő'!L69-'34._Rendelő_önként'!L69</f>
        <v>#VALUE!</v>
      </c>
    </row>
    <row r="70" spans="1:12" ht="15" customHeight="1" thickBot="1" x14ac:dyDescent="0.25">
      <c r="A70" s="55" t="s">
        <v>14</v>
      </c>
      <c r="B70" s="67" t="s">
        <v>176</v>
      </c>
      <c r="C70" s="135">
        <f>+C53+C62</f>
        <v>170598587</v>
      </c>
      <c r="D70" s="1168">
        <f t="shared" ref="D70:L70" si="10">+D53+D62</f>
        <v>209283410</v>
      </c>
      <c r="E70" s="592">
        <f t="shared" si="10"/>
        <v>226011299</v>
      </c>
      <c r="F70" s="592">
        <f t="shared" si="10"/>
        <v>2204223913</v>
      </c>
      <c r="G70" s="592">
        <f t="shared" si="10"/>
        <v>0</v>
      </c>
      <c r="H70" s="68">
        <f t="shared" si="10"/>
        <v>16727889</v>
      </c>
      <c r="I70" s="68">
        <f t="shared" si="10"/>
        <v>174018545</v>
      </c>
      <c r="J70" s="68">
        <f t="shared" si="10"/>
        <v>1611750720</v>
      </c>
      <c r="K70" s="68" t="e">
        <f t="shared" si="10"/>
        <v>#VALUE!</v>
      </c>
      <c r="L70" s="68" t="e">
        <f t="shared" si="10"/>
        <v>#VALUE!</v>
      </c>
    </row>
    <row r="71" spans="1:12" ht="13.5" thickBot="1" x14ac:dyDescent="0.25">
      <c r="C71" s="27"/>
      <c r="D71" s="1171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69" t="s">
        <v>292</v>
      </c>
      <c r="B72" s="70"/>
      <c r="C72" s="136">
        <f>'11.Rendelő'!C72-'34._Rendelő_önként'!C72</f>
        <v>18</v>
      </c>
      <c r="D72" s="1172">
        <f>'11.Rendelő'!D72-'34._Rendelő_önként'!D72</f>
        <v>15</v>
      </c>
      <c r="E72" s="1172">
        <f>'11.Rendelő'!E72-'34._Rendelő_önként'!E72</f>
        <v>9</v>
      </c>
      <c r="F72" s="520">
        <f>'11.Rendelő'!F72-'34._Rendelő_önként'!F72</f>
        <v>144</v>
      </c>
      <c r="G72" s="520">
        <f>'11.Rendelő'!G72-'34._Rendelő_önként'!G72</f>
        <v>0</v>
      </c>
      <c r="H72" s="174">
        <f>'11.Rendelő'!H72-'34._Rendelő_önként'!H72</f>
        <v>-6</v>
      </c>
      <c r="I72" s="174">
        <f>'11.Rendelő'!I72-'34._Rendelő_önként'!I72</f>
        <v>0</v>
      </c>
      <c r="J72" s="174">
        <f>'11.Rendelő'!J72-'34._Rendelő_önként'!J72</f>
        <v>142</v>
      </c>
      <c r="K72" s="174">
        <f>'11.Rendelő'!K72-'34._Rendelő_önként'!K72</f>
        <v>0</v>
      </c>
      <c r="L72" s="174">
        <f>'11.Rendelő'!L72-'34._Rendelő_önként'!L72</f>
        <v>98.611111111111114</v>
      </c>
    </row>
    <row r="73" spans="1:12" ht="14.25" hidden="1" customHeight="1" thickBot="1" x14ac:dyDescent="0.25">
      <c r="A73" s="69" t="s">
        <v>291</v>
      </c>
      <c r="B73" s="70"/>
      <c r="C73" s="608">
        <f>'11.Rendelő'!C73-'34._Rendelő_önként'!C73</f>
        <v>0</v>
      </c>
      <c r="D73" s="1173">
        <f>'11.Rendelő'!D73-'34._Rendelő_önként'!D73</f>
        <v>0</v>
      </c>
      <c r="E73" s="607">
        <f>'11.Rendelő'!E73-'34._Rendelő_önként'!E73</f>
        <v>0</v>
      </c>
      <c r="F73" s="607">
        <f>'11.Rendelő'!F73-'34._Rendelő_önként'!F73</f>
        <v>0</v>
      </c>
      <c r="G73" s="607">
        <f>'11.Rendelő'!G73-'34._Rendelő_önként'!G73</f>
        <v>0</v>
      </c>
      <c r="H73" s="609">
        <f>'11.Rendelő'!H73-'34._Rendelő_önként'!H73</f>
        <v>0</v>
      </c>
      <c r="I73" s="609">
        <f>'11.Rendelő'!I73-'34._Rendelő_önként'!I73</f>
        <v>0</v>
      </c>
      <c r="J73" s="609">
        <f>'11.Rendelő'!J73-'34._Rendelő_önként'!J73</f>
        <v>0</v>
      </c>
      <c r="K73" s="609">
        <f>'11.Rendelő'!K73-'34._Rendelő_önként'!K73</f>
        <v>0</v>
      </c>
      <c r="L73" s="609" t="e">
        <f>'11.Rendelő'!L73-'34._Rendelő_önként'!L73</f>
        <v>#DIV/0!</v>
      </c>
    </row>
    <row r="74" spans="1:12" x14ac:dyDescent="0.2">
      <c r="D74" s="1174"/>
      <c r="E74" s="163"/>
      <c r="F74" s="163"/>
      <c r="G74" s="163"/>
      <c r="H74" s="163"/>
      <c r="I74" s="163"/>
      <c r="J74" s="163"/>
      <c r="K74" s="163"/>
      <c r="L74" s="163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5" orientation="portrait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L74"/>
  <sheetViews>
    <sheetView view="pageBreakPreview" zoomScale="112" zoomScaleNormal="100" zoomScaleSheetLayoutView="112" workbookViewId="0">
      <selection activeCell="A2" sqref="A2:H2"/>
    </sheetView>
  </sheetViews>
  <sheetFormatPr defaultRowHeight="12.75" x14ac:dyDescent="0.2"/>
  <cols>
    <col min="1" max="1" width="12" style="988" customWidth="1"/>
    <col min="2" max="2" width="57.83203125" style="25" customWidth="1"/>
    <col min="3" max="3" width="15.33203125" style="25" customWidth="1"/>
    <col min="4" max="4" width="16.83203125" style="1175" customWidth="1"/>
    <col min="5" max="5" width="17" style="25" customWidth="1"/>
    <col min="6" max="7" width="17" style="25" hidden="1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535" customFormat="1" ht="12.75" customHeight="1" x14ac:dyDescent="0.2">
      <c r="A1" s="1774" t="s">
        <v>811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732</v>
      </c>
      <c r="B2" s="1774"/>
      <c r="C2" s="1774"/>
      <c r="D2" s="1774"/>
      <c r="E2" s="1774"/>
      <c r="F2" s="1774"/>
      <c r="G2" s="1774"/>
      <c r="H2" s="1774"/>
    </row>
    <row r="3" spans="1:12" s="24" customFormat="1" ht="21.2" customHeight="1" thickBot="1" x14ac:dyDescent="0.25">
      <c r="A3" s="170"/>
      <c r="C3" s="982"/>
      <c r="D3" s="1151"/>
      <c r="E3" s="982"/>
      <c r="F3" s="982"/>
      <c r="G3" s="982"/>
      <c r="H3" s="982"/>
      <c r="I3" s="982"/>
      <c r="J3" s="982"/>
      <c r="K3" s="982"/>
      <c r="L3" s="982"/>
    </row>
    <row r="4" spans="1:12" s="38" customFormat="1" ht="38.25" customHeight="1" x14ac:dyDescent="0.2">
      <c r="A4" s="36" t="s">
        <v>137</v>
      </c>
      <c r="B4" s="37" t="s">
        <v>8</v>
      </c>
      <c r="C4" s="1806" t="s">
        <v>181</v>
      </c>
      <c r="D4" s="1807"/>
      <c r="E4" s="1807"/>
      <c r="F4" s="1807"/>
      <c r="G4" s="1807"/>
      <c r="H4" s="1808"/>
    </row>
    <row r="5" spans="1:12" s="38" customFormat="1" ht="36.75" thickBot="1" x14ac:dyDescent="0.25">
      <c r="A5" s="39" t="s">
        <v>139</v>
      </c>
      <c r="B5" s="40" t="s">
        <v>403</v>
      </c>
      <c r="C5" s="1929" t="s">
        <v>141</v>
      </c>
      <c r="D5" s="1930"/>
      <c r="E5" s="1930"/>
      <c r="F5" s="1930"/>
      <c r="G5" s="1930"/>
      <c r="H5" s="1931"/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2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152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153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33797627</v>
      </c>
      <c r="D10" s="1154">
        <f t="shared" ref="D10:K10" si="0">SUM(D11:D21)</f>
        <v>33797627</v>
      </c>
      <c r="E10" s="582">
        <f t="shared" si="0"/>
        <v>33797627</v>
      </c>
      <c r="F10" s="582">
        <f t="shared" si="0"/>
        <v>0</v>
      </c>
      <c r="G10" s="582">
        <f t="shared" si="0"/>
        <v>0</v>
      </c>
      <c r="H10" s="595">
        <f>+E10-D10</f>
        <v>0</v>
      </c>
      <c r="I10" s="1085">
        <f t="shared" si="0"/>
        <v>0</v>
      </c>
      <c r="J10" s="595">
        <f t="shared" si="0"/>
        <v>0</v>
      </c>
      <c r="K10" s="595">
        <f t="shared" si="0"/>
        <v>0</v>
      </c>
      <c r="L10" s="595">
        <f t="shared" ref="L10" si="1">SUM(L11:L21)</f>
        <v>0</v>
      </c>
    </row>
    <row r="11" spans="1:12" s="26" customFormat="1" ht="12.2" customHeight="1" x14ac:dyDescent="0.2">
      <c r="A11" s="49" t="s">
        <v>91</v>
      </c>
      <c r="B11" s="50" t="s">
        <v>143</v>
      </c>
      <c r="C11" s="128"/>
      <c r="D11" s="1155"/>
      <c r="E11" s="583"/>
      <c r="F11" s="583"/>
      <c r="G11" s="583"/>
      <c r="H11" s="540">
        <f t="shared" ref="H11:H47" si="2">+E11-D11</f>
        <v>0</v>
      </c>
      <c r="I11" s="1086"/>
      <c r="J11" s="540"/>
      <c r="K11" s="540"/>
      <c r="L11" s="540"/>
    </row>
    <row r="12" spans="1:12" s="26" customFormat="1" ht="12.2" customHeight="1" x14ac:dyDescent="0.2">
      <c r="A12" s="1037" t="s">
        <v>92</v>
      </c>
      <c r="B12" s="330" t="s">
        <v>144</v>
      </c>
      <c r="C12" s="331">
        <v>32729783</v>
      </c>
      <c r="D12" s="1156">
        <v>32729783</v>
      </c>
      <c r="E12" s="88">
        <v>32729783</v>
      </c>
      <c r="F12" s="88"/>
      <c r="G12" s="88"/>
      <c r="H12" s="541">
        <f t="shared" si="2"/>
        <v>0</v>
      </c>
      <c r="I12" s="1087"/>
      <c r="J12" s="541"/>
      <c r="K12" s="541"/>
      <c r="L12" s="541"/>
    </row>
    <row r="13" spans="1:12" s="26" customFormat="1" ht="12.2" customHeight="1" x14ac:dyDescent="0.2">
      <c r="A13" s="1037" t="s">
        <v>93</v>
      </c>
      <c r="B13" s="330" t="s">
        <v>145</v>
      </c>
      <c r="C13" s="331">
        <v>58164</v>
      </c>
      <c r="D13" s="1156">
        <v>58164</v>
      </c>
      <c r="E13" s="88">
        <v>58164</v>
      </c>
      <c r="F13" s="88"/>
      <c r="G13" s="88"/>
      <c r="H13" s="541">
        <f t="shared" si="2"/>
        <v>0</v>
      </c>
      <c r="I13" s="1087"/>
      <c r="J13" s="541"/>
      <c r="K13" s="541"/>
      <c r="L13" s="541"/>
    </row>
    <row r="14" spans="1:12" s="26" customFormat="1" ht="12.2" customHeight="1" x14ac:dyDescent="0.2">
      <c r="A14" s="1037" t="s">
        <v>90</v>
      </c>
      <c r="B14" s="330" t="s">
        <v>146</v>
      </c>
      <c r="C14" s="331"/>
      <c r="D14" s="1156"/>
      <c r="E14" s="88"/>
      <c r="F14" s="88"/>
      <c r="G14" s="88"/>
      <c r="H14" s="541">
        <f t="shared" si="2"/>
        <v>0</v>
      </c>
      <c r="I14" s="1087"/>
      <c r="J14" s="541"/>
      <c r="K14" s="541"/>
      <c r="L14" s="541"/>
    </row>
    <row r="15" spans="1:12" s="26" customFormat="1" ht="12.2" customHeight="1" x14ac:dyDescent="0.2">
      <c r="A15" s="1037" t="s">
        <v>147</v>
      </c>
      <c r="B15" s="330" t="s">
        <v>148</v>
      </c>
      <c r="C15" s="331"/>
      <c r="D15" s="1156"/>
      <c r="E15" s="88"/>
      <c r="F15" s="88"/>
      <c r="G15" s="88"/>
      <c r="H15" s="541">
        <f t="shared" si="2"/>
        <v>0</v>
      </c>
      <c r="I15" s="1087"/>
      <c r="J15" s="541"/>
      <c r="K15" s="541"/>
      <c r="L15" s="541"/>
    </row>
    <row r="16" spans="1:12" s="26" customFormat="1" ht="12.2" customHeight="1" x14ac:dyDescent="0.2">
      <c r="A16" s="1037" t="s">
        <v>149</v>
      </c>
      <c r="B16" s="330" t="s">
        <v>150</v>
      </c>
      <c r="C16" s="331">
        <v>1009680</v>
      </c>
      <c r="D16" s="1156">
        <v>1009680</v>
      </c>
      <c r="E16" s="88">
        <v>1009680</v>
      </c>
      <c r="F16" s="88"/>
      <c r="G16" s="88"/>
      <c r="H16" s="541">
        <f t="shared" si="2"/>
        <v>0</v>
      </c>
      <c r="I16" s="1087"/>
      <c r="J16" s="541"/>
      <c r="K16" s="541"/>
      <c r="L16" s="541"/>
    </row>
    <row r="17" spans="1:12" s="26" customFormat="1" ht="12.2" customHeight="1" x14ac:dyDescent="0.2">
      <c r="A17" s="1037" t="s">
        <v>151</v>
      </c>
      <c r="B17" s="52" t="s">
        <v>152</v>
      </c>
      <c r="C17" s="331"/>
      <c r="D17" s="1156"/>
      <c r="E17" s="88"/>
      <c r="F17" s="88"/>
      <c r="G17" s="88"/>
      <c r="H17" s="541">
        <f t="shared" si="2"/>
        <v>0</v>
      </c>
      <c r="I17" s="1087"/>
      <c r="J17" s="541"/>
      <c r="K17" s="541"/>
      <c r="L17" s="541"/>
    </row>
    <row r="18" spans="1:12" s="26" customFormat="1" ht="12.2" customHeight="1" x14ac:dyDescent="0.2">
      <c r="A18" s="1037" t="s">
        <v>153</v>
      </c>
      <c r="B18" s="345" t="s">
        <v>302</v>
      </c>
      <c r="C18" s="121"/>
      <c r="D18" s="1157"/>
      <c r="E18" s="90"/>
      <c r="F18" s="90"/>
      <c r="G18" s="90"/>
      <c r="H18" s="542">
        <f t="shared" si="2"/>
        <v>0</v>
      </c>
      <c r="I18" s="1088"/>
      <c r="J18" s="542"/>
      <c r="K18" s="542"/>
      <c r="L18" s="542"/>
    </row>
    <row r="19" spans="1:12" s="54" customFormat="1" ht="12.2" customHeight="1" x14ac:dyDescent="0.2">
      <c r="A19" s="1037" t="s">
        <v>154</v>
      </c>
      <c r="B19" s="330" t="s">
        <v>155</v>
      </c>
      <c r="C19" s="331"/>
      <c r="D19" s="1156"/>
      <c r="E19" s="88"/>
      <c r="F19" s="88"/>
      <c r="G19" s="88"/>
      <c r="H19" s="541">
        <f t="shared" si="2"/>
        <v>0</v>
      </c>
      <c r="I19" s="1087"/>
      <c r="J19" s="541"/>
      <c r="K19" s="541"/>
      <c r="L19" s="541"/>
    </row>
    <row r="20" spans="1:12" s="54" customFormat="1" ht="12.2" customHeight="1" x14ac:dyDescent="0.2">
      <c r="A20" s="1037" t="s">
        <v>156</v>
      </c>
      <c r="B20" s="345" t="s">
        <v>275</v>
      </c>
      <c r="C20" s="333"/>
      <c r="D20" s="1158"/>
      <c r="E20" s="88"/>
      <c r="F20" s="88"/>
      <c r="G20" s="331"/>
      <c r="H20" s="543">
        <f t="shared" si="2"/>
        <v>0</v>
      </c>
      <c r="I20" s="1089"/>
      <c r="J20" s="543"/>
      <c r="K20" s="543"/>
      <c r="L20" s="543"/>
    </row>
    <row r="21" spans="1:12" s="54" customFormat="1" ht="12.2" customHeight="1" thickBot="1" x14ac:dyDescent="0.25">
      <c r="A21" s="1037" t="s">
        <v>276</v>
      </c>
      <c r="B21" s="52" t="s">
        <v>157</v>
      </c>
      <c r="C21" s="333"/>
      <c r="D21" s="1158"/>
      <c r="E21" s="90"/>
      <c r="F21" s="90"/>
      <c r="G21" s="90"/>
      <c r="H21" s="544">
        <f t="shared" si="2"/>
        <v>0</v>
      </c>
      <c r="I21" s="1090"/>
      <c r="J21" s="544"/>
      <c r="K21" s="544"/>
      <c r="L21" s="544"/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SUM(C23:C25)</f>
        <v>1088951663</v>
      </c>
      <c r="D22" s="1154">
        <f t="shared" ref="D22:K22" si="3">SUM(D23:D25)</f>
        <v>1088951663</v>
      </c>
      <c r="E22" s="582">
        <f t="shared" si="3"/>
        <v>1088951663</v>
      </c>
      <c r="F22" s="582">
        <f t="shared" si="3"/>
        <v>0</v>
      </c>
      <c r="G22" s="582">
        <f t="shared" si="3"/>
        <v>0</v>
      </c>
      <c r="H22" s="48">
        <f t="shared" si="2"/>
        <v>0</v>
      </c>
      <c r="I22" s="175">
        <f t="shared" si="3"/>
        <v>0</v>
      </c>
      <c r="J22" s="48">
        <f t="shared" si="3"/>
        <v>0</v>
      </c>
      <c r="K22" s="48">
        <f t="shared" si="3"/>
        <v>0</v>
      </c>
      <c r="L22" s="48">
        <f t="shared" ref="L22" si="4">SUM(L23:L25)</f>
        <v>0</v>
      </c>
    </row>
    <row r="23" spans="1:12" s="54" customFormat="1" ht="12.2" customHeight="1" x14ac:dyDescent="0.2">
      <c r="A23" s="1037" t="s">
        <v>94</v>
      </c>
      <c r="B23" s="17" t="s">
        <v>159</v>
      </c>
      <c r="C23" s="331"/>
      <c r="D23" s="1156"/>
      <c r="E23" s="584"/>
      <c r="F23" s="584"/>
      <c r="G23" s="584"/>
      <c r="H23" s="75">
        <f t="shared" si="2"/>
        <v>0</v>
      </c>
      <c r="I23" s="637"/>
      <c r="J23" s="75"/>
      <c r="K23" s="75"/>
      <c r="L23" s="75"/>
    </row>
    <row r="24" spans="1:12" s="54" customFormat="1" ht="12.2" customHeight="1" x14ac:dyDescent="0.2">
      <c r="A24" s="1037" t="s">
        <v>95</v>
      </c>
      <c r="B24" s="330" t="s">
        <v>160</v>
      </c>
      <c r="C24" s="331">
        <v>0</v>
      </c>
      <c r="D24" s="1156">
        <v>0</v>
      </c>
      <c r="E24" s="88">
        <v>0</v>
      </c>
      <c r="F24" s="88">
        <v>0</v>
      </c>
      <c r="G24" s="88">
        <v>0</v>
      </c>
      <c r="H24" s="541">
        <f t="shared" si="2"/>
        <v>0</v>
      </c>
      <c r="I24" s="1087">
        <v>0</v>
      </c>
      <c r="J24" s="541">
        <v>0</v>
      </c>
      <c r="K24" s="541">
        <v>0</v>
      </c>
      <c r="L24" s="541">
        <v>0</v>
      </c>
    </row>
    <row r="25" spans="1:12" s="54" customFormat="1" ht="12.2" customHeight="1" x14ac:dyDescent="0.2">
      <c r="A25" s="1037" t="s">
        <v>96</v>
      </c>
      <c r="B25" s="330" t="s">
        <v>161</v>
      </c>
      <c r="C25" s="331">
        <v>1088951663</v>
      </c>
      <c r="D25" s="1156">
        <v>1088951663</v>
      </c>
      <c r="E25" s="88">
        <v>1088951663</v>
      </c>
      <c r="F25" s="88"/>
      <c r="G25" s="88"/>
      <c r="H25" s="541">
        <f t="shared" si="2"/>
        <v>0</v>
      </c>
      <c r="I25" s="1087"/>
      <c r="J25" s="541"/>
      <c r="K25" s="541"/>
      <c r="L25" s="541"/>
    </row>
    <row r="26" spans="1:12" s="54" customFormat="1" ht="12.2" customHeight="1" thickBot="1" x14ac:dyDescent="0.25">
      <c r="A26" s="1037" t="s">
        <v>317</v>
      </c>
      <c r="B26" s="335" t="s">
        <v>233</v>
      </c>
      <c r="C26" s="331"/>
      <c r="D26" s="1156"/>
      <c r="E26" s="88"/>
      <c r="F26" s="88"/>
      <c r="G26" s="88"/>
      <c r="H26" s="545">
        <f t="shared" si="2"/>
        <v>0</v>
      </c>
      <c r="I26" s="1091"/>
      <c r="J26" s="545"/>
      <c r="K26" s="545"/>
      <c r="L26" s="545"/>
    </row>
    <row r="27" spans="1:12" s="54" customFormat="1" ht="12.2" customHeight="1" thickBot="1" x14ac:dyDescent="0.25">
      <c r="A27" s="55" t="s">
        <v>14</v>
      </c>
      <c r="B27" s="56" t="s">
        <v>83</v>
      </c>
      <c r="C27" s="130"/>
      <c r="D27" s="1159"/>
      <c r="E27" s="585"/>
      <c r="F27" s="585"/>
      <c r="G27" s="585"/>
      <c r="H27" s="74">
        <f t="shared" si="2"/>
        <v>0</v>
      </c>
      <c r="I27" s="638"/>
      <c r="J27" s="74"/>
      <c r="K27" s="74"/>
      <c r="L27" s="74"/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+C29+C30</f>
        <v>0</v>
      </c>
      <c r="D28" s="1154">
        <f t="shared" ref="D28:K28" si="5">+D29+D30</f>
        <v>0</v>
      </c>
      <c r="E28" s="582">
        <f t="shared" si="5"/>
        <v>0</v>
      </c>
      <c r="F28" s="582">
        <f t="shared" si="5"/>
        <v>0</v>
      </c>
      <c r="G28" s="582">
        <f t="shared" si="5"/>
        <v>0</v>
      </c>
      <c r="H28" s="74">
        <f t="shared" si="2"/>
        <v>0</v>
      </c>
      <c r="I28" s="638">
        <f t="shared" si="5"/>
        <v>0</v>
      </c>
      <c r="J28" s="74">
        <f t="shared" si="5"/>
        <v>0</v>
      </c>
      <c r="K28" s="74">
        <f t="shared" si="5"/>
        <v>0</v>
      </c>
      <c r="L28" s="74">
        <f t="shared" ref="L28" si="6">+L29+L30</f>
        <v>0</v>
      </c>
    </row>
    <row r="29" spans="1:12" s="54" customFormat="1" ht="12.2" customHeight="1" x14ac:dyDescent="0.2">
      <c r="A29" s="58" t="s">
        <v>100</v>
      </c>
      <c r="B29" s="59" t="s">
        <v>160</v>
      </c>
      <c r="C29" s="122"/>
      <c r="D29" s="1160"/>
      <c r="E29" s="586"/>
      <c r="F29" s="586"/>
      <c r="G29" s="586"/>
      <c r="H29" s="546">
        <f t="shared" si="2"/>
        <v>0</v>
      </c>
      <c r="I29" s="1092"/>
      <c r="J29" s="546"/>
      <c r="K29" s="546"/>
      <c r="L29" s="546"/>
    </row>
    <row r="30" spans="1:12" s="54" customFormat="1" ht="12.2" customHeight="1" x14ac:dyDescent="0.2">
      <c r="A30" s="58" t="s">
        <v>101</v>
      </c>
      <c r="B30" s="336" t="s">
        <v>163</v>
      </c>
      <c r="C30" s="120"/>
      <c r="D30" s="1161"/>
      <c r="E30" s="107"/>
      <c r="F30" s="107"/>
      <c r="G30" s="339"/>
      <c r="H30" s="534">
        <f t="shared" si="2"/>
        <v>0</v>
      </c>
      <c r="I30" s="630"/>
      <c r="J30" s="534"/>
      <c r="K30" s="534"/>
      <c r="L30" s="534"/>
    </row>
    <row r="31" spans="1:12" s="54" customFormat="1" ht="12.2" customHeight="1" thickBot="1" x14ac:dyDescent="0.25">
      <c r="A31" s="1037" t="s">
        <v>281</v>
      </c>
      <c r="B31" s="102" t="s">
        <v>165</v>
      </c>
      <c r="C31" s="92"/>
      <c r="D31" s="1162"/>
      <c r="E31" s="587"/>
      <c r="F31" s="587"/>
      <c r="G31" s="587"/>
      <c r="H31" s="547">
        <f t="shared" si="2"/>
        <v>0</v>
      </c>
      <c r="I31" s="1093"/>
      <c r="J31" s="547"/>
      <c r="K31" s="547"/>
      <c r="L31" s="547"/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+C33+C34+C35</f>
        <v>0</v>
      </c>
      <c r="D32" s="1154">
        <f t="shared" ref="D32:K32" si="7">+D33+D34+D35</f>
        <v>0</v>
      </c>
      <c r="E32" s="582">
        <f t="shared" si="7"/>
        <v>0</v>
      </c>
      <c r="F32" s="582">
        <f t="shared" si="7"/>
        <v>0</v>
      </c>
      <c r="G32" s="582">
        <f t="shared" si="7"/>
        <v>0</v>
      </c>
      <c r="H32" s="74">
        <f t="shared" si="2"/>
        <v>0</v>
      </c>
      <c r="I32" s="638">
        <f t="shared" si="7"/>
        <v>0</v>
      </c>
      <c r="J32" s="74">
        <f t="shared" si="7"/>
        <v>0</v>
      </c>
      <c r="K32" s="74">
        <f t="shared" si="7"/>
        <v>0</v>
      </c>
      <c r="L32" s="74">
        <f t="shared" ref="L32" si="8">+L33+L34+L35</f>
        <v>0</v>
      </c>
    </row>
    <row r="33" spans="1:12" s="54" customFormat="1" ht="12.2" customHeight="1" x14ac:dyDescent="0.2">
      <c r="A33" s="58" t="s">
        <v>89</v>
      </c>
      <c r="B33" s="59" t="s">
        <v>167</v>
      </c>
      <c r="C33" s="122"/>
      <c r="D33" s="1160"/>
      <c r="E33" s="586"/>
      <c r="F33" s="586"/>
      <c r="G33" s="586"/>
      <c r="H33" s="546">
        <f t="shared" si="2"/>
        <v>0</v>
      </c>
      <c r="I33" s="1092"/>
      <c r="J33" s="546"/>
      <c r="K33" s="546"/>
      <c r="L33" s="546"/>
    </row>
    <row r="34" spans="1:12" s="54" customFormat="1" ht="12.2" customHeight="1" x14ac:dyDescent="0.2">
      <c r="A34" s="58" t="s">
        <v>102</v>
      </c>
      <c r="B34" s="336" t="s">
        <v>168</v>
      </c>
      <c r="C34" s="120"/>
      <c r="D34" s="1161"/>
      <c r="E34" s="107"/>
      <c r="F34" s="107"/>
      <c r="G34" s="339"/>
      <c r="H34" s="534">
        <f t="shared" si="2"/>
        <v>0</v>
      </c>
      <c r="I34" s="630"/>
      <c r="J34" s="534"/>
      <c r="K34" s="534"/>
      <c r="L34" s="534"/>
    </row>
    <row r="35" spans="1:12" s="54" customFormat="1" ht="12.2" customHeight="1" thickBot="1" x14ac:dyDescent="0.25">
      <c r="A35" s="1037" t="s">
        <v>103</v>
      </c>
      <c r="B35" s="62" t="s">
        <v>169</v>
      </c>
      <c r="C35" s="92"/>
      <c r="D35" s="1162"/>
      <c r="E35" s="587"/>
      <c r="F35" s="587"/>
      <c r="G35" s="587"/>
      <c r="H35" s="548">
        <f t="shared" si="2"/>
        <v>0</v>
      </c>
      <c r="I35" s="1094"/>
      <c r="J35" s="548"/>
      <c r="K35" s="548"/>
      <c r="L35" s="548"/>
    </row>
    <row r="36" spans="1:12" s="26" customFormat="1" ht="12.2" customHeight="1" thickBot="1" x14ac:dyDescent="0.25">
      <c r="A36" s="55" t="s">
        <v>17</v>
      </c>
      <c r="B36" s="56" t="s">
        <v>170</v>
      </c>
      <c r="C36" s="130">
        <v>5018250</v>
      </c>
      <c r="D36" s="1159">
        <v>5018250</v>
      </c>
      <c r="E36" s="1159">
        <f>5018250-4441987</f>
        <v>576263</v>
      </c>
      <c r="F36" s="1159">
        <v>5018250</v>
      </c>
      <c r="G36" s="1159">
        <v>5018250</v>
      </c>
      <c r="H36" s="74">
        <f t="shared" si="2"/>
        <v>-4441987</v>
      </c>
      <c r="I36" s="638"/>
      <c r="J36" s="74"/>
      <c r="K36" s="74"/>
      <c r="L36" s="74"/>
    </row>
    <row r="37" spans="1:12" s="26" customFormat="1" ht="12.2" customHeight="1" thickBot="1" x14ac:dyDescent="0.25">
      <c r="A37" s="1038" t="s">
        <v>104</v>
      </c>
      <c r="B37" s="337" t="s">
        <v>165</v>
      </c>
      <c r="C37" s="1032">
        <v>5018250</v>
      </c>
      <c r="D37" s="1288">
        <v>5018250</v>
      </c>
      <c r="E37" s="91">
        <f>5018250-4441987</f>
        <v>576263</v>
      </c>
      <c r="F37" s="91"/>
      <c r="G37" s="91"/>
      <c r="H37" s="1378">
        <f t="shared" si="2"/>
        <v>-4441987</v>
      </c>
      <c r="I37" s="1095"/>
      <c r="J37" s="549"/>
      <c r="K37" s="549"/>
      <c r="L37" s="549"/>
    </row>
    <row r="38" spans="1:12" s="26" customFormat="1" ht="12.2" customHeight="1" thickBot="1" x14ac:dyDescent="0.25">
      <c r="A38" s="55" t="s">
        <v>18</v>
      </c>
      <c r="B38" s="56" t="s">
        <v>555</v>
      </c>
      <c r="C38" s="130">
        <f>+C39+C40</f>
        <v>131957503</v>
      </c>
      <c r="D38" s="1159">
        <f>+D39+D40</f>
        <v>131957503</v>
      </c>
      <c r="E38" s="585">
        <f>+E39+E40</f>
        <v>136399490</v>
      </c>
      <c r="F38" s="585"/>
      <c r="G38" s="585"/>
      <c r="H38" s="74">
        <f t="shared" si="2"/>
        <v>4441987</v>
      </c>
      <c r="I38" s="638"/>
      <c r="J38" s="74"/>
      <c r="K38" s="74"/>
      <c r="L38" s="74"/>
    </row>
    <row r="39" spans="1:12" s="26" customFormat="1" ht="22.5" customHeight="1" x14ac:dyDescent="0.2">
      <c r="A39" s="12" t="s">
        <v>107</v>
      </c>
      <c r="B39" s="95" t="s">
        <v>212</v>
      </c>
      <c r="C39" s="131"/>
      <c r="D39" s="1163"/>
      <c r="E39" s="589"/>
      <c r="F39" s="589"/>
      <c r="G39" s="589"/>
      <c r="H39" s="550">
        <f t="shared" si="2"/>
        <v>0</v>
      </c>
      <c r="I39" s="1096"/>
      <c r="J39" s="550"/>
      <c r="K39" s="550"/>
      <c r="L39" s="550"/>
    </row>
    <row r="40" spans="1:12" s="26" customFormat="1" ht="12.2" customHeight="1" x14ac:dyDescent="0.2">
      <c r="A40" s="1003" t="s">
        <v>108</v>
      </c>
      <c r="B40" s="346" t="s">
        <v>213</v>
      </c>
      <c r="C40" s="1033">
        <v>131957503</v>
      </c>
      <c r="D40" s="1289">
        <v>131957503</v>
      </c>
      <c r="E40" s="605">
        <f>131957503+4441987</f>
        <v>136399490</v>
      </c>
      <c r="F40" s="590"/>
      <c r="G40" s="590"/>
      <c r="H40" s="551">
        <f t="shared" si="2"/>
        <v>4441987</v>
      </c>
      <c r="I40" s="1097"/>
      <c r="J40" s="551"/>
      <c r="K40" s="551"/>
      <c r="L40" s="551"/>
    </row>
    <row r="41" spans="1:12" s="26" customFormat="1" ht="12.2" customHeight="1" thickBot="1" x14ac:dyDescent="0.25">
      <c r="A41" s="1003" t="s">
        <v>323</v>
      </c>
      <c r="B41" s="103" t="s">
        <v>165</v>
      </c>
      <c r="C41" s="92">
        <v>131957503</v>
      </c>
      <c r="D41" s="1162">
        <v>131957503</v>
      </c>
      <c r="E41" s="593">
        <f>131957503+4441987</f>
        <v>136399490</v>
      </c>
      <c r="F41" s="591"/>
      <c r="G41" s="591"/>
      <c r="H41" s="1378">
        <f t="shared" si="2"/>
        <v>4441987</v>
      </c>
      <c r="I41" s="1098"/>
      <c r="J41" s="552"/>
      <c r="K41" s="552"/>
      <c r="L41" s="552"/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1259725043</v>
      </c>
      <c r="D42" s="1154">
        <f t="shared" ref="D42:K42" si="9">+D10+D22+D27+D28+D32+D36+D38</f>
        <v>1259725043</v>
      </c>
      <c r="E42" s="582">
        <f t="shared" si="9"/>
        <v>1259725043</v>
      </c>
      <c r="F42" s="582">
        <f t="shared" si="9"/>
        <v>5018250</v>
      </c>
      <c r="G42" s="582">
        <f t="shared" si="9"/>
        <v>5018250</v>
      </c>
      <c r="H42" s="74">
        <f t="shared" si="2"/>
        <v>0</v>
      </c>
      <c r="I42" s="638">
        <f t="shared" si="9"/>
        <v>0</v>
      </c>
      <c r="J42" s="74">
        <f t="shared" si="9"/>
        <v>0</v>
      </c>
      <c r="K42" s="74">
        <f t="shared" si="9"/>
        <v>0</v>
      </c>
      <c r="L42" s="74">
        <f t="shared" ref="L42" si="10">+L10+L22+L27+L28+L32+L36+L38</f>
        <v>0</v>
      </c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SUM(C44:C47)</f>
        <v>439167101</v>
      </c>
      <c r="D43" s="1154">
        <f>SUM(D44:D47)</f>
        <v>447807101</v>
      </c>
      <c r="E43" s="582">
        <f t="shared" ref="E43:K43" si="11">SUM(E44:E47)</f>
        <v>586530068</v>
      </c>
      <c r="F43" s="582">
        <f t="shared" si="11"/>
        <v>-5018250</v>
      </c>
      <c r="G43" s="582">
        <f t="shared" si="11"/>
        <v>-5018250</v>
      </c>
      <c r="H43" s="74">
        <f t="shared" si="2"/>
        <v>138722967</v>
      </c>
      <c r="I43" s="638">
        <f t="shared" si="11"/>
        <v>0</v>
      </c>
      <c r="J43" s="74">
        <f t="shared" si="11"/>
        <v>0</v>
      </c>
      <c r="K43" s="74">
        <f t="shared" si="11"/>
        <v>0</v>
      </c>
      <c r="L43" s="74">
        <f t="shared" ref="L43" si="12">SUM(L44:L47)</f>
        <v>0</v>
      </c>
    </row>
    <row r="44" spans="1:12" s="26" customFormat="1" ht="12.2" customHeight="1" x14ac:dyDescent="0.2">
      <c r="A44" s="58" t="s">
        <v>171</v>
      </c>
      <c r="B44" s="59" t="s">
        <v>131</v>
      </c>
      <c r="C44" s="122">
        <v>3550090</v>
      </c>
      <c r="D44" s="1160">
        <f>234451958-1222502</f>
        <v>233229456</v>
      </c>
      <c r="E44" s="586">
        <v>233229456</v>
      </c>
      <c r="F44" s="586"/>
      <c r="G44" s="586"/>
      <c r="H44" s="546">
        <f t="shared" si="2"/>
        <v>0</v>
      </c>
      <c r="I44" s="1092"/>
      <c r="J44" s="546"/>
      <c r="K44" s="546"/>
      <c r="L44" s="546"/>
    </row>
    <row r="45" spans="1:12" s="26" customFormat="1" ht="12.2" customHeight="1" x14ac:dyDescent="0.2">
      <c r="A45" s="71" t="s">
        <v>172</v>
      </c>
      <c r="B45" s="59" t="s">
        <v>186</v>
      </c>
      <c r="C45" s="120"/>
      <c r="D45" s="1161">
        <v>297434</v>
      </c>
      <c r="E45" s="91">
        <v>297434</v>
      </c>
      <c r="F45" s="91"/>
      <c r="G45" s="91"/>
      <c r="H45" s="553">
        <f t="shared" si="2"/>
        <v>0</v>
      </c>
      <c r="I45" s="1099"/>
      <c r="J45" s="553"/>
      <c r="K45" s="553"/>
      <c r="L45" s="553"/>
    </row>
    <row r="46" spans="1:12" s="26" customFormat="1" ht="12.2" customHeight="1" x14ac:dyDescent="0.2">
      <c r="A46" s="1037" t="s">
        <v>173</v>
      </c>
      <c r="B46" s="336" t="s">
        <v>177</v>
      </c>
      <c r="C46" s="339">
        <f>C70-C42-C44-C63-C65-C68+C38+C32+C28</f>
        <v>412107364</v>
      </c>
      <c r="D46" s="1166">
        <f>D70-D42-D44-D63-D65-D68+D38+D32+D28</f>
        <v>191067998</v>
      </c>
      <c r="E46" s="107">
        <f>E70-E42-E44-E63-E65-E68+E38+E32+E28</f>
        <v>334232952</v>
      </c>
      <c r="F46" s="107">
        <f t="shared" ref="F46:K46" si="13">F70-F42-F63-F65</f>
        <v>-5018250</v>
      </c>
      <c r="G46" s="107">
        <f t="shared" si="13"/>
        <v>-5018250</v>
      </c>
      <c r="H46" s="534">
        <f t="shared" si="2"/>
        <v>143164954</v>
      </c>
      <c r="I46" s="630">
        <f t="shared" si="13"/>
        <v>0</v>
      </c>
      <c r="J46" s="534">
        <f t="shared" si="13"/>
        <v>0</v>
      </c>
      <c r="K46" s="534">
        <f t="shared" si="13"/>
        <v>0</v>
      </c>
      <c r="L46" s="534">
        <f t="shared" ref="L46" si="14">L70-L42-L63-L65</f>
        <v>0</v>
      </c>
    </row>
    <row r="47" spans="1:12" s="54" customFormat="1" ht="12.2" customHeight="1" thickBot="1" x14ac:dyDescent="0.25">
      <c r="A47" s="58" t="s">
        <v>178</v>
      </c>
      <c r="B47" s="62" t="s">
        <v>179</v>
      </c>
      <c r="C47" s="1034">
        <f>C62-C45-C38-C32</f>
        <v>23509647</v>
      </c>
      <c r="D47" s="1167">
        <f>D62-D45-D38-D32</f>
        <v>23212213</v>
      </c>
      <c r="E47" s="587">
        <f>E62-E45-E38-E32</f>
        <v>18770226</v>
      </c>
      <c r="F47" s="587">
        <f t="shared" ref="F47:K47" si="15">F62-F45</f>
        <v>0</v>
      </c>
      <c r="G47" s="587">
        <f t="shared" si="15"/>
        <v>0</v>
      </c>
      <c r="H47" s="548">
        <f t="shared" si="2"/>
        <v>-4441987</v>
      </c>
      <c r="I47" s="1094">
        <f t="shared" si="15"/>
        <v>0</v>
      </c>
      <c r="J47" s="548">
        <f t="shared" si="15"/>
        <v>0</v>
      </c>
      <c r="K47" s="548">
        <f t="shared" si="15"/>
        <v>0</v>
      </c>
      <c r="L47" s="548">
        <f t="shared" ref="L47" si="16">L62-L45</f>
        <v>0</v>
      </c>
    </row>
    <row r="48" spans="1:12" s="54" customFormat="1" ht="15" customHeight="1" thickBot="1" x14ac:dyDescent="0.25">
      <c r="A48" s="63" t="s">
        <v>21</v>
      </c>
      <c r="B48" s="524" t="s">
        <v>174</v>
      </c>
      <c r="C48" s="135">
        <f>+C42+C43</f>
        <v>1698892144</v>
      </c>
      <c r="D48" s="1168">
        <f t="shared" ref="D48:K48" si="17">+D42+D43</f>
        <v>1707532144</v>
      </c>
      <c r="E48" s="592">
        <f t="shared" si="17"/>
        <v>1846255111</v>
      </c>
      <c r="F48" s="592">
        <f t="shared" si="17"/>
        <v>0</v>
      </c>
      <c r="G48" s="592">
        <f t="shared" si="17"/>
        <v>0</v>
      </c>
      <c r="H48" s="557">
        <f>+E48-D48</f>
        <v>138722967</v>
      </c>
      <c r="I48" s="1100">
        <f t="shared" si="17"/>
        <v>0</v>
      </c>
      <c r="J48" s="557">
        <f t="shared" si="17"/>
        <v>0</v>
      </c>
      <c r="K48" s="557">
        <f t="shared" si="17"/>
        <v>0</v>
      </c>
      <c r="L48" s="557">
        <f t="shared" ref="L48" si="18">+L42+L43</f>
        <v>0</v>
      </c>
    </row>
    <row r="49" spans="1:12" s="54" customFormat="1" ht="15" customHeight="1" x14ac:dyDescent="0.2">
      <c r="A49" s="64"/>
      <c r="B49" s="65"/>
      <c r="C49" s="66"/>
      <c r="D49" s="1169"/>
      <c r="E49" s="66"/>
      <c r="F49" s="66"/>
      <c r="G49" s="66"/>
      <c r="H49" s="66"/>
      <c r="I49" s="66"/>
      <c r="J49" s="66"/>
      <c r="K49" s="66"/>
      <c r="L49" s="66"/>
    </row>
    <row r="50" spans="1:12" s="54" customFormat="1" ht="15" customHeight="1" x14ac:dyDescent="0.2">
      <c r="A50" s="64"/>
      <c r="B50" s="65"/>
      <c r="C50" s="66"/>
      <c r="D50" s="1169"/>
      <c r="E50" s="66"/>
      <c r="F50" s="66"/>
      <c r="G50" s="66"/>
      <c r="H50" s="66"/>
      <c r="I50" s="66"/>
      <c r="J50" s="66"/>
      <c r="K50" s="66"/>
      <c r="L50" s="66"/>
    </row>
    <row r="51" spans="1:12" s="54" customFormat="1" ht="15" customHeight="1" thickBot="1" x14ac:dyDescent="0.25">
      <c r="A51" s="1912" t="s">
        <v>362</v>
      </c>
      <c r="B51" s="1912"/>
      <c r="C51" s="1912"/>
      <c r="D51" s="1912"/>
      <c r="E51" s="1912"/>
      <c r="F51" s="1912"/>
      <c r="G51" s="1912"/>
      <c r="H51" s="1912"/>
      <c r="I51" s="66"/>
      <c r="J51" s="66"/>
      <c r="K51" s="66"/>
      <c r="L51" s="66"/>
    </row>
    <row r="52" spans="1:12" s="554" customFormat="1" ht="55.5" customHeight="1" thickBot="1" x14ac:dyDescent="0.25">
      <c r="A52" s="641"/>
      <c r="B52" s="642" t="s">
        <v>38</v>
      </c>
      <c r="C52" s="21" t="str">
        <f>C7</f>
        <v>2023. évi eredeti előirányzat
2/2023. (II.14.)</v>
      </c>
      <c r="D52" s="1176" t="str">
        <f t="shared" ref="D52:L52" si="19">D7</f>
        <v>Módosított előirányzat a 14/2023.  (VI.29.)  rendelet szerint</v>
      </c>
      <c r="E52" s="21" t="str">
        <f t="shared" si="19"/>
        <v>Módosított előirányzat a 18/2023. (IX.26.)  rendelet szerint</v>
      </c>
      <c r="F52" s="1322" t="str">
        <f t="shared" si="19"/>
        <v>Módosított előirányzat 2023.09.30-án</v>
      </c>
      <c r="G52" s="555" t="str">
        <f t="shared" si="19"/>
        <v>Módosított előirányzat a …../2023. (II…..)  rendelet szerint</v>
      </c>
      <c r="H52" s="32" t="str">
        <f t="shared" si="19"/>
        <v>Változás a 14/2023. (VI.29.) rendelethez képest</v>
      </c>
      <c r="I52" s="21" t="str">
        <f t="shared" si="19"/>
        <v>2023. évi teljesítés              2023.06.30-ig</v>
      </c>
      <c r="J52" s="21" t="str">
        <f t="shared" si="19"/>
        <v>2023. évi teljesítés              2023.09.30-ig</v>
      </c>
      <c r="K52" s="21" t="str">
        <f t="shared" si="19"/>
        <v>2023. évi teljesítés              2023.12.31-ig</v>
      </c>
      <c r="L52" s="21" t="str">
        <f t="shared" si="19"/>
        <v>Teljesítés %-a</v>
      </c>
    </row>
    <row r="53" spans="1:12" s="31" customFormat="1" ht="12.2" customHeight="1" thickBot="1" x14ac:dyDescent="0.25">
      <c r="A53" s="55" t="s">
        <v>12</v>
      </c>
      <c r="B53" s="56" t="s">
        <v>547</v>
      </c>
      <c r="C53" s="89">
        <f>SUM(C54:C59)-C55</f>
        <v>1543424994</v>
      </c>
      <c r="D53" s="1154">
        <f>SUM(D54:D59)-D55</f>
        <v>1552064994</v>
      </c>
      <c r="E53" s="582">
        <f t="shared" ref="E53:L53" si="20">SUM(E54:E59)-E55</f>
        <v>1690787961</v>
      </c>
      <c r="F53" s="582">
        <f t="shared" si="20"/>
        <v>0</v>
      </c>
      <c r="G53" s="582">
        <f t="shared" si="20"/>
        <v>0</v>
      </c>
      <c r="H53" s="48">
        <f t="shared" ref="H53:H72" si="21">+E53-D53</f>
        <v>138722967</v>
      </c>
      <c r="I53" s="48">
        <f t="shared" si="20"/>
        <v>0</v>
      </c>
      <c r="J53" s="48">
        <f t="shared" si="20"/>
        <v>0</v>
      </c>
      <c r="K53" s="48">
        <f t="shared" si="20"/>
        <v>0</v>
      </c>
      <c r="L53" s="48">
        <f t="shared" si="20"/>
        <v>0</v>
      </c>
    </row>
    <row r="54" spans="1:12" ht="12.2" customHeight="1" x14ac:dyDescent="0.2">
      <c r="A54" s="329" t="s">
        <v>91</v>
      </c>
      <c r="B54" s="17" t="s">
        <v>68</v>
      </c>
      <c r="C54" s="122">
        <v>1087726833</v>
      </c>
      <c r="D54" s="1160">
        <f>1087726833+6750000</f>
        <v>1094476833</v>
      </c>
      <c r="E54" s="1160">
        <f>1094476833+(150000*135)+48000000-1788514</f>
        <v>1160938319</v>
      </c>
      <c r="F54" s="586"/>
      <c r="G54" s="586"/>
      <c r="H54" s="33">
        <f t="shared" si="21"/>
        <v>66461486</v>
      </c>
      <c r="I54" s="33"/>
      <c r="J54" s="33"/>
      <c r="K54" s="33"/>
      <c r="L54" s="33"/>
    </row>
    <row r="55" spans="1:12" ht="12.2" customHeight="1" x14ac:dyDescent="0.2">
      <c r="A55" s="329" t="s">
        <v>305</v>
      </c>
      <c r="B55" s="335" t="s">
        <v>270</v>
      </c>
      <c r="C55" s="122"/>
      <c r="D55" s="1160"/>
      <c r="E55" s="1160">
        <f>48000000-1788514</f>
        <v>46211486</v>
      </c>
      <c r="F55" s="586"/>
      <c r="G55" s="586"/>
      <c r="H55" s="33">
        <f t="shared" si="21"/>
        <v>46211486</v>
      </c>
      <c r="I55" s="33"/>
      <c r="J55" s="33"/>
      <c r="K55" s="33"/>
      <c r="L55" s="33"/>
    </row>
    <row r="56" spans="1:12" ht="12.2" customHeight="1" x14ac:dyDescent="0.2">
      <c r="A56" s="329" t="s">
        <v>92</v>
      </c>
      <c r="B56" s="330" t="s">
        <v>87</v>
      </c>
      <c r="C56" s="339">
        <v>139750519</v>
      </c>
      <c r="D56" s="1166">
        <f>139750519+1890000</f>
        <v>141640519</v>
      </c>
      <c r="E56" s="1166">
        <f>141640519+(150000*135*0.28)+6240000-232507+2880000</f>
        <v>156198012</v>
      </c>
      <c r="F56" s="107"/>
      <c r="G56" s="107"/>
      <c r="H56" s="324">
        <f t="shared" si="21"/>
        <v>14557493</v>
      </c>
      <c r="I56" s="324"/>
      <c r="J56" s="324"/>
      <c r="K56" s="324"/>
      <c r="L56" s="324"/>
    </row>
    <row r="57" spans="1:12" ht="12.2" customHeight="1" x14ac:dyDescent="0.2">
      <c r="A57" s="329" t="s">
        <v>93</v>
      </c>
      <c r="B57" s="330" t="s">
        <v>69</v>
      </c>
      <c r="C57" s="339">
        <v>315947642</v>
      </c>
      <c r="D57" s="1166">
        <v>315947642</v>
      </c>
      <c r="E57" s="1166">
        <f>315947642+57703988</f>
        <v>373651630</v>
      </c>
      <c r="F57" s="107"/>
      <c r="G57" s="107"/>
      <c r="H57" s="324">
        <f t="shared" si="21"/>
        <v>57703988</v>
      </c>
      <c r="I57" s="324"/>
      <c r="J57" s="324"/>
      <c r="K57" s="324"/>
      <c r="L57" s="324"/>
    </row>
    <row r="58" spans="1:12" ht="12.2" customHeight="1" x14ac:dyDescent="0.2">
      <c r="A58" s="329" t="s">
        <v>90</v>
      </c>
      <c r="B58" s="330" t="s">
        <v>80</v>
      </c>
      <c r="C58" s="339"/>
      <c r="D58" s="1166"/>
      <c r="E58" s="1166"/>
      <c r="F58" s="107"/>
      <c r="G58" s="107"/>
      <c r="H58" s="324">
        <f t="shared" si="21"/>
        <v>0</v>
      </c>
      <c r="I58" s="324"/>
      <c r="J58" s="324"/>
      <c r="K58" s="324"/>
      <c r="L58" s="324"/>
    </row>
    <row r="59" spans="1:12" ht="12.2" customHeight="1" x14ac:dyDescent="0.2">
      <c r="A59" s="329" t="s">
        <v>147</v>
      </c>
      <c r="B59" s="330" t="s">
        <v>88</v>
      </c>
      <c r="C59" s="339"/>
      <c r="D59" s="1166"/>
      <c r="E59" s="107"/>
      <c r="F59" s="107"/>
      <c r="G59" s="107"/>
      <c r="H59" s="324">
        <f t="shared" si="21"/>
        <v>0</v>
      </c>
      <c r="I59" s="324"/>
      <c r="J59" s="324"/>
      <c r="K59" s="324"/>
      <c r="L59" s="324"/>
    </row>
    <row r="60" spans="1:12" ht="12.2" customHeight="1" x14ac:dyDescent="0.2">
      <c r="A60" s="329" t="s">
        <v>306</v>
      </c>
      <c r="B60" s="521" t="s">
        <v>235</v>
      </c>
      <c r="C60" s="339"/>
      <c r="D60" s="1166"/>
      <c r="E60" s="107"/>
      <c r="F60" s="107"/>
      <c r="G60" s="107"/>
      <c r="H60" s="324">
        <f t="shared" si="21"/>
        <v>0</v>
      </c>
      <c r="I60" s="324"/>
      <c r="J60" s="324"/>
      <c r="K60" s="324"/>
      <c r="L60" s="324"/>
    </row>
    <row r="61" spans="1:12" ht="12.2" customHeight="1" thickBot="1" x14ac:dyDescent="0.25">
      <c r="A61" s="84" t="s">
        <v>307</v>
      </c>
      <c r="B61" s="85" t="s">
        <v>234</v>
      </c>
      <c r="C61" s="92"/>
      <c r="D61" s="1162"/>
      <c r="E61" s="593"/>
      <c r="F61" s="593"/>
      <c r="G61" s="593"/>
      <c r="H61" s="61">
        <f t="shared" si="21"/>
        <v>0</v>
      </c>
      <c r="I61" s="61"/>
      <c r="J61" s="61"/>
      <c r="K61" s="61"/>
      <c r="L61" s="61"/>
    </row>
    <row r="62" spans="1:12" ht="12.2" customHeight="1" thickBot="1" x14ac:dyDescent="0.25">
      <c r="A62" s="55" t="s">
        <v>13</v>
      </c>
      <c r="B62" s="56" t="s">
        <v>548</v>
      </c>
      <c r="C62" s="89">
        <f>+C63+C65+C67</f>
        <v>155467150</v>
      </c>
      <c r="D62" s="1154">
        <f>+D63+D65+D67</f>
        <v>155467150</v>
      </c>
      <c r="E62" s="582">
        <f t="shared" ref="E62:G62" si="22">+E63+E65+E67</f>
        <v>155467150</v>
      </c>
      <c r="F62" s="582">
        <f t="shared" si="22"/>
        <v>0</v>
      </c>
      <c r="G62" s="582">
        <f t="shared" si="22"/>
        <v>0</v>
      </c>
      <c r="H62" s="48">
        <f t="shared" si="21"/>
        <v>0</v>
      </c>
      <c r="I62" s="48">
        <f t="shared" ref="I62" si="23">+I63+I65+I67</f>
        <v>0</v>
      </c>
      <c r="J62" s="48">
        <f t="shared" ref="J62" si="24">+J63+J65+J67</f>
        <v>0</v>
      </c>
      <c r="K62" s="48">
        <f t="shared" ref="K62" si="25">+K63+K65+K67</f>
        <v>0</v>
      </c>
      <c r="L62" s="48">
        <f t="shared" ref="L62" si="26">SUM(L63:L67)</f>
        <v>0</v>
      </c>
    </row>
    <row r="63" spans="1:12" s="31" customFormat="1" ht="12.2" customHeight="1" x14ac:dyDescent="0.2">
      <c r="A63" s="329" t="s">
        <v>94</v>
      </c>
      <c r="B63" s="17" t="s">
        <v>119</v>
      </c>
      <c r="C63" s="122">
        <v>155467150</v>
      </c>
      <c r="D63" s="1160">
        <v>155467150</v>
      </c>
      <c r="E63" s="586">
        <v>155467150</v>
      </c>
      <c r="F63" s="586"/>
      <c r="G63" s="586"/>
      <c r="H63" s="33">
        <f t="shared" si="21"/>
        <v>0</v>
      </c>
      <c r="I63" s="33"/>
      <c r="J63" s="33"/>
      <c r="K63" s="33"/>
      <c r="L63" s="33"/>
    </row>
    <row r="64" spans="1:12" s="31" customFormat="1" ht="12.2" customHeight="1" x14ac:dyDescent="0.2">
      <c r="A64" s="329" t="s">
        <v>316</v>
      </c>
      <c r="B64" s="522" t="s">
        <v>236</v>
      </c>
      <c r="C64" s="122">
        <v>131957503</v>
      </c>
      <c r="D64" s="1160">
        <v>131957503</v>
      </c>
      <c r="E64" s="586">
        <v>131957503</v>
      </c>
      <c r="F64" s="586"/>
      <c r="G64" s="586"/>
      <c r="H64" s="33">
        <f t="shared" si="21"/>
        <v>0</v>
      </c>
      <c r="I64" s="33"/>
      <c r="J64" s="33"/>
      <c r="K64" s="33"/>
      <c r="L64" s="33"/>
    </row>
    <row r="65" spans="1:12" ht="12.2" customHeight="1" x14ac:dyDescent="0.2">
      <c r="A65" s="329" t="s">
        <v>95</v>
      </c>
      <c r="B65" s="330" t="s">
        <v>2</v>
      </c>
      <c r="C65" s="339"/>
      <c r="D65" s="1166"/>
      <c r="E65" s="107"/>
      <c r="F65" s="107"/>
      <c r="G65" s="107"/>
      <c r="H65" s="324">
        <f t="shared" si="21"/>
        <v>0</v>
      </c>
      <c r="I65" s="324"/>
      <c r="J65" s="324"/>
      <c r="K65" s="324"/>
      <c r="L65" s="324"/>
    </row>
    <row r="66" spans="1:12" ht="12.2" customHeight="1" x14ac:dyDescent="0.2">
      <c r="A66" s="329" t="s">
        <v>342</v>
      </c>
      <c r="B66" s="523" t="s">
        <v>237</v>
      </c>
      <c r="C66" s="339"/>
      <c r="D66" s="1166"/>
      <c r="E66" s="107"/>
      <c r="F66" s="107"/>
      <c r="G66" s="107"/>
      <c r="H66" s="324">
        <f t="shared" si="21"/>
        <v>0</v>
      </c>
      <c r="I66" s="324"/>
      <c r="J66" s="324"/>
      <c r="K66" s="324"/>
      <c r="L66" s="324"/>
    </row>
    <row r="67" spans="1:12" ht="12.2" customHeight="1" x14ac:dyDescent="0.2">
      <c r="A67" s="329" t="s">
        <v>96</v>
      </c>
      <c r="B67" s="17" t="s">
        <v>175</v>
      </c>
      <c r="C67" s="339"/>
      <c r="D67" s="1166"/>
      <c r="E67" s="107"/>
      <c r="F67" s="107"/>
      <c r="G67" s="107"/>
      <c r="H67" s="324">
        <f t="shared" si="21"/>
        <v>0</v>
      </c>
      <c r="I67" s="324"/>
      <c r="J67" s="324"/>
      <c r="K67" s="324"/>
      <c r="L67" s="324"/>
    </row>
    <row r="68" spans="1:12" ht="12.2" customHeight="1" x14ac:dyDescent="0.2">
      <c r="A68" s="329" t="s">
        <v>317</v>
      </c>
      <c r="B68" s="521" t="s">
        <v>239</v>
      </c>
      <c r="C68" s="339"/>
      <c r="D68" s="1166"/>
      <c r="E68" s="107"/>
      <c r="F68" s="107"/>
      <c r="G68" s="107"/>
      <c r="H68" s="324">
        <f t="shared" si="21"/>
        <v>0</v>
      </c>
      <c r="I68" s="324"/>
      <c r="J68" s="324"/>
      <c r="K68" s="324"/>
      <c r="L68" s="324"/>
    </row>
    <row r="69" spans="1:12" ht="12.2" customHeight="1" thickBot="1" x14ac:dyDescent="0.25">
      <c r="A69" s="84" t="s">
        <v>318</v>
      </c>
      <c r="B69" s="85" t="s">
        <v>238</v>
      </c>
      <c r="C69" s="92"/>
      <c r="D69" s="1166"/>
      <c r="E69" s="107"/>
      <c r="F69" s="107"/>
      <c r="G69" s="107"/>
      <c r="H69" s="324">
        <f t="shared" si="21"/>
        <v>0</v>
      </c>
      <c r="I69" s="324"/>
      <c r="J69" s="324"/>
      <c r="K69" s="324"/>
      <c r="L69" s="324"/>
    </row>
    <row r="70" spans="1:12" ht="15" customHeight="1" thickBot="1" x14ac:dyDescent="0.25">
      <c r="A70" s="55" t="s">
        <v>14</v>
      </c>
      <c r="B70" s="67" t="s">
        <v>176</v>
      </c>
      <c r="C70" s="135">
        <f>+C53+C62</f>
        <v>1698892144</v>
      </c>
      <c r="D70" s="1168">
        <f>+D53+D62</f>
        <v>1707532144</v>
      </c>
      <c r="E70" s="592">
        <f t="shared" ref="E70:L70" si="27">+E53+E62</f>
        <v>1846255111</v>
      </c>
      <c r="F70" s="592">
        <f t="shared" si="27"/>
        <v>0</v>
      </c>
      <c r="G70" s="592">
        <f t="shared" si="27"/>
        <v>0</v>
      </c>
      <c r="H70" s="68">
        <f t="shared" si="21"/>
        <v>138722967</v>
      </c>
      <c r="I70" s="68">
        <f t="shared" si="27"/>
        <v>0</v>
      </c>
      <c r="J70" s="68">
        <f t="shared" si="27"/>
        <v>0</v>
      </c>
      <c r="K70" s="68">
        <f t="shared" si="27"/>
        <v>0</v>
      </c>
      <c r="L70" s="68">
        <f t="shared" si="27"/>
        <v>0</v>
      </c>
    </row>
    <row r="71" spans="1:12" ht="13.5" thickBot="1" x14ac:dyDescent="0.25">
      <c r="C71" s="27"/>
      <c r="D71" s="1171"/>
      <c r="E71" s="1171"/>
      <c r="F71" s="1171"/>
      <c r="G71" s="1171"/>
      <c r="H71" s="1171"/>
      <c r="I71" s="27"/>
      <c r="J71" s="27"/>
      <c r="K71" s="27"/>
      <c r="L71" s="27"/>
    </row>
    <row r="72" spans="1:12" ht="15" customHeight="1" thickBot="1" x14ac:dyDescent="0.25">
      <c r="A72" s="69" t="s">
        <v>292</v>
      </c>
      <c r="B72" s="70"/>
      <c r="C72" s="136">
        <v>135</v>
      </c>
      <c r="D72" s="1172">
        <v>135</v>
      </c>
      <c r="E72" s="1172">
        <v>135</v>
      </c>
      <c r="F72" s="1392"/>
      <c r="G72" s="1392"/>
      <c r="H72" s="1393">
        <f t="shared" si="21"/>
        <v>0</v>
      </c>
      <c r="I72" s="174"/>
      <c r="J72" s="174"/>
      <c r="K72" s="174"/>
      <c r="L72" s="174"/>
    </row>
    <row r="73" spans="1:12" ht="14.25" hidden="1" customHeight="1" thickBot="1" x14ac:dyDescent="0.25">
      <c r="A73" s="69" t="s">
        <v>291</v>
      </c>
      <c r="B73" s="70"/>
      <c r="C73" s="608"/>
      <c r="D73" s="1173"/>
      <c r="E73" s="607"/>
      <c r="F73" s="607"/>
      <c r="G73" s="607"/>
      <c r="H73" s="609"/>
      <c r="I73" s="609"/>
      <c r="J73" s="609"/>
      <c r="K73" s="609"/>
      <c r="L73" s="609"/>
    </row>
    <row r="74" spans="1:12" x14ac:dyDescent="0.2">
      <c r="D74" s="1174"/>
      <c r="E74" s="163"/>
      <c r="F74" s="163"/>
      <c r="G74" s="163"/>
      <c r="H74" s="163"/>
      <c r="I74" s="163"/>
      <c r="J74" s="163"/>
      <c r="K74" s="163"/>
      <c r="L74" s="163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4" orientation="portrait" r:id="rId1"/>
  <headerFooter alignWithMargins="0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74"/>
  <sheetViews>
    <sheetView view="pageBreakPreview" topLeftCell="A37" zoomScale="112" zoomScaleNormal="100" zoomScaleSheetLayoutView="112" workbookViewId="0">
      <selection activeCell="A2" sqref="A2:H2"/>
    </sheetView>
  </sheetViews>
  <sheetFormatPr defaultRowHeight="12.75" x14ac:dyDescent="0.2"/>
  <cols>
    <col min="1" max="1" width="12" style="988" customWidth="1"/>
    <col min="2" max="2" width="57.83203125" style="25" customWidth="1"/>
    <col min="3" max="3" width="15.33203125" style="25" customWidth="1"/>
    <col min="4" max="4" width="16.83203125" style="25" customWidth="1"/>
    <col min="5" max="5" width="17" style="25" customWidth="1"/>
    <col min="6" max="7" width="17" style="25" hidden="1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535" customFormat="1" ht="12.75" customHeight="1" x14ac:dyDescent="0.2">
      <c r="A1" s="1774" t="s">
        <v>811</v>
      </c>
      <c r="B1" s="1774"/>
      <c r="C1" s="1774"/>
      <c r="D1" s="1774"/>
      <c r="E1" s="1774"/>
      <c r="F1" s="1774"/>
      <c r="G1" s="1774"/>
      <c r="H1" s="1774"/>
    </row>
    <row r="2" spans="1:12" s="535" customFormat="1" ht="12.75" customHeight="1" x14ac:dyDescent="0.2">
      <c r="A2" s="1774" t="s">
        <v>732</v>
      </c>
      <c r="B2" s="1774"/>
      <c r="C2" s="1774"/>
      <c r="D2" s="1774"/>
      <c r="E2" s="1774"/>
      <c r="F2" s="1774"/>
      <c r="G2" s="1774"/>
      <c r="H2" s="1774"/>
    </row>
    <row r="3" spans="1:12" s="24" customFormat="1" ht="21.2" customHeight="1" thickBot="1" x14ac:dyDescent="0.25">
      <c r="A3" s="170"/>
      <c r="C3" s="982"/>
      <c r="D3" s="982"/>
      <c r="E3" s="982"/>
      <c r="F3" s="982"/>
      <c r="G3" s="982"/>
      <c r="H3" s="982"/>
      <c r="I3" s="982"/>
      <c r="J3" s="982"/>
      <c r="K3" s="982"/>
      <c r="L3" s="982"/>
    </row>
    <row r="4" spans="1:12" s="38" customFormat="1" ht="38.25" customHeight="1" x14ac:dyDescent="0.2">
      <c r="A4" s="36" t="s">
        <v>137</v>
      </c>
      <c r="B4" s="37" t="s">
        <v>8</v>
      </c>
      <c r="C4" s="1806" t="s">
        <v>181</v>
      </c>
      <c r="D4" s="1807"/>
      <c r="E4" s="1807"/>
      <c r="F4" s="1807"/>
      <c r="G4" s="1807"/>
      <c r="H4" s="1808"/>
    </row>
    <row r="5" spans="1:12" s="38" customFormat="1" ht="36.75" thickBot="1" x14ac:dyDescent="0.25">
      <c r="A5" s="39" t="s">
        <v>139</v>
      </c>
      <c r="B5" s="40" t="s">
        <v>404</v>
      </c>
      <c r="C5" s="1929" t="s">
        <v>141</v>
      </c>
      <c r="D5" s="1930"/>
      <c r="E5" s="1930"/>
      <c r="F5" s="1930"/>
      <c r="G5" s="1930"/>
      <c r="H5" s="1931"/>
    </row>
    <row r="6" spans="1:12" s="41" customFormat="1" ht="15.95" customHeight="1" thickBot="1" x14ac:dyDescent="0.25">
      <c r="A6" s="1919" t="s">
        <v>362</v>
      </c>
      <c r="B6" s="1919"/>
      <c r="C6" s="1919"/>
      <c r="D6" s="1919"/>
      <c r="E6" s="1919"/>
      <c r="F6" s="1919"/>
      <c r="G6" s="1919"/>
      <c r="H6" s="1919"/>
    </row>
    <row r="7" spans="1:12" ht="52.5" customHeight="1" thickBot="1" x14ac:dyDescent="0.25">
      <c r="A7" s="641" t="s">
        <v>142</v>
      </c>
      <c r="B7" s="42" t="s">
        <v>36</v>
      </c>
      <c r="C7" s="42" t="str">
        <f>'26._köt_össz_bev'!C9</f>
        <v>2023. évi eredeti előirányzat
2/2023. (II.14.)</v>
      </c>
      <c r="D7" s="191" t="str">
        <f>'26._köt_össz_bev'!D9</f>
        <v>Módosított előirányzat a 14/2023.  (VI.29.)  rendelet szerint</v>
      </c>
      <c r="E7" s="42" t="str">
        <f>'26._köt_össz_bev'!E9</f>
        <v>Módosított előirányzat a 18/2023. (IX.26.)  rendelet szerint</v>
      </c>
      <c r="F7" s="42" t="str">
        <f>'26._köt_össz_bev'!F9</f>
        <v>Módosított előirányzat 2023.09.30-án</v>
      </c>
      <c r="G7" s="42" t="str">
        <f>'26._köt_össz_bev'!G9</f>
        <v>Módosított előirányzat a …../2023. (II…..)  rendelet szerint</v>
      </c>
      <c r="H7" s="126" t="str">
        <f>'26._köt_össz_bev'!H9</f>
        <v>Változás a 14/2023. (VI.29.) rendelethez képest</v>
      </c>
      <c r="I7" s="191" t="str">
        <f>'26._köt_össz_bev'!I9</f>
        <v>2023. évi teljesítés              2023.06.30-ig</v>
      </c>
      <c r="J7" s="42" t="str">
        <f>'26._köt_össz_bev'!J9</f>
        <v>2023. évi teljesítés              2023.09.30-ig</v>
      </c>
      <c r="K7" s="42" t="str">
        <f>'26._köt_össz_bev'!K9</f>
        <v>2023. évi teljesítés              2023.12.31-ig</v>
      </c>
      <c r="L7" s="42" t="str">
        <f>'26._köt_össz_bev'!L9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44" t="s">
        <v>299</v>
      </c>
      <c r="D8" s="182" t="s">
        <v>300</v>
      </c>
      <c r="E8" s="565" t="s">
        <v>301</v>
      </c>
      <c r="F8" s="565"/>
      <c r="G8" s="565"/>
      <c r="H8" s="45" t="s">
        <v>388</v>
      </c>
      <c r="I8" s="180"/>
      <c r="J8" s="45"/>
      <c r="K8" s="45"/>
      <c r="L8" s="45"/>
    </row>
    <row r="9" spans="1:12" s="46" customFormat="1" ht="15.75" customHeight="1" thickBot="1" x14ac:dyDescent="0.25">
      <c r="A9" s="1921" t="s">
        <v>37</v>
      </c>
      <c r="B9" s="1922"/>
      <c r="C9" s="1922"/>
      <c r="D9" s="1922"/>
      <c r="E9" s="1922"/>
      <c r="F9" s="1922"/>
      <c r="G9" s="1922"/>
      <c r="H9" s="1923"/>
    </row>
    <row r="10" spans="1:12" s="26" customFormat="1" ht="12.2" customHeight="1" thickBot="1" x14ac:dyDescent="0.25">
      <c r="A10" s="43" t="s">
        <v>12</v>
      </c>
      <c r="B10" s="47" t="s">
        <v>277</v>
      </c>
      <c r="C10" s="89"/>
      <c r="D10" s="127"/>
      <c r="E10" s="582"/>
      <c r="F10" s="582"/>
      <c r="G10" s="582"/>
      <c r="H10" s="595"/>
      <c r="I10" s="1085"/>
      <c r="J10" s="595"/>
      <c r="K10" s="595"/>
      <c r="L10" s="595"/>
    </row>
    <row r="11" spans="1:12" s="26" customFormat="1" ht="12.2" customHeight="1" x14ac:dyDescent="0.2">
      <c r="A11" s="49" t="s">
        <v>91</v>
      </c>
      <c r="B11" s="50" t="s">
        <v>143</v>
      </c>
      <c r="C11" s="128"/>
      <c r="D11" s="192"/>
      <c r="E11" s="583"/>
      <c r="F11" s="583"/>
      <c r="G11" s="583"/>
      <c r="H11" s="540"/>
      <c r="I11" s="1086"/>
      <c r="J11" s="540"/>
      <c r="K11" s="540"/>
      <c r="L11" s="540"/>
    </row>
    <row r="12" spans="1:12" s="26" customFormat="1" ht="12.2" customHeight="1" x14ac:dyDescent="0.2">
      <c r="A12" s="1037" t="s">
        <v>92</v>
      </c>
      <c r="B12" s="330" t="s">
        <v>144</v>
      </c>
      <c r="C12" s="331"/>
      <c r="D12" s="340"/>
      <c r="E12" s="88"/>
      <c r="F12" s="88"/>
      <c r="G12" s="88"/>
      <c r="H12" s="541"/>
      <c r="I12" s="1087"/>
      <c r="J12" s="541"/>
      <c r="K12" s="541"/>
      <c r="L12" s="541"/>
    </row>
    <row r="13" spans="1:12" s="26" customFormat="1" ht="12.2" customHeight="1" x14ac:dyDescent="0.2">
      <c r="A13" s="1037" t="s">
        <v>93</v>
      </c>
      <c r="B13" s="330" t="s">
        <v>145</v>
      </c>
      <c r="C13" s="331"/>
      <c r="D13" s="340"/>
      <c r="E13" s="88"/>
      <c r="F13" s="88"/>
      <c r="G13" s="88"/>
      <c r="H13" s="541"/>
      <c r="I13" s="1087"/>
      <c r="J13" s="541"/>
      <c r="K13" s="541"/>
      <c r="L13" s="541"/>
    </row>
    <row r="14" spans="1:12" s="26" customFormat="1" ht="12.2" customHeight="1" x14ac:dyDescent="0.2">
      <c r="A14" s="1037" t="s">
        <v>90</v>
      </c>
      <c r="B14" s="330" t="s">
        <v>146</v>
      </c>
      <c r="C14" s="331"/>
      <c r="D14" s="340"/>
      <c r="E14" s="88"/>
      <c r="F14" s="88"/>
      <c r="G14" s="88"/>
      <c r="H14" s="541"/>
      <c r="I14" s="1087"/>
      <c r="J14" s="541"/>
      <c r="K14" s="541"/>
      <c r="L14" s="541"/>
    </row>
    <row r="15" spans="1:12" s="26" customFormat="1" ht="12.2" customHeight="1" x14ac:dyDescent="0.2">
      <c r="A15" s="1037" t="s">
        <v>147</v>
      </c>
      <c r="B15" s="330" t="s">
        <v>148</v>
      </c>
      <c r="C15" s="331"/>
      <c r="D15" s="340"/>
      <c r="E15" s="88"/>
      <c r="F15" s="88"/>
      <c r="G15" s="88"/>
      <c r="H15" s="541"/>
      <c r="I15" s="1087"/>
      <c r="J15" s="541"/>
      <c r="K15" s="541"/>
      <c r="L15" s="541"/>
    </row>
    <row r="16" spans="1:12" s="26" customFormat="1" ht="12.2" customHeight="1" x14ac:dyDescent="0.2">
      <c r="A16" s="1037" t="s">
        <v>149</v>
      </c>
      <c r="B16" s="330" t="s">
        <v>150</v>
      </c>
      <c r="C16" s="331"/>
      <c r="D16" s="340"/>
      <c r="E16" s="88"/>
      <c r="F16" s="88"/>
      <c r="G16" s="88"/>
      <c r="H16" s="541"/>
      <c r="I16" s="1087"/>
      <c r="J16" s="541"/>
      <c r="K16" s="541"/>
      <c r="L16" s="541"/>
    </row>
    <row r="17" spans="1:14" s="26" customFormat="1" ht="12.2" customHeight="1" x14ac:dyDescent="0.2">
      <c r="A17" s="1037" t="s">
        <v>151</v>
      </c>
      <c r="B17" s="52" t="s">
        <v>152</v>
      </c>
      <c r="C17" s="331"/>
      <c r="D17" s="340"/>
      <c r="E17" s="88"/>
      <c r="F17" s="88"/>
      <c r="G17" s="88"/>
      <c r="H17" s="541"/>
      <c r="I17" s="1087"/>
      <c r="J17" s="541"/>
      <c r="K17" s="541"/>
      <c r="L17" s="541"/>
    </row>
    <row r="18" spans="1:14" s="26" customFormat="1" ht="12.2" customHeight="1" x14ac:dyDescent="0.2">
      <c r="A18" s="1037" t="s">
        <v>153</v>
      </c>
      <c r="B18" s="345" t="s">
        <v>302</v>
      </c>
      <c r="C18" s="121"/>
      <c r="D18" s="188"/>
      <c r="E18" s="90"/>
      <c r="F18" s="90"/>
      <c r="G18" s="90"/>
      <c r="H18" s="542"/>
      <c r="I18" s="1088"/>
      <c r="J18" s="542"/>
      <c r="K18" s="542"/>
      <c r="L18" s="542"/>
    </row>
    <row r="19" spans="1:14" s="54" customFormat="1" ht="12.2" customHeight="1" x14ac:dyDescent="0.2">
      <c r="A19" s="1037" t="s">
        <v>154</v>
      </c>
      <c r="B19" s="330" t="s">
        <v>155</v>
      </c>
      <c r="C19" s="331"/>
      <c r="D19" s="340"/>
      <c r="E19" s="88"/>
      <c r="F19" s="88"/>
      <c r="G19" s="88"/>
      <c r="H19" s="541"/>
      <c r="I19" s="1087"/>
      <c r="J19" s="541"/>
      <c r="K19" s="541"/>
      <c r="L19" s="541"/>
    </row>
    <row r="20" spans="1:14" s="54" customFormat="1" ht="12.2" customHeight="1" x14ac:dyDescent="0.2">
      <c r="A20" s="1037" t="s">
        <v>156</v>
      </c>
      <c r="B20" s="345" t="s">
        <v>275</v>
      </c>
      <c r="C20" s="333"/>
      <c r="D20" s="341"/>
      <c r="E20" s="88"/>
      <c r="F20" s="88"/>
      <c r="G20" s="331"/>
      <c r="H20" s="543"/>
      <c r="I20" s="1089"/>
      <c r="J20" s="543"/>
      <c r="K20" s="543"/>
      <c r="L20" s="543"/>
    </row>
    <row r="21" spans="1:14" s="54" customFormat="1" ht="12.2" customHeight="1" thickBot="1" x14ac:dyDescent="0.25">
      <c r="A21" s="1037" t="s">
        <v>276</v>
      </c>
      <c r="B21" s="52" t="s">
        <v>157</v>
      </c>
      <c r="C21" s="333"/>
      <c r="D21" s="341"/>
      <c r="E21" s="90"/>
      <c r="F21" s="90"/>
      <c r="G21" s="90"/>
      <c r="H21" s="544"/>
      <c r="I21" s="1090"/>
      <c r="J21" s="544"/>
      <c r="K21" s="544"/>
      <c r="L21" s="544"/>
    </row>
    <row r="22" spans="1:14" s="26" customFormat="1" ht="12.2" customHeight="1" thickBot="1" x14ac:dyDescent="0.25">
      <c r="A22" s="43" t="s">
        <v>13</v>
      </c>
      <c r="B22" s="47" t="s">
        <v>158</v>
      </c>
      <c r="C22" s="89"/>
      <c r="D22" s="127"/>
      <c r="E22" s="582"/>
      <c r="F22" s="582"/>
      <c r="G22" s="582"/>
      <c r="H22" s="48"/>
      <c r="I22" s="175"/>
      <c r="J22" s="48"/>
      <c r="K22" s="48"/>
      <c r="L22" s="48"/>
    </row>
    <row r="23" spans="1:14" s="54" customFormat="1" ht="12.2" customHeight="1" x14ac:dyDescent="0.2">
      <c r="A23" s="1037" t="s">
        <v>94</v>
      </c>
      <c r="B23" s="17" t="s">
        <v>159</v>
      </c>
      <c r="C23" s="331"/>
      <c r="D23" s="340"/>
      <c r="E23" s="584"/>
      <c r="F23" s="584"/>
      <c r="G23" s="584"/>
      <c r="H23" s="75"/>
      <c r="I23" s="637"/>
      <c r="J23" s="75"/>
      <c r="K23" s="75"/>
      <c r="L23" s="75"/>
      <c r="N23" s="54" t="s">
        <v>385</v>
      </c>
    </row>
    <row r="24" spans="1:14" s="54" customFormat="1" ht="12.2" customHeight="1" x14ac:dyDescent="0.2">
      <c r="A24" s="1037" t="s">
        <v>95</v>
      </c>
      <c r="B24" s="330" t="s">
        <v>160</v>
      </c>
      <c r="C24" s="331"/>
      <c r="D24" s="340"/>
      <c r="E24" s="88"/>
      <c r="F24" s="88"/>
      <c r="G24" s="88"/>
      <c r="H24" s="541"/>
      <c r="I24" s="1087"/>
      <c r="J24" s="541"/>
      <c r="K24" s="541"/>
      <c r="L24" s="541"/>
    </row>
    <row r="25" spans="1:14" s="54" customFormat="1" ht="12.2" customHeight="1" x14ac:dyDescent="0.2">
      <c r="A25" s="1037" t="s">
        <v>96</v>
      </c>
      <c r="B25" s="330" t="s">
        <v>161</v>
      </c>
      <c r="C25" s="331"/>
      <c r="D25" s="340"/>
      <c r="E25" s="88"/>
      <c r="F25" s="88"/>
      <c r="G25" s="88"/>
      <c r="H25" s="541"/>
      <c r="I25" s="1087"/>
      <c r="J25" s="541"/>
      <c r="K25" s="541"/>
      <c r="L25" s="541"/>
    </row>
    <row r="26" spans="1:14" s="54" customFormat="1" ht="12.2" customHeight="1" thickBot="1" x14ac:dyDescent="0.25">
      <c r="A26" s="1037" t="s">
        <v>317</v>
      </c>
      <c r="B26" s="335" t="s">
        <v>233</v>
      </c>
      <c r="C26" s="331"/>
      <c r="D26" s="340"/>
      <c r="E26" s="88"/>
      <c r="F26" s="88"/>
      <c r="G26" s="88"/>
      <c r="H26" s="545"/>
      <c r="I26" s="1091"/>
      <c r="J26" s="545"/>
      <c r="K26" s="545"/>
      <c r="L26" s="545"/>
    </row>
    <row r="27" spans="1:14" s="54" customFormat="1" ht="12.2" customHeight="1" thickBot="1" x14ac:dyDescent="0.25">
      <c r="A27" s="55" t="s">
        <v>14</v>
      </c>
      <c r="B27" s="56" t="s">
        <v>83</v>
      </c>
      <c r="C27" s="130"/>
      <c r="D27" s="129"/>
      <c r="E27" s="585"/>
      <c r="F27" s="585"/>
      <c r="G27" s="585"/>
      <c r="H27" s="74"/>
      <c r="I27" s="638"/>
      <c r="J27" s="74"/>
      <c r="K27" s="74"/>
      <c r="L27" s="74"/>
    </row>
    <row r="28" spans="1:14" s="54" customFormat="1" ht="12.2" customHeight="1" thickBot="1" x14ac:dyDescent="0.25">
      <c r="A28" s="55" t="s">
        <v>15</v>
      </c>
      <c r="B28" s="56" t="s">
        <v>162</v>
      </c>
      <c r="C28" s="89"/>
      <c r="D28" s="127"/>
      <c r="E28" s="582"/>
      <c r="F28" s="582"/>
      <c r="G28" s="582"/>
      <c r="H28" s="74"/>
      <c r="I28" s="638"/>
      <c r="J28" s="74"/>
      <c r="K28" s="74"/>
      <c r="L28" s="74"/>
    </row>
    <row r="29" spans="1:14" s="54" customFormat="1" ht="12.2" customHeight="1" x14ac:dyDescent="0.2">
      <c r="A29" s="58" t="s">
        <v>100</v>
      </c>
      <c r="B29" s="59" t="s">
        <v>160</v>
      </c>
      <c r="C29" s="122"/>
      <c r="D29" s="189"/>
      <c r="E29" s="586"/>
      <c r="F29" s="586"/>
      <c r="G29" s="586"/>
      <c r="H29" s="546"/>
      <c r="I29" s="1092"/>
      <c r="J29" s="546"/>
      <c r="K29" s="546"/>
      <c r="L29" s="546"/>
    </row>
    <row r="30" spans="1:14" s="54" customFormat="1" ht="12.2" customHeight="1" x14ac:dyDescent="0.2">
      <c r="A30" s="58" t="s">
        <v>101</v>
      </c>
      <c r="B30" s="336" t="s">
        <v>163</v>
      </c>
      <c r="C30" s="120"/>
      <c r="D30" s="193"/>
      <c r="E30" s="107"/>
      <c r="F30" s="107"/>
      <c r="G30" s="339"/>
      <c r="H30" s="534"/>
      <c r="I30" s="630"/>
      <c r="J30" s="534"/>
      <c r="K30" s="534"/>
      <c r="L30" s="534"/>
    </row>
    <row r="31" spans="1:14" s="54" customFormat="1" ht="12.2" customHeight="1" thickBot="1" x14ac:dyDescent="0.25">
      <c r="A31" s="1037" t="s">
        <v>281</v>
      </c>
      <c r="B31" s="102" t="s">
        <v>165</v>
      </c>
      <c r="C31" s="92"/>
      <c r="D31" s="190"/>
      <c r="E31" s="587"/>
      <c r="F31" s="587"/>
      <c r="G31" s="587"/>
      <c r="H31" s="547"/>
      <c r="I31" s="1093"/>
      <c r="J31" s="547"/>
      <c r="K31" s="547"/>
      <c r="L31" s="547"/>
    </row>
    <row r="32" spans="1:14" s="54" customFormat="1" ht="12.2" customHeight="1" thickBot="1" x14ac:dyDescent="0.25">
      <c r="A32" s="55" t="s">
        <v>16</v>
      </c>
      <c r="B32" s="56" t="s">
        <v>166</v>
      </c>
      <c r="C32" s="89"/>
      <c r="D32" s="127"/>
      <c r="E32" s="582"/>
      <c r="F32" s="582"/>
      <c r="G32" s="582"/>
      <c r="H32" s="74"/>
      <c r="I32" s="638"/>
      <c r="J32" s="74"/>
      <c r="K32" s="74"/>
      <c r="L32" s="74"/>
    </row>
    <row r="33" spans="1:12" s="54" customFormat="1" ht="12.2" customHeight="1" x14ac:dyDescent="0.2">
      <c r="A33" s="58" t="s">
        <v>89</v>
      </c>
      <c r="B33" s="59" t="s">
        <v>167</v>
      </c>
      <c r="C33" s="122"/>
      <c r="D33" s="189"/>
      <c r="E33" s="586"/>
      <c r="F33" s="586"/>
      <c r="G33" s="586"/>
      <c r="H33" s="546"/>
      <c r="I33" s="1092"/>
      <c r="J33" s="546"/>
      <c r="K33" s="546"/>
      <c r="L33" s="546"/>
    </row>
    <row r="34" spans="1:12" s="54" customFormat="1" ht="12.2" customHeight="1" x14ac:dyDescent="0.2">
      <c r="A34" s="58" t="s">
        <v>102</v>
      </c>
      <c r="B34" s="336" t="s">
        <v>168</v>
      </c>
      <c r="C34" s="120"/>
      <c r="D34" s="193"/>
      <c r="E34" s="107"/>
      <c r="F34" s="107"/>
      <c r="G34" s="339"/>
      <c r="H34" s="534"/>
      <c r="I34" s="630"/>
      <c r="J34" s="534"/>
      <c r="K34" s="534"/>
      <c r="L34" s="534"/>
    </row>
    <row r="35" spans="1:12" s="54" customFormat="1" ht="12.2" customHeight="1" thickBot="1" x14ac:dyDescent="0.25">
      <c r="A35" s="1037" t="s">
        <v>103</v>
      </c>
      <c r="B35" s="62" t="s">
        <v>169</v>
      </c>
      <c r="C35" s="92"/>
      <c r="D35" s="190"/>
      <c r="E35" s="587"/>
      <c r="F35" s="587"/>
      <c r="G35" s="587"/>
      <c r="H35" s="548"/>
      <c r="I35" s="1094"/>
      <c r="J35" s="548"/>
      <c r="K35" s="548"/>
      <c r="L35" s="548"/>
    </row>
    <row r="36" spans="1:12" s="26" customFormat="1" ht="12.2" customHeight="1" thickBot="1" x14ac:dyDescent="0.25">
      <c r="A36" s="55" t="s">
        <v>17</v>
      </c>
      <c r="B36" s="56" t="s">
        <v>170</v>
      </c>
      <c r="C36" s="130"/>
      <c r="D36" s="129"/>
      <c r="E36" s="585"/>
      <c r="F36" s="585"/>
      <c r="G36" s="585"/>
      <c r="H36" s="74"/>
      <c r="I36" s="638"/>
      <c r="J36" s="74"/>
      <c r="K36" s="74"/>
      <c r="L36" s="74"/>
    </row>
    <row r="37" spans="1:12" s="26" customFormat="1" ht="12.2" customHeight="1" thickBot="1" x14ac:dyDescent="0.25">
      <c r="A37" s="1038" t="s">
        <v>104</v>
      </c>
      <c r="B37" s="337" t="s">
        <v>165</v>
      </c>
      <c r="C37" s="130"/>
      <c r="D37" s="129"/>
      <c r="E37" s="588"/>
      <c r="F37" s="588"/>
      <c r="G37" s="588"/>
      <c r="H37" s="549"/>
      <c r="I37" s="1095"/>
      <c r="J37" s="549"/>
      <c r="K37" s="549"/>
      <c r="L37" s="549"/>
    </row>
    <row r="38" spans="1:12" s="26" customFormat="1" ht="12.2" customHeight="1" thickBot="1" x14ac:dyDescent="0.25">
      <c r="A38" s="55" t="s">
        <v>18</v>
      </c>
      <c r="B38" s="56" t="s">
        <v>555</v>
      </c>
      <c r="C38" s="130"/>
      <c r="D38" s="129"/>
      <c r="E38" s="585"/>
      <c r="F38" s="585"/>
      <c r="G38" s="585"/>
      <c r="H38" s="74"/>
      <c r="I38" s="638"/>
      <c r="J38" s="74"/>
      <c r="K38" s="74"/>
      <c r="L38" s="74"/>
    </row>
    <row r="39" spans="1:12" s="26" customFormat="1" ht="12.2" customHeight="1" x14ac:dyDescent="0.2">
      <c r="A39" s="12" t="s">
        <v>107</v>
      </c>
      <c r="B39" s="95" t="s">
        <v>212</v>
      </c>
      <c r="C39" s="131"/>
      <c r="D39" s="194"/>
      <c r="E39" s="589"/>
      <c r="F39" s="589"/>
      <c r="G39" s="589"/>
      <c r="H39" s="550"/>
      <c r="I39" s="1096"/>
      <c r="J39" s="550"/>
      <c r="K39" s="550"/>
      <c r="L39" s="550"/>
    </row>
    <row r="40" spans="1:12" s="26" customFormat="1" ht="12.2" customHeight="1" x14ac:dyDescent="0.2">
      <c r="A40" s="1003" t="s">
        <v>108</v>
      </c>
      <c r="B40" s="346" t="s">
        <v>213</v>
      </c>
      <c r="C40" s="338"/>
      <c r="D40" s="342"/>
      <c r="E40" s="590"/>
      <c r="F40" s="590"/>
      <c r="G40" s="590"/>
      <c r="H40" s="551"/>
      <c r="I40" s="1097"/>
      <c r="J40" s="551"/>
      <c r="K40" s="551"/>
      <c r="L40" s="551"/>
    </row>
    <row r="41" spans="1:12" s="26" customFormat="1" ht="12.2" customHeight="1" thickBot="1" x14ac:dyDescent="0.25">
      <c r="A41" s="1003" t="s">
        <v>323</v>
      </c>
      <c r="B41" s="103" t="s">
        <v>165</v>
      </c>
      <c r="C41" s="133"/>
      <c r="D41" s="132"/>
      <c r="E41" s="591"/>
      <c r="F41" s="591"/>
      <c r="G41" s="591"/>
      <c r="H41" s="552"/>
      <c r="I41" s="1098"/>
      <c r="J41" s="552"/>
      <c r="K41" s="552"/>
      <c r="L41" s="552"/>
    </row>
    <row r="42" spans="1:12" s="26" customFormat="1" ht="12.2" customHeight="1" thickBot="1" x14ac:dyDescent="0.25">
      <c r="A42" s="43" t="s">
        <v>19</v>
      </c>
      <c r="B42" s="56" t="s">
        <v>546</v>
      </c>
      <c r="C42" s="89"/>
      <c r="D42" s="127"/>
      <c r="E42" s="582"/>
      <c r="F42" s="582"/>
      <c r="G42" s="582"/>
      <c r="H42" s="74"/>
      <c r="I42" s="638"/>
      <c r="J42" s="74"/>
      <c r="K42" s="74"/>
      <c r="L42" s="74"/>
    </row>
    <row r="43" spans="1:12" s="26" customFormat="1" ht="12.2" customHeight="1" thickBot="1" x14ac:dyDescent="0.25">
      <c r="A43" s="63" t="s">
        <v>20</v>
      </c>
      <c r="B43" s="56" t="s">
        <v>180</v>
      </c>
      <c r="C43" s="89"/>
      <c r="D43" s="127"/>
      <c r="E43" s="582"/>
      <c r="F43" s="582"/>
      <c r="G43" s="582"/>
      <c r="H43" s="74"/>
      <c r="I43" s="638"/>
      <c r="J43" s="74"/>
      <c r="K43" s="74"/>
      <c r="L43" s="74"/>
    </row>
    <row r="44" spans="1:12" s="26" customFormat="1" ht="12.2" customHeight="1" x14ac:dyDescent="0.2">
      <c r="A44" s="58" t="s">
        <v>171</v>
      </c>
      <c r="B44" s="59" t="s">
        <v>131</v>
      </c>
      <c r="C44" s="122"/>
      <c r="D44" s="189"/>
      <c r="E44" s="586"/>
      <c r="F44" s="586"/>
      <c r="G44" s="586"/>
      <c r="H44" s="546"/>
      <c r="I44" s="1092"/>
      <c r="J44" s="546"/>
      <c r="K44" s="546"/>
      <c r="L44" s="546"/>
    </row>
    <row r="45" spans="1:12" s="26" customFormat="1" ht="12.2" customHeight="1" x14ac:dyDescent="0.2">
      <c r="A45" s="71" t="s">
        <v>172</v>
      </c>
      <c r="B45" s="59" t="s">
        <v>186</v>
      </c>
      <c r="C45" s="120"/>
      <c r="D45" s="193"/>
      <c r="E45" s="91"/>
      <c r="F45" s="91"/>
      <c r="G45" s="91"/>
      <c r="H45" s="553"/>
      <c r="I45" s="1099"/>
      <c r="J45" s="553"/>
      <c r="K45" s="553"/>
      <c r="L45" s="553"/>
    </row>
    <row r="46" spans="1:12" s="26" customFormat="1" ht="12.2" customHeight="1" x14ac:dyDescent="0.2">
      <c r="A46" s="1037" t="s">
        <v>173</v>
      </c>
      <c r="B46" s="336" t="s">
        <v>177</v>
      </c>
      <c r="C46" s="339"/>
      <c r="D46" s="323"/>
      <c r="E46" s="107"/>
      <c r="F46" s="107"/>
      <c r="G46" s="107"/>
      <c r="H46" s="534"/>
      <c r="I46" s="630"/>
      <c r="J46" s="534"/>
      <c r="K46" s="534"/>
      <c r="L46" s="534"/>
    </row>
    <row r="47" spans="1:12" s="54" customFormat="1" ht="12.2" customHeight="1" thickBot="1" x14ac:dyDescent="0.25">
      <c r="A47" s="58" t="s">
        <v>178</v>
      </c>
      <c r="B47" s="62" t="s">
        <v>179</v>
      </c>
      <c r="C47" s="1034"/>
      <c r="D47" s="195"/>
      <c r="E47" s="587"/>
      <c r="F47" s="587"/>
      <c r="G47" s="587"/>
      <c r="H47" s="548"/>
      <c r="I47" s="1094"/>
      <c r="J47" s="548"/>
      <c r="K47" s="548"/>
      <c r="L47" s="548"/>
    </row>
    <row r="48" spans="1:12" s="54" customFormat="1" ht="15" customHeight="1" thickBot="1" x14ac:dyDescent="0.25">
      <c r="A48" s="63" t="s">
        <v>21</v>
      </c>
      <c r="B48" s="524" t="s">
        <v>174</v>
      </c>
      <c r="C48" s="135"/>
      <c r="D48" s="134"/>
      <c r="E48" s="592"/>
      <c r="F48" s="592"/>
      <c r="G48" s="592"/>
      <c r="H48" s="557"/>
      <c r="I48" s="1100"/>
      <c r="J48" s="557"/>
      <c r="K48" s="557"/>
      <c r="L48" s="557"/>
    </row>
    <row r="49" spans="1:12" s="54" customFormat="1" ht="15" customHeight="1" x14ac:dyDescent="0.2">
      <c r="A49" s="64"/>
      <c r="B49" s="65"/>
      <c r="C49" s="66"/>
      <c r="D49" s="66"/>
      <c r="E49" s="66"/>
      <c r="F49" s="66"/>
      <c r="G49" s="66"/>
      <c r="H49" s="66"/>
      <c r="I49" s="66"/>
      <c r="J49" s="66"/>
      <c r="K49" s="66"/>
      <c r="L49" s="66"/>
    </row>
    <row r="50" spans="1:12" s="54" customFormat="1" ht="15" customHeight="1" x14ac:dyDescent="0.2">
      <c r="A50" s="64"/>
      <c r="B50" s="65"/>
      <c r="C50" s="66"/>
      <c r="D50" s="66"/>
      <c r="E50" s="66"/>
      <c r="F50" s="66"/>
      <c r="G50" s="66"/>
      <c r="H50" s="66"/>
      <c r="I50" s="66"/>
      <c r="J50" s="66"/>
      <c r="K50" s="66"/>
      <c r="L50" s="66"/>
    </row>
    <row r="51" spans="1:12" s="54" customFormat="1" ht="15" customHeight="1" thickBot="1" x14ac:dyDescent="0.25">
      <c r="A51" s="1912" t="s">
        <v>362</v>
      </c>
      <c r="B51" s="1912"/>
      <c r="C51" s="1912"/>
      <c r="D51" s="1912"/>
      <c r="E51" s="1912"/>
      <c r="F51" s="1912"/>
      <c r="G51" s="1912"/>
      <c r="H51" s="1912"/>
      <c r="I51" s="66"/>
      <c r="J51" s="66"/>
      <c r="K51" s="66"/>
      <c r="L51" s="66"/>
    </row>
    <row r="52" spans="1:12" s="554" customFormat="1" ht="55.5" customHeight="1" thickBot="1" x14ac:dyDescent="0.25">
      <c r="A52" s="641"/>
      <c r="B52" s="642" t="s">
        <v>38</v>
      </c>
      <c r="C52" s="21" t="str">
        <f>C7</f>
        <v>2023. évi eredeti előirányzat
2/2023. (II.14.)</v>
      </c>
      <c r="D52" s="21" t="str">
        <f t="shared" ref="D52:L52" si="0">D7</f>
        <v>Módosított előirányzat a 14/2023.  (VI.29.)  rendelet szerint</v>
      </c>
      <c r="E52" s="21" t="str">
        <f t="shared" si="0"/>
        <v>Módosított előirányzat a 18/2023. (IX.26.)  rendelet szerint</v>
      </c>
      <c r="F52" s="1407" t="str">
        <f t="shared" si="0"/>
        <v>Módosított előirányzat 2023.09.30-án</v>
      </c>
      <c r="G52" s="32" t="str">
        <f t="shared" si="0"/>
        <v>Módosított előirányzat a …../2023. (II…..)  rendelet szerint</v>
      </c>
      <c r="H52" s="32" t="str">
        <f t="shared" si="0"/>
        <v>Változás a 14/2023. (VI.29.) rendelethez képest</v>
      </c>
      <c r="I52" s="21" t="str">
        <f t="shared" si="0"/>
        <v>2023. évi teljesítés              2023.06.30-ig</v>
      </c>
      <c r="J52" s="21" t="str">
        <f t="shared" si="0"/>
        <v>2023. évi teljesítés              2023.09.30-ig</v>
      </c>
      <c r="K52" s="21" t="str">
        <f t="shared" si="0"/>
        <v>2023. évi teljesítés              2023.12.31-ig</v>
      </c>
      <c r="L52" s="21" t="str">
        <f t="shared" si="0"/>
        <v>Teljesítés %-a</v>
      </c>
    </row>
    <row r="53" spans="1:12" s="31" customFormat="1" ht="12.2" customHeight="1" thickBot="1" x14ac:dyDescent="0.25">
      <c r="A53" s="55" t="s">
        <v>12</v>
      </c>
      <c r="B53" s="56" t="s">
        <v>547</v>
      </c>
      <c r="C53" s="89"/>
      <c r="D53" s="127"/>
      <c r="E53" s="582"/>
      <c r="F53" s="582"/>
      <c r="G53" s="582"/>
      <c r="H53" s="48">
        <f>SUM(H54:H59)-H55</f>
        <v>0</v>
      </c>
      <c r="I53" s="48"/>
      <c r="J53" s="48"/>
      <c r="K53" s="48"/>
      <c r="L53" s="48"/>
    </row>
    <row r="54" spans="1:12" ht="12.2" customHeight="1" x14ac:dyDescent="0.2">
      <c r="A54" s="329" t="s">
        <v>91</v>
      </c>
      <c r="B54" s="17" t="s">
        <v>68</v>
      </c>
      <c r="C54" s="122"/>
      <c r="D54" s="189"/>
      <c r="E54" s="586"/>
      <c r="F54" s="586"/>
      <c r="G54" s="586"/>
      <c r="H54" s="33"/>
      <c r="I54" s="33"/>
      <c r="J54" s="33"/>
      <c r="K54" s="33"/>
      <c r="L54" s="33"/>
    </row>
    <row r="55" spans="1:12" ht="12.2" customHeight="1" x14ac:dyDescent="0.2">
      <c r="A55" s="329" t="s">
        <v>305</v>
      </c>
      <c r="B55" s="335" t="s">
        <v>270</v>
      </c>
      <c r="C55" s="122"/>
      <c r="D55" s="189"/>
      <c r="E55" s="586"/>
      <c r="F55" s="586"/>
      <c r="G55" s="586"/>
      <c r="H55" s="33"/>
      <c r="I55" s="33"/>
      <c r="J55" s="33"/>
      <c r="K55" s="33"/>
      <c r="L55" s="33"/>
    </row>
    <row r="56" spans="1:12" ht="12.2" customHeight="1" x14ac:dyDescent="0.2">
      <c r="A56" s="329" t="s">
        <v>92</v>
      </c>
      <c r="B56" s="330" t="s">
        <v>87</v>
      </c>
      <c r="C56" s="339"/>
      <c r="D56" s="323"/>
      <c r="E56" s="107"/>
      <c r="F56" s="107"/>
      <c r="G56" s="107"/>
      <c r="H56" s="324"/>
      <c r="I56" s="324"/>
      <c r="J56" s="324"/>
      <c r="K56" s="324"/>
      <c r="L56" s="324"/>
    </row>
    <row r="57" spans="1:12" ht="12.2" customHeight="1" x14ac:dyDescent="0.2">
      <c r="A57" s="329" t="s">
        <v>93</v>
      </c>
      <c r="B57" s="330" t="s">
        <v>69</v>
      </c>
      <c r="C57" s="339"/>
      <c r="D57" s="323"/>
      <c r="E57" s="107"/>
      <c r="F57" s="107"/>
      <c r="G57" s="107"/>
      <c r="H57" s="324"/>
      <c r="I57" s="324"/>
      <c r="J57" s="324"/>
      <c r="K57" s="324"/>
      <c r="L57" s="324"/>
    </row>
    <row r="58" spans="1:12" ht="12.2" customHeight="1" x14ac:dyDescent="0.2">
      <c r="A58" s="329" t="s">
        <v>90</v>
      </c>
      <c r="B58" s="330" t="s">
        <v>80</v>
      </c>
      <c r="C58" s="339"/>
      <c r="D58" s="323"/>
      <c r="E58" s="107"/>
      <c r="F58" s="107"/>
      <c r="G58" s="107"/>
      <c r="H58" s="324"/>
      <c r="I58" s="324"/>
      <c r="J58" s="324"/>
      <c r="K58" s="324"/>
      <c r="L58" s="324"/>
    </row>
    <row r="59" spans="1:12" ht="12.2" customHeight="1" x14ac:dyDescent="0.2">
      <c r="A59" s="329" t="s">
        <v>147</v>
      </c>
      <c r="B59" s="330" t="s">
        <v>88</v>
      </c>
      <c r="C59" s="339"/>
      <c r="D59" s="323"/>
      <c r="E59" s="107"/>
      <c r="F59" s="107"/>
      <c r="G59" s="107"/>
      <c r="H59" s="324">
        <f>SUM(H60:H61)</f>
        <v>0</v>
      </c>
      <c r="I59" s="324"/>
      <c r="J59" s="324"/>
      <c r="K59" s="324"/>
      <c r="L59" s="324"/>
    </row>
    <row r="60" spans="1:12" ht="12.2" customHeight="1" x14ac:dyDescent="0.2">
      <c r="A60" s="329" t="s">
        <v>306</v>
      </c>
      <c r="B60" s="521" t="s">
        <v>235</v>
      </c>
      <c r="C60" s="339"/>
      <c r="D60" s="323"/>
      <c r="E60" s="107"/>
      <c r="F60" s="107"/>
      <c r="G60" s="107"/>
      <c r="H60" s="324"/>
      <c r="I60" s="324"/>
      <c r="J60" s="324"/>
      <c r="K60" s="324"/>
      <c r="L60" s="324"/>
    </row>
    <row r="61" spans="1:12" ht="12.2" customHeight="1" thickBot="1" x14ac:dyDescent="0.25">
      <c r="A61" s="84" t="s">
        <v>307</v>
      </c>
      <c r="B61" s="85" t="s">
        <v>234</v>
      </c>
      <c r="C61" s="92"/>
      <c r="D61" s="190"/>
      <c r="E61" s="593"/>
      <c r="F61" s="593"/>
      <c r="G61" s="593"/>
      <c r="H61" s="61"/>
      <c r="I61" s="61"/>
      <c r="J61" s="61"/>
      <c r="K61" s="61"/>
      <c r="L61" s="61"/>
    </row>
    <row r="62" spans="1:12" ht="12.2" customHeight="1" thickBot="1" x14ac:dyDescent="0.25">
      <c r="A62" s="55" t="s">
        <v>13</v>
      </c>
      <c r="B62" s="56" t="s">
        <v>548</v>
      </c>
      <c r="C62" s="89"/>
      <c r="D62" s="127"/>
      <c r="E62" s="582"/>
      <c r="F62" s="582"/>
      <c r="G62" s="582"/>
      <c r="H62" s="48">
        <f>SUM(H63:H67)</f>
        <v>0</v>
      </c>
      <c r="I62" s="48"/>
      <c r="J62" s="48"/>
      <c r="K62" s="48"/>
      <c r="L62" s="48"/>
    </row>
    <row r="63" spans="1:12" s="31" customFormat="1" ht="12.2" customHeight="1" x14ac:dyDescent="0.2">
      <c r="A63" s="329" t="s">
        <v>94</v>
      </c>
      <c r="B63" s="17" t="s">
        <v>119</v>
      </c>
      <c r="C63" s="122"/>
      <c r="D63" s="189"/>
      <c r="E63" s="586"/>
      <c r="F63" s="586"/>
      <c r="G63" s="586"/>
      <c r="H63" s="33"/>
      <c r="I63" s="33"/>
      <c r="J63" s="33"/>
      <c r="K63" s="33"/>
      <c r="L63" s="33"/>
    </row>
    <row r="64" spans="1:12" s="31" customFormat="1" ht="12.2" customHeight="1" x14ac:dyDescent="0.2">
      <c r="A64" s="329" t="s">
        <v>316</v>
      </c>
      <c r="B64" s="522" t="s">
        <v>236</v>
      </c>
      <c r="C64" s="122"/>
      <c r="D64" s="189"/>
      <c r="E64" s="586"/>
      <c r="F64" s="586"/>
      <c r="G64" s="586"/>
      <c r="H64" s="33"/>
      <c r="I64" s="33"/>
      <c r="J64" s="33"/>
      <c r="K64" s="33"/>
      <c r="L64" s="33"/>
    </row>
    <row r="65" spans="1:12" ht="12.2" customHeight="1" x14ac:dyDescent="0.2">
      <c r="A65" s="329" t="s">
        <v>95</v>
      </c>
      <c r="B65" s="330" t="s">
        <v>2</v>
      </c>
      <c r="C65" s="339"/>
      <c r="D65" s="323"/>
      <c r="E65" s="107"/>
      <c r="F65" s="107"/>
      <c r="G65" s="107"/>
      <c r="H65" s="324"/>
      <c r="I65" s="324"/>
      <c r="J65" s="324"/>
      <c r="K65" s="324"/>
      <c r="L65" s="324"/>
    </row>
    <row r="66" spans="1:12" ht="12.2" customHeight="1" x14ac:dyDescent="0.2">
      <c r="A66" s="329" t="s">
        <v>342</v>
      </c>
      <c r="B66" s="523" t="s">
        <v>237</v>
      </c>
      <c r="C66" s="339"/>
      <c r="D66" s="323"/>
      <c r="E66" s="107"/>
      <c r="F66" s="107"/>
      <c r="G66" s="107"/>
      <c r="H66" s="324"/>
      <c r="I66" s="324"/>
      <c r="J66" s="324"/>
      <c r="K66" s="324"/>
      <c r="L66" s="324"/>
    </row>
    <row r="67" spans="1:12" ht="12.2" customHeight="1" x14ac:dyDescent="0.2">
      <c r="A67" s="329" t="s">
        <v>96</v>
      </c>
      <c r="B67" s="17" t="s">
        <v>175</v>
      </c>
      <c r="C67" s="339"/>
      <c r="D67" s="323"/>
      <c r="E67" s="107"/>
      <c r="F67" s="107"/>
      <c r="G67" s="107"/>
      <c r="H67" s="324">
        <f>SUM(H68:H69)</f>
        <v>0</v>
      </c>
      <c r="I67" s="324"/>
      <c r="J67" s="324"/>
      <c r="K67" s="324"/>
      <c r="L67" s="324"/>
    </row>
    <row r="68" spans="1:12" ht="12.2" customHeight="1" x14ac:dyDescent="0.2">
      <c r="A68" s="329" t="s">
        <v>317</v>
      </c>
      <c r="B68" s="521" t="s">
        <v>239</v>
      </c>
      <c r="C68" s="339"/>
      <c r="D68" s="323"/>
      <c r="E68" s="107"/>
      <c r="F68" s="107"/>
      <c r="G68" s="107"/>
      <c r="H68" s="324"/>
      <c r="I68" s="324"/>
      <c r="J68" s="324"/>
      <c r="K68" s="324"/>
      <c r="L68" s="324"/>
    </row>
    <row r="69" spans="1:12" ht="12.2" customHeight="1" thickBot="1" x14ac:dyDescent="0.25">
      <c r="A69" s="84" t="s">
        <v>318</v>
      </c>
      <c r="B69" s="85" t="s">
        <v>238</v>
      </c>
      <c r="C69" s="92"/>
      <c r="D69" s="323"/>
      <c r="E69" s="107"/>
      <c r="F69" s="107"/>
      <c r="G69" s="107"/>
      <c r="H69" s="324"/>
      <c r="I69" s="324"/>
      <c r="J69" s="324"/>
      <c r="K69" s="324"/>
      <c r="L69" s="324"/>
    </row>
    <row r="70" spans="1:12" ht="15" customHeight="1" thickBot="1" x14ac:dyDescent="0.25">
      <c r="A70" s="55" t="s">
        <v>14</v>
      </c>
      <c r="B70" s="67" t="s">
        <v>176</v>
      </c>
      <c r="C70" s="135"/>
      <c r="D70" s="134"/>
      <c r="E70" s="592"/>
      <c r="F70" s="592"/>
      <c r="G70" s="592"/>
      <c r="H70" s="68">
        <f>+H53+H62</f>
        <v>0</v>
      </c>
      <c r="I70" s="68"/>
      <c r="J70" s="68"/>
      <c r="K70" s="68"/>
      <c r="L70" s="68"/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69" t="s">
        <v>292</v>
      </c>
      <c r="B72" s="70"/>
      <c r="C72" s="136"/>
      <c r="D72" s="635"/>
      <c r="E72" s="520"/>
      <c r="F72" s="520"/>
      <c r="G72" s="520"/>
      <c r="H72" s="174"/>
      <c r="I72" s="174"/>
      <c r="J72" s="174"/>
      <c r="K72" s="174"/>
      <c r="L72" s="174"/>
    </row>
    <row r="73" spans="1:12" ht="14.25" hidden="1" customHeight="1" thickBot="1" x14ac:dyDescent="0.25">
      <c r="A73" s="69" t="s">
        <v>291</v>
      </c>
      <c r="B73" s="70"/>
      <c r="C73" s="608"/>
      <c r="D73" s="639"/>
      <c r="E73" s="607"/>
      <c r="F73" s="607"/>
      <c r="G73" s="607"/>
      <c r="H73" s="609"/>
      <c r="I73" s="609"/>
      <c r="J73" s="609"/>
      <c r="K73" s="609"/>
      <c r="L73" s="609"/>
    </row>
    <row r="74" spans="1:12" x14ac:dyDescent="0.2">
      <c r="D74" s="163"/>
      <c r="E74" s="163"/>
      <c r="F74" s="163"/>
      <c r="G74" s="163"/>
      <c r="H74" s="163" t="s">
        <v>734</v>
      </c>
      <c r="I74" s="163"/>
      <c r="J74" s="163"/>
      <c r="K74" s="163"/>
      <c r="L74" s="163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19685039370078741" header="0.39370078740157483" footer="0.39370078740157483"/>
  <pageSetup paperSize="9" scale="75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6"/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7"/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8"/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view="pageBreakPreview" topLeftCell="A46" zoomScale="130" zoomScaleNormal="160" zoomScaleSheetLayoutView="130" workbookViewId="0">
      <selection activeCell="C45" sqref="C45"/>
    </sheetView>
  </sheetViews>
  <sheetFormatPr defaultColWidth="9.33203125" defaultRowHeight="12.75" x14ac:dyDescent="0.2"/>
  <cols>
    <col min="1" max="1" width="13.83203125" style="35" customWidth="1"/>
    <col min="2" max="2" width="67.5" style="25" customWidth="1"/>
    <col min="3" max="3" width="16.1640625" style="25" customWidth="1"/>
    <col min="4" max="4" width="15.83203125" style="25" hidden="1" customWidth="1"/>
    <col min="5" max="6" width="15.5" style="25" customWidth="1"/>
    <col min="7" max="9" width="15.83203125" style="25" hidden="1" customWidth="1"/>
    <col min="10" max="10" width="14.83203125" style="25" customWidth="1"/>
    <col min="11" max="11" width="15.83203125" style="25" hidden="1" customWidth="1"/>
    <col min="12" max="12" width="8.5" style="140" customWidth="1"/>
    <col min="13" max="13" width="9.33203125" style="25" customWidth="1"/>
    <col min="14" max="14" width="14.33203125" style="25" bestFit="1" customWidth="1"/>
    <col min="15" max="16384" width="9.33203125" style="25"/>
  </cols>
  <sheetData>
    <row r="1" spans="1:16" ht="12.75" customHeight="1" x14ac:dyDescent="0.2">
      <c r="A1" s="1773" t="s">
        <v>817</v>
      </c>
      <c r="B1" s="1773"/>
      <c r="C1" s="1773"/>
      <c r="D1" s="1773"/>
      <c r="E1" s="1773"/>
      <c r="F1" s="1773"/>
      <c r="G1" s="1773"/>
      <c r="H1" s="1773"/>
      <c r="I1" s="1773"/>
      <c r="J1" s="1773"/>
      <c r="K1" s="1773"/>
      <c r="L1" s="1773"/>
    </row>
    <row r="2" spans="1:16" ht="12.75" customHeight="1" x14ac:dyDescent="0.2">
      <c r="A2" s="1773"/>
      <c r="B2" s="1773"/>
      <c r="C2" s="1773"/>
      <c r="D2" s="1773"/>
      <c r="E2" s="1773"/>
      <c r="F2" s="1773"/>
      <c r="G2" s="1773"/>
      <c r="H2" s="1773"/>
      <c r="I2" s="83"/>
      <c r="J2" s="83"/>
      <c r="K2" s="83"/>
      <c r="L2" s="142"/>
    </row>
    <row r="3" spans="1:16" s="24" customFormat="1" ht="21.2" customHeight="1" thickBot="1" x14ac:dyDescent="0.25">
      <c r="A3" s="1773"/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</row>
    <row r="4" spans="1:16" s="38" customFormat="1" ht="35.450000000000003" customHeight="1" x14ac:dyDescent="0.2">
      <c r="A4" s="36" t="s">
        <v>137</v>
      </c>
      <c r="B4" s="37" t="s">
        <v>130</v>
      </c>
      <c r="C4" s="1806" t="s">
        <v>187</v>
      </c>
      <c r="D4" s="1807"/>
      <c r="E4" s="1807"/>
      <c r="F4" s="1807"/>
      <c r="G4" s="1807"/>
      <c r="H4" s="1807"/>
      <c r="I4" s="1807"/>
      <c r="J4" s="1807"/>
      <c r="K4" s="1807"/>
      <c r="L4" s="1808"/>
    </row>
    <row r="5" spans="1:16" s="38" customFormat="1" ht="24.75" thickBot="1" x14ac:dyDescent="0.25">
      <c r="A5" s="39" t="s">
        <v>139</v>
      </c>
      <c r="B5" s="40" t="s">
        <v>140</v>
      </c>
      <c r="C5" s="1809" t="s">
        <v>141</v>
      </c>
      <c r="D5" s="1810"/>
      <c r="E5" s="1810"/>
      <c r="F5" s="1810"/>
      <c r="G5" s="1810"/>
      <c r="H5" s="1810"/>
      <c r="I5" s="1810"/>
      <c r="J5" s="1810"/>
      <c r="K5" s="1810"/>
      <c r="L5" s="1811"/>
    </row>
    <row r="6" spans="1:16" s="41" customFormat="1" ht="15.95" customHeight="1" thickBot="1" x14ac:dyDescent="0.3">
      <c r="A6" s="1812" t="s">
        <v>362</v>
      </c>
      <c r="B6" s="1812"/>
      <c r="C6" s="1812"/>
      <c r="D6" s="1812"/>
      <c r="E6" s="1812"/>
      <c r="F6" s="1812"/>
      <c r="G6" s="1812"/>
      <c r="H6" s="1812"/>
      <c r="I6" s="1812"/>
      <c r="J6" s="1812"/>
      <c r="K6" s="1812"/>
      <c r="L6" s="1812"/>
    </row>
    <row r="7" spans="1:16" ht="48.75" customHeight="1" thickBot="1" x14ac:dyDescent="0.25">
      <c r="A7" s="986" t="s">
        <v>142</v>
      </c>
      <c r="B7" s="42" t="s">
        <v>36</v>
      </c>
      <c r="C7" s="42" t="str">
        <f>'1. mell.bevétel_össz'!C8</f>
        <v>2023. évi eredeti előirányzat
2/2023. (II.14.)</v>
      </c>
      <c r="D7" s="191" t="str">
        <f>'1. mell.bevétel_össz'!D8</f>
        <v>Módosított előirányzat a 14/2023.  (VI.29.)  rendelet szerint</v>
      </c>
      <c r="E7" s="42" t="str">
        <f>'1. mell.bevétel_össz'!E8</f>
        <v>Módosított előirányzat a 18/2023. (IX.26.)  rendelet szerint</v>
      </c>
      <c r="F7" s="42" t="str">
        <f>'1. mell.bevétel_össz'!F8</f>
        <v>Módosított előirányzat 2023.09.30-án</v>
      </c>
      <c r="G7" s="1492" t="str">
        <f>'1. mell.bevétel_össz'!G8</f>
        <v>Módosított előirányzat a …../2023. (II…..)  rendelet szerint</v>
      </c>
      <c r="H7" s="179" t="str">
        <f>'1. mell.bevétel_össz'!H8</f>
        <v>Változás a 14/2023. (VI.29.) rendelethez képest</v>
      </c>
      <c r="I7" s="1453" t="str">
        <f>'1. mell.bevétel_össz'!I8</f>
        <v>2023. évi teljesítés              2023.06.30-ig</v>
      </c>
      <c r="J7" s="42" t="str">
        <f>'1. mell.bevétel_össz'!J8</f>
        <v>2023. évi teljesítés              2023.09.30-ig</v>
      </c>
      <c r="K7" s="1453" t="str">
        <f>'1. mell.bevétel_össz'!K8</f>
        <v>2023. évi teljesítés              2023.12.31-ig</v>
      </c>
      <c r="L7" s="1464" t="str">
        <f>'1. mell.bevétel_össz'!L8</f>
        <v>Teljesítés %-a</v>
      </c>
    </row>
    <row r="8" spans="1:16" s="46" customFormat="1" ht="12.95" customHeight="1" thickBot="1" x14ac:dyDescent="0.25">
      <c r="A8" s="43" t="s">
        <v>297</v>
      </c>
      <c r="B8" s="44" t="s">
        <v>298</v>
      </c>
      <c r="C8" s="989" t="s">
        <v>299</v>
      </c>
      <c r="D8" s="182" t="s">
        <v>300</v>
      </c>
      <c r="E8" s="44" t="s">
        <v>300</v>
      </c>
      <c r="F8" s="44" t="s">
        <v>301</v>
      </c>
      <c r="G8" s="44" t="s">
        <v>424</v>
      </c>
      <c r="H8" s="180" t="s">
        <v>388</v>
      </c>
      <c r="I8" s="1415" t="s">
        <v>299</v>
      </c>
      <c r="J8" s="44" t="s">
        <v>388</v>
      </c>
      <c r="K8" s="620" t="s">
        <v>299</v>
      </c>
      <c r="L8" s="137" t="s">
        <v>424</v>
      </c>
      <c r="P8" s="46" t="s">
        <v>385</v>
      </c>
    </row>
    <row r="9" spans="1:16" s="46" customFormat="1" ht="15.95" customHeight="1" thickBot="1" x14ac:dyDescent="0.25">
      <c r="A9" s="1801" t="s">
        <v>11</v>
      </c>
      <c r="B9" s="1802"/>
      <c r="C9" s="1802"/>
      <c r="D9" s="1802"/>
      <c r="E9" s="1802"/>
      <c r="F9" s="1802"/>
      <c r="G9" s="1802"/>
      <c r="H9" s="1802"/>
      <c r="I9" s="1802"/>
      <c r="J9" s="1802"/>
      <c r="K9" s="1802"/>
      <c r="L9" s="1802"/>
    </row>
    <row r="10" spans="1:16" s="26" customFormat="1" ht="12.2" customHeight="1" thickBot="1" x14ac:dyDescent="0.25">
      <c r="A10" s="43" t="s">
        <v>12</v>
      </c>
      <c r="B10" s="47" t="s">
        <v>277</v>
      </c>
      <c r="C10" s="89">
        <f>C11+C12+C13+C14+C15+C16+C17+C18+C19+C20+C21</f>
        <v>294699169</v>
      </c>
      <c r="D10" s="127">
        <f t="shared" ref="D10:K10" si="0">D11+D12+D13+D14+D15+D16+D17+D18+D19+D20+D21</f>
        <v>308633169</v>
      </c>
      <c r="E10" s="89">
        <f t="shared" si="0"/>
        <v>311098169</v>
      </c>
      <c r="F10" s="89">
        <f t="shared" si="0"/>
        <v>311098169</v>
      </c>
      <c r="G10" s="582">
        <f t="shared" si="0"/>
        <v>0</v>
      </c>
      <c r="H10" s="48">
        <f>H11+H12+H13+H14+H15+H16+H17+H18+H19+H20+H21</f>
        <v>2465000</v>
      </c>
      <c r="I10" s="1495">
        <f t="shared" si="0"/>
        <v>0</v>
      </c>
      <c r="J10" s="89">
        <f t="shared" si="0"/>
        <v>326708835</v>
      </c>
      <c r="K10" s="1495">
        <f t="shared" si="0"/>
        <v>0</v>
      </c>
      <c r="L10" s="1509">
        <f t="shared" ref="L10:L48" si="1">IF(F10=0,"",J10/F10*100)</f>
        <v>105.01792281522557</v>
      </c>
    </row>
    <row r="11" spans="1:16" s="26" customFormat="1" ht="12.2" customHeight="1" x14ac:dyDescent="0.2">
      <c r="A11" s="49" t="s">
        <v>91</v>
      </c>
      <c r="B11" s="50" t="s">
        <v>143</v>
      </c>
      <c r="C11" s="128">
        <f>'6.Polg_Hivatal'!C11+'7.TIK'!C11+'8.Humán'!C11+'9.Óvoda'!C11+'10.TMKK'!C11+'11.Rendelő'!C11</f>
        <v>0</v>
      </c>
      <c r="D11" s="192">
        <f>'6.Polg_Hivatal'!D11+'7.TIK'!D11+'8.Humán'!D11+'9.Óvoda'!D11+'10.TMKK'!D11+'11.Rendelő'!D11</f>
        <v>0</v>
      </c>
      <c r="E11" s="128">
        <f>'6.Polg_Hivatal'!E11+'7.TIK'!E11+'8.Humán'!E11+'9.Óvoda'!E11+'10.TMKK'!E11+'11.Rendelő'!E11</f>
        <v>0</v>
      </c>
      <c r="F11" s="128">
        <f>'6.Polg_Hivatal'!F11+'7.TIK'!F11+'8.Humán'!F11+'9.Óvoda'!F11+'10.TMKK'!F11+'11.Rendelő'!F11</f>
        <v>0</v>
      </c>
      <c r="G11" s="583">
        <f>'6.Polg_Hivatal'!G11+'7.TIK'!G11+'8.Humán'!G11+'9.Óvoda'!G11+'10.TMKK'!G11+'11.Rendelő'!G11</f>
        <v>0</v>
      </c>
      <c r="H11" s="51">
        <f>'6.Polg_Hivatal'!H11+'7.TIK'!H11+'8.Humán'!H11+'9.Óvoda'!H11+'10.TMKK'!H11+'11.Rendelő'!H11</f>
        <v>0</v>
      </c>
      <c r="I11" s="1496">
        <f>'6.Polg_Hivatal'!I11+'7.TIK'!I11+'8.Humán'!I11+'9.Óvoda'!I11+'10.TMKK'!I11+'11.Rendelő'!I11</f>
        <v>0</v>
      </c>
      <c r="J11" s="128">
        <f>'6.Polg_Hivatal'!J11+'7.TIK'!J11+'8.Humán'!J11+'9.Óvoda'!J11+'10.TMKK'!J11+'11.Rendelő'!J11</f>
        <v>4069</v>
      </c>
      <c r="K11" s="1496">
        <f>'6.Polg_Hivatal'!K11+'7.TIK'!K11+'8.Humán'!K11+'9.Óvoda'!K11+'10.TMKK'!K11+'11.Rendelő'!K11</f>
        <v>0</v>
      </c>
      <c r="L11" s="1510" t="str">
        <f t="shared" si="1"/>
        <v/>
      </c>
    </row>
    <row r="12" spans="1:16" s="26" customFormat="1" ht="12.2" customHeight="1" x14ac:dyDescent="0.2">
      <c r="A12" s="1037" t="s">
        <v>92</v>
      </c>
      <c r="B12" s="330" t="s">
        <v>144</v>
      </c>
      <c r="C12" s="331">
        <f>'6.Polg_Hivatal'!C12+'7.TIK'!C12+'8.Humán'!C12+'9.Óvoda'!C12+'10.TMKK'!C12+'11.Rendelő'!C12</f>
        <v>59280848</v>
      </c>
      <c r="D12" s="340">
        <f>'6.Polg_Hivatal'!D12+'7.TIK'!D12+'8.Humán'!D12+'9.Óvoda'!D12+'10.TMKK'!D12+'11.Rendelő'!D12</f>
        <v>59280848</v>
      </c>
      <c r="E12" s="331">
        <f>'6.Polg_Hivatal'!E12+'7.TIK'!E12+'8.Humán'!E12+'9.Óvoda'!E12+'10.TMKK'!E12+'11.Rendelő'!E12</f>
        <v>59280848</v>
      </c>
      <c r="F12" s="331">
        <f>'6.Polg_Hivatal'!F12+'7.TIK'!F12+'8.Humán'!F12+'9.Óvoda'!F12+'10.TMKK'!F12+'11.Rendelő'!F12</f>
        <v>59280848</v>
      </c>
      <c r="G12" s="88">
        <f>'6.Polg_Hivatal'!G12+'7.TIK'!G12+'8.Humán'!G12+'9.Óvoda'!G12+'10.TMKK'!G12+'11.Rendelő'!G12</f>
        <v>0</v>
      </c>
      <c r="H12" s="332">
        <f>'6.Polg_Hivatal'!H12+'7.TIK'!H12+'8.Humán'!H12+'9.Óvoda'!H12+'10.TMKK'!H12+'11.Rendelő'!H12</f>
        <v>0</v>
      </c>
      <c r="I12" s="1497">
        <f>'6.Polg_Hivatal'!I12+'7.TIK'!I12+'8.Humán'!I12+'9.Óvoda'!I12+'10.TMKK'!I12+'11.Rendelő'!I12</f>
        <v>0</v>
      </c>
      <c r="J12" s="331">
        <f>'6.Polg_Hivatal'!J12+'7.TIK'!J12+'8.Humán'!J12+'9.Óvoda'!J12+'10.TMKK'!J12+'11.Rendelő'!J12</f>
        <v>83319600</v>
      </c>
      <c r="K12" s="1497">
        <f>'6.Polg_Hivatal'!K12+'7.TIK'!K12+'8.Humán'!K12+'9.Óvoda'!K12+'10.TMKK'!K12+'11.Rendelő'!K12</f>
        <v>0</v>
      </c>
      <c r="L12" s="1511">
        <f t="shared" si="1"/>
        <v>140.55062100326231</v>
      </c>
    </row>
    <row r="13" spans="1:16" s="26" customFormat="1" ht="12.2" customHeight="1" x14ac:dyDescent="0.2">
      <c r="A13" s="1037" t="s">
        <v>93</v>
      </c>
      <c r="B13" s="330" t="s">
        <v>145</v>
      </c>
      <c r="C13" s="331">
        <f>'6.Polg_Hivatal'!C13+'7.TIK'!C13+'8.Humán'!C13+'9.Óvoda'!C13+'10.TMKK'!C13+'11.Rendelő'!C13</f>
        <v>8034964</v>
      </c>
      <c r="D13" s="340">
        <f>'6.Polg_Hivatal'!D13+'7.TIK'!D13+'8.Humán'!D13+'9.Óvoda'!D13+'10.TMKK'!D13+'11.Rendelő'!D13</f>
        <v>8034964</v>
      </c>
      <c r="E13" s="331">
        <f>'6.Polg_Hivatal'!E13+'7.TIK'!E13+'8.Humán'!E13+'9.Óvoda'!E13+'10.TMKK'!E13+'11.Rendelő'!E13</f>
        <v>10499964</v>
      </c>
      <c r="F13" s="331">
        <f>'6.Polg_Hivatal'!F13+'7.TIK'!F13+'8.Humán'!F13+'9.Óvoda'!F13+'10.TMKK'!F13+'11.Rendelő'!F13</f>
        <v>10499964</v>
      </c>
      <c r="G13" s="88">
        <f>'6.Polg_Hivatal'!G13+'7.TIK'!G13+'8.Humán'!G13+'9.Óvoda'!G13+'10.TMKK'!G13+'11.Rendelő'!G13</f>
        <v>0</v>
      </c>
      <c r="H13" s="332">
        <f>'6.Polg_Hivatal'!H13+'7.TIK'!H13+'8.Humán'!H13+'9.Óvoda'!H13+'10.TMKK'!H13+'11.Rendelő'!H13</f>
        <v>2465000</v>
      </c>
      <c r="I13" s="1497">
        <f>'6.Polg_Hivatal'!I13+'7.TIK'!I13+'8.Humán'!I13+'9.Óvoda'!I13+'10.TMKK'!I13+'11.Rendelő'!I13</f>
        <v>0</v>
      </c>
      <c r="J13" s="331">
        <f>'6.Polg_Hivatal'!J13+'7.TIK'!J13+'8.Humán'!J13+'9.Óvoda'!J13+'10.TMKK'!J13+'11.Rendelő'!J13</f>
        <v>11935221</v>
      </c>
      <c r="K13" s="1497">
        <f>'6.Polg_Hivatal'!K13+'7.TIK'!K13+'8.Humán'!K13+'9.Óvoda'!K13+'10.TMKK'!K13+'11.Rendelő'!K13</f>
        <v>0</v>
      </c>
      <c r="L13" s="1511">
        <f t="shared" si="1"/>
        <v>113.66916115140965</v>
      </c>
    </row>
    <row r="14" spans="1:16" s="26" customFormat="1" ht="12.2" customHeight="1" x14ac:dyDescent="0.2">
      <c r="A14" s="1037" t="s">
        <v>90</v>
      </c>
      <c r="B14" s="330" t="s">
        <v>146</v>
      </c>
      <c r="C14" s="331">
        <f>'6.Polg_Hivatal'!C14+'7.TIK'!C14+'8.Humán'!C14+'9.Óvoda'!C14+'10.TMKK'!C14+'11.Rendelő'!C14</f>
        <v>0</v>
      </c>
      <c r="D14" s="340">
        <f>'6.Polg_Hivatal'!D14+'7.TIK'!D14+'8.Humán'!D14+'9.Óvoda'!D14+'10.TMKK'!D14+'11.Rendelő'!D14</f>
        <v>0</v>
      </c>
      <c r="E14" s="331">
        <f>'6.Polg_Hivatal'!E14+'7.TIK'!E14+'8.Humán'!E14+'9.Óvoda'!E14+'10.TMKK'!E14+'11.Rendelő'!E14</f>
        <v>0</v>
      </c>
      <c r="F14" s="331">
        <f>'6.Polg_Hivatal'!F14+'7.TIK'!F14+'8.Humán'!F14+'9.Óvoda'!F14+'10.TMKK'!F14+'11.Rendelő'!F14</f>
        <v>0</v>
      </c>
      <c r="G14" s="88">
        <f>'6.Polg_Hivatal'!G14+'7.TIK'!G14+'8.Humán'!G14+'9.Óvoda'!G14+'10.TMKK'!G14+'11.Rendelő'!G14</f>
        <v>0</v>
      </c>
      <c r="H14" s="332">
        <f>'6.Polg_Hivatal'!H14+'7.TIK'!H14+'8.Humán'!H14+'9.Óvoda'!H14+'10.TMKK'!H14+'11.Rendelő'!H14</f>
        <v>0</v>
      </c>
      <c r="I14" s="1497">
        <f>'6.Polg_Hivatal'!I14+'7.TIK'!I14+'8.Humán'!I14+'9.Óvoda'!I14+'10.TMKK'!I14+'11.Rendelő'!I14</f>
        <v>0</v>
      </c>
      <c r="J14" s="331">
        <f>'6.Polg_Hivatal'!J14+'7.TIK'!J14+'8.Humán'!J14+'9.Óvoda'!J14+'10.TMKK'!J14+'11.Rendelő'!J14</f>
        <v>0</v>
      </c>
      <c r="K14" s="1497">
        <f>'6.Polg_Hivatal'!K14+'7.TIK'!K14+'8.Humán'!K14+'9.Óvoda'!K14+'10.TMKK'!K14+'11.Rendelő'!K14</f>
        <v>0</v>
      </c>
      <c r="L14" s="1511" t="str">
        <f t="shared" si="1"/>
        <v/>
      </c>
    </row>
    <row r="15" spans="1:16" s="26" customFormat="1" ht="12.2" customHeight="1" x14ac:dyDescent="0.2">
      <c r="A15" s="1037" t="s">
        <v>147</v>
      </c>
      <c r="B15" s="330" t="s">
        <v>148</v>
      </c>
      <c r="C15" s="331">
        <f>'6.Polg_Hivatal'!C15+'7.TIK'!C15+'8.Humán'!C15+'9.Óvoda'!C15+'10.TMKK'!C15+'11.Rendelő'!C15</f>
        <v>176659740</v>
      </c>
      <c r="D15" s="340">
        <f>'6.Polg_Hivatal'!D15+'7.TIK'!D15+'8.Humán'!D15+'9.Óvoda'!D15+'10.TMKK'!D15+'11.Rendelő'!D15</f>
        <v>176659740</v>
      </c>
      <c r="E15" s="331">
        <f>'6.Polg_Hivatal'!E15+'7.TIK'!E15+'8.Humán'!E15+'9.Óvoda'!E15+'10.TMKK'!E15+'11.Rendelő'!E15</f>
        <v>176659740</v>
      </c>
      <c r="F15" s="331">
        <f>'6.Polg_Hivatal'!F15+'7.TIK'!F15+'8.Humán'!F15+'9.Óvoda'!F15+'10.TMKK'!F15+'11.Rendelő'!F15</f>
        <v>176659740</v>
      </c>
      <c r="G15" s="88">
        <f>'6.Polg_Hivatal'!G15+'7.TIK'!G15+'8.Humán'!G15+'9.Óvoda'!G15+'10.TMKK'!G15+'11.Rendelő'!G15</f>
        <v>0</v>
      </c>
      <c r="H15" s="332">
        <f>'6.Polg_Hivatal'!H15+'7.TIK'!H15+'8.Humán'!H15+'9.Óvoda'!H15+'10.TMKK'!H15+'11.Rendelő'!H15</f>
        <v>0</v>
      </c>
      <c r="I15" s="1497">
        <f>'6.Polg_Hivatal'!I15+'7.TIK'!I15+'8.Humán'!I15+'9.Óvoda'!I15+'10.TMKK'!I15+'11.Rendelő'!I15</f>
        <v>0</v>
      </c>
      <c r="J15" s="331">
        <f>'6.Polg_Hivatal'!J15+'7.TIK'!J15+'8.Humán'!J15+'9.Óvoda'!J15+'10.TMKK'!J15+'11.Rendelő'!J15</f>
        <v>163778559</v>
      </c>
      <c r="K15" s="1497">
        <f>'6.Polg_Hivatal'!K15+'7.TIK'!K15+'8.Humán'!K15+'9.Óvoda'!K15+'10.TMKK'!K15+'11.Rendelő'!K15</f>
        <v>0</v>
      </c>
      <c r="L15" s="1511">
        <f t="shared" si="1"/>
        <v>92.708479589067665</v>
      </c>
    </row>
    <row r="16" spans="1:16" s="26" customFormat="1" ht="12.2" customHeight="1" x14ac:dyDescent="0.2">
      <c r="A16" s="1037" t="s">
        <v>149</v>
      </c>
      <c r="B16" s="330" t="s">
        <v>150</v>
      </c>
      <c r="C16" s="331">
        <f>'6.Polg_Hivatal'!C16+'7.TIK'!C16+'8.Humán'!C16+'9.Óvoda'!C16+'10.TMKK'!C16+'11.Rendelő'!C16</f>
        <v>39817147</v>
      </c>
      <c r="D16" s="340">
        <f>'6.Polg_Hivatal'!D16+'7.TIK'!D16+'8.Humán'!D16+'9.Óvoda'!D16+'10.TMKK'!D16+'11.Rendelő'!D16</f>
        <v>39817147</v>
      </c>
      <c r="E16" s="331">
        <f>'6.Polg_Hivatal'!E16+'7.TIK'!E16+'8.Humán'!E16+'9.Óvoda'!E16+'10.TMKK'!E16+'11.Rendelő'!E16</f>
        <v>39817147</v>
      </c>
      <c r="F16" s="331">
        <f>'6.Polg_Hivatal'!F16+'7.TIK'!F16+'8.Humán'!F16+'9.Óvoda'!F16+'10.TMKK'!F16+'11.Rendelő'!F16</f>
        <v>39817147</v>
      </c>
      <c r="G16" s="88">
        <f>'6.Polg_Hivatal'!G16+'7.TIK'!G16+'8.Humán'!G16+'9.Óvoda'!G16+'10.TMKK'!G16+'11.Rendelő'!G16</f>
        <v>0</v>
      </c>
      <c r="H16" s="332">
        <f>'6.Polg_Hivatal'!H16+'7.TIK'!H16+'8.Humán'!H16+'9.Óvoda'!H16+'10.TMKK'!H16+'11.Rendelő'!H16</f>
        <v>0</v>
      </c>
      <c r="I16" s="1497">
        <f>'6.Polg_Hivatal'!I16+'7.TIK'!I16+'8.Humán'!I16+'9.Óvoda'!I16+'10.TMKK'!I16+'11.Rendelő'!I16</f>
        <v>0</v>
      </c>
      <c r="J16" s="331">
        <f>'6.Polg_Hivatal'!J16+'7.TIK'!J16+'8.Humán'!J16+'9.Óvoda'!J16+'10.TMKK'!J16+'11.Rendelő'!J16</f>
        <v>42873657</v>
      </c>
      <c r="K16" s="1497">
        <f>'6.Polg_Hivatal'!K16+'7.TIK'!K16+'8.Humán'!K16+'9.Óvoda'!K16+'10.TMKK'!K16+'11.Rendelő'!K16</f>
        <v>0</v>
      </c>
      <c r="L16" s="1511">
        <f t="shared" si="1"/>
        <v>107.67636616455721</v>
      </c>
    </row>
    <row r="17" spans="1:12" s="26" customFormat="1" ht="12.2" customHeight="1" x14ac:dyDescent="0.2">
      <c r="A17" s="1037" t="s">
        <v>151</v>
      </c>
      <c r="B17" s="52" t="s">
        <v>152</v>
      </c>
      <c r="C17" s="331">
        <f>'6.Polg_Hivatal'!C17+'7.TIK'!C17+'8.Humán'!C17+'9.Óvoda'!C17+'10.TMKK'!C17+'11.Rendelő'!C17</f>
        <v>0</v>
      </c>
      <c r="D17" s="340">
        <f>'6.Polg_Hivatal'!D17+'7.TIK'!D17+'8.Humán'!D17+'9.Óvoda'!D17+'10.TMKK'!D17+'11.Rendelő'!D17</f>
        <v>13934000</v>
      </c>
      <c r="E17" s="331">
        <f>'6.Polg_Hivatal'!E17+'7.TIK'!E17+'8.Humán'!E17+'9.Óvoda'!E17+'10.TMKK'!E17+'11.Rendelő'!E17</f>
        <v>13934000</v>
      </c>
      <c r="F17" s="331">
        <f>'6.Polg_Hivatal'!F17+'7.TIK'!F17+'8.Humán'!F17+'9.Óvoda'!F17+'10.TMKK'!F17+'11.Rendelő'!F17</f>
        <v>13934000</v>
      </c>
      <c r="G17" s="88">
        <f>'6.Polg_Hivatal'!G17+'7.TIK'!G17+'8.Humán'!G17+'9.Óvoda'!G17+'10.TMKK'!G17+'11.Rendelő'!G17</f>
        <v>0</v>
      </c>
      <c r="H17" s="332">
        <f>'6.Polg_Hivatal'!H17+'7.TIK'!H17+'8.Humán'!H17+'9.Óvoda'!H17+'10.TMKK'!H17+'11.Rendelő'!H17</f>
        <v>0</v>
      </c>
      <c r="I17" s="1497">
        <f>'6.Polg_Hivatal'!I17+'7.TIK'!I17+'8.Humán'!I17+'9.Óvoda'!I17+'10.TMKK'!I17+'11.Rendelő'!I17</f>
        <v>0</v>
      </c>
      <c r="J17" s="331">
        <f>'6.Polg_Hivatal'!J17+'7.TIK'!J17+'8.Humán'!J17+'9.Óvoda'!J17+'10.TMKK'!J17+'11.Rendelő'!J17</f>
        <v>13934000</v>
      </c>
      <c r="K17" s="1497">
        <f>'6.Polg_Hivatal'!K17+'7.TIK'!K17+'8.Humán'!K17+'9.Óvoda'!K17+'10.TMKK'!K17+'11.Rendelő'!K17</f>
        <v>0</v>
      </c>
      <c r="L17" s="1511">
        <f t="shared" si="1"/>
        <v>100</v>
      </c>
    </row>
    <row r="18" spans="1:12" s="26" customFormat="1" ht="12.2" customHeight="1" x14ac:dyDescent="0.2">
      <c r="A18" s="1037" t="s">
        <v>153</v>
      </c>
      <c r="B18" s="345" t="s">
        <v>302</v>
      </c>
      <c r="C18" s="121">
        <f>'6.Polg_Hivatal'!C18+'7.TIK'!C18+'8.Humán'!C18+'9.Óvoda'!C18+'10.TMKK'!C18+'11.Rendelő'!C18</f>
        <v>0</v>
      </c>
      <c r="D18" s="188">
        <f>'6.Polg_Hivatal'!D18+'7.TIK'!D18+'8.Humán'!D18+'9.Óvoda'!D18+'10.TMKK'!D18+'11.Rendelő'!D18</f>
        <v>0</v>
      </c>
      <c r="E18" s="121">
        <f>'6.Polg_Hivatal'!E18+'7.TIK'!E18+'8.Humán'!E18+'9.Óvoda'!E18+'10.TMKK'!E18+'11.Rendelő'!E18</f>
        <v>0</v>
      </c>
      <c r="F18" s="121">
        <f>'6.Polg_Hivatal'!F18+'7.TIK'!F18+'8.Humán'!F18+'9.Óvoda'!F18+'10.TMKK'!F18+'11.Rendelő'!F18</f>
        <v>0</v>
      </c>
      <c r="G18" s="90">
        <f>'6.Polg_Hivatal'!G18+'7.TIK'!G18+'8.Humán'!G18+'9.Óvoda'!G18+'10.TMKK'!G18+'11.Rendelő'!G18</f>
        <v>0</v>
      </c>
      <c r="H18" s="53">
        <f>'6.Polg_Hivatal'!H18+'7.TIK'!H18+'8.Humán'!H18+'9.Óvoda'!H18+'10.TMKK'!H18+'11.Rendelő'!H18</f>
        <v>0</v>
      </c>
      <c r="I18" s="1498">
        <f>'6.Polg_Hivatal'!I18+'7.TIK'!I18+'8.Humán'!I18+'9.Óvoda'!I18+'10.TMKK'!I18+'11.Rendelő'!I18</f>
        <v>0</v>
      </c>
      <c r="J18" s="121">
        <f>'6.Polg_Hivatal'!J18+'7.TIK'!J18+'8.Humán'!J18+'9.Óvoda'!J18+'10.TMKK'!J18+'11.Rendelő'!J18</f>
        <v>68</v>
      </c>
      <c r="K18" s="1498">
        <f>'6.Polg_Hivatal'!K18+'7.TIK'!K18+'8.Humán'!K18+'9.Óvoda'!K18+'10.TMKK'!K18+'11.Rendelő'!K18</f>
        <v>0</v>
      </c>
      <c r="L18" s="1512" t="str">
        <f t="shared" si="1"/>
        <v/>
      </c>
    </row>
    <row r="19" spans="1:12" s="54" customFormat="1" ht="12.2" customHeight="1" x14ac:dyDescent="0.2">
      <c r="A19" s="1037" t="s">
        <v>154</v>
      </c>
      <c r="B19" s="330" t="s">
        <v>155</v>
      </c>
      <c r="C19" s="331">
        <f>'6.Polg_Hivatal'!C19+'7.TIK'!C19+'8.Humán'!C19+'9.Óvoda'!C19+'10.TMKK'!C19+'11.Rendelő'!C19</f>
        <v>0</v>
      </c>
      <c r="D19" s="340">
        <f>'6.Polg_Hivatal'!D19+'7.TIK'!D19+'8.Humán'!D19+'9.Óvoda'!D19+'10.TMKK'!D19+'11.Rendelő'!D19</f>
        <v>0</v>
      </c>
      <c r="E19" s="331">
        <f>'6.Polg_Hivatal'!E19+'7.TIK'!E19+'8.Humán'!E19+'9.Óvoda'!E19+'10.TMKK'!E19+'11.Rendelő'!E19</f>
        <v>0</v>
      </c>
      <c r="F19" s="331">
        <f>'6.Polg_Hivatal'!F19+'7.TIK'!F19+'8.Humán'!F19+'9.Óvoda'!F19+'10.TMKK'!F19+'11.Rendelő'!F19</f>
        <v>0</v>
      </c>
      <c r="G19" s="88">
        <f>'6.Polg_Hivatal'!G19+'7.TIK'!G19+'8.Humán'!G19+'9.Óvoda'!G19+'10.TMKK'!G19+'11.Rendelő'!G19</f>
        <v>0</v>
      </c>
      <c r="H19" s="332">
        <f>'6.Polg_Hivatal'!H19+'7.TIK'!H19+'8.Humán'!H19+'9.Óvoda'!H19+'10.TMKK'!H19+'11.Rendelő'!H19</f>
        <v>0</v>
      </c>
      <c r="I19" s="1497">
        <f>'6.Polg_Hivatal'!I19+'7.TIK'!I19+'8.Humán'!I19+'9.Óvoda'!I19+'10.TMKK'!I19+'11.Rendelő'!I19</f>
        <v>0</v>
      </c>
      <c r="J19" s="331">
        <f>'6.Polg_Hivatal'!J19+'7.TIK'!J19+'8.Humán'!J19+'9.Óvoda'!J19+'10.TMKK'!J19+'11.Rendelő'!J19</f>
        <v>0</v>
      </c>
      <c r="K19" s="1497">
        <f>'6.Polg_Hivatal'!K19+'7.TIK'!K19+'8.Humán'!K19+'9.Óvoda'!K19+'10.TMKK'!K19+'11.Rendelő'!K19</f>
        <v>0</v>
      </c>
      <c r="L19" s="1511" t="str">
        <f t="shared" si="1"/>
        <v/>
      </c>
    </row>
    <row r="20" spans="1:12" s="54" customFormat="1" ht="12.2" customHeight="1" x14ac:dyDescent="0.2">
      <c r="A20" s="1037" t="s">
        <v>156</v>
      </c>
      <c r="B20" s="345" t="s">
        <v>275</v>
      </c>
      <c r="C20" s="331">
        <f>'6.Polg_Hivatal'!C20+'7.TIK'!C20+'8.Humán'!C20+'9.Óvoda'!C20+'10.TMKK'!C20+'11.Rendelő'!C20</f>
        <v>0</v>
      </c>
      <c r="D20" s="341">
        <f>'6.Polg_Hivatal'!D20+'7.TIK'!D20+'8.Humán'!D20+'9.Óvoda'!D20+'10.TMKK'!D20+'11.Rendelő'!D20</f>
        <v>0</v>
      </c>
      <c r="E20" s="333">
        <f>'6.Polg_Hivatal'!E20+'7.TIK'!E20+'8.Humán'!E20+'9.Óvoda'!E20+'10.TMKK'!E20+'11.Rendelő'!E20</f>
        <v>0</v>
      </c>
      <c r="F20" s="1493">
        <f>'6.Polg_Hivatal'!F20+'7.TIK'!F20+'8.Humán'!F20+'9.Óvoda'!F20+'10.TMKK'!F20+'11.Rendelő'!F20</f>
        <v>0</v>
      </c>
      <c r="G20" s="1488">
        <f>'6.Polg_Hivatal'!G20+'7.TIK'!G20+'8.Humán'!G20+'9.Óvoda'!G20+'10.TMKK'!G20+'11.Rendelő'!G20</f>
        <v>0</v>
      </c>
      <c r="H20" s="334">
        <f>'6.Polg_Hivatal'!H20+'7.TIK'!H20+'8.Humán'!H20+'9.Óvoda'!H20+'10.TMKK'!H20+'11.Rendelő'!H20</f>
        <v>0</v>
      </c>
      <c r="I20" s="1499">
        <f>'6.Polg_Hivatal'!I20+'7.TIK'!I20+'8.Humán'!I20+'9.Óvoda'!I20+'10.TMKK'!I20+'11.Rendelő'!I20</f>
        <v>0</v>
      </c>
      <c r="J20" s="1493">
        <f>'6.Polg_Hivatal'!J20+'7.TIK'!J20+'8.Humán'!J20+'9.Óvoda'!J20+'10.TMKK'!J20+'11.Rendelő'!J20</f>
        <v>623468</v>
      </c>
      <c r="K20" s="1499">
        <f>'6.Polg_Hivatal'!K20+'7.TIK'!K20+'8.Humán'!K20+'9.Óvoda'!K20+'10.TMKK'!K20+'11.Rendelő'!K20</f>
        <v>0</v>
      </c>
      <c r="L20" s="1513" t="str">
        <f t="shared" si="1"/>
        <v/>
      </c>
    </row>
    <row r="21" spans="1:12" s="54" customFormat="1" ht="12.2" customHeight="1" thickBot="1" x14ac:dyDescent="0.25">
      <c r="A21" s="1037" t="s">
        <v>276</v>
      </c>
      <c r="B21" s="52" t="s">
        <v>157</v>
      </c>
      <c r="C21" s="331">
        <f>'6.Polg_Hivatal'!C21+'7.TIK'!C21+'8.Humán'!C21+'9.Óvoda'!C21+'10.TMKK'!C21+'11.Rendelő'!C21</f>
        <v>10906470</v>
      </c>
      <c r="D21" s="341">
        <f>'6.Polg_Hivatal'!D21+'7.TIK'!D21+'8.Humán'!D21+'9.Óvoda'!D21+'10.TMKK'!D21+'11.Rendelő'!D21</f>
        <v>10906470</v>
      </c>
      <c r="E21" s="333">
        <f>'6.Polg_Hivatal'!E21+'7.TIK'!E21+'8.Humán'!E21+'9.Óvoda'!E21+'10.TMKK'!E21+'11.Rendelő'!E21</f>
        <v>10906470</v>
      </c>
      <c r="F21" s="1493">
        <f>'6.Polg_Hivatal'!F21+'7.TIK'!F21+'8.Humán'!F21+'9.Óvoda'!F21+'10.TMKK'!F21+'11.Rendelő'!F21</f>
        <v>10906470</v>
      </c>
      <c r="G21" s="1488">
        <f>'6.Polg_Hivatal'!G21+'7.TIK'!G21+'8.Humán'!G21+'9.Óvoda'!G21+'10.TMKK'!G21+'11.Rendelő'!G21</f>
        <v>0</v>
      </c>
      <c r="H21" s="334">
        <f>'6.Polg_Hivatal'!H21+'7.TIK'!H21+'8.Humán'!H21+'9.Óvoda'!H21+'10.TMKK'!H21+'11.Rendelő'!H21</f>
        <v>0</v>
      </c>
      <c r="I21" s="1499">
        <f>'6.Polg_Hivatal'!I21+'7.TIK'!I21+'8.Humán'!I21+'9.Óvoda'!I21+'10.TMKK'!I21+'11.Rendelő'!I21</f>
        <v>0</v>
      </c>
      <c r="J21" s="1493">
        <f>'6.Polg_Hivatal'!J21+'7.TIK'!J21+'8.Humán'!J21+'9.Óvoda'!J21+'10.TMKK'!J21+'11.Rendelő'!J21</f>
        <v>10240193</v>
      </c>
      <c r="K21" s="1499">
        <f>'6.Polg_Hivatal'!K21+'7.TIK'!K21+'8.Humán'!K21+'9.Óvoda'!K21+'10.TMKK'!K21+'11.Rendelő'!K21</f>
        <v>0</v>
      </c>
      <c r="L21" s="1513">
        <f t="shared" si="1"/>
        <v>93.89099314443628</v>
      </c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C23+C24+C25+C26</f>
        <v>1170456914</v>
      </c>
      <c r="D22" s="127">
        <f t="shared" ref="D22:K22" si="2">D23+D24+D25+D26</f>
        <v>1170456914</v>
      </c>
      <c r="E22" s="89">
        <f t="shared" si="2"/>
        <v>1174012266</v>
      </c>
      <c r="F22" s="89">
        <f t="shared" si="2"/>
        <v>1174012266</v>
      </c>
      <c r="G22" s="582">
        <f t="shared" si="2"/>
        <v>0</v>
      </c>
      <c r="H22" s="48">
        <f>H23+H24+H25+H26</f>
        <v>3555352</v>
      </c>
      <c r="I22" s="1495">
        <f t="shared" si="2"/>
        <v>0</v>
      </c>
      <c r="J22" s="89">
        <f t="shared" si="2"/>
        <v>939070177</v>
      </c>
      <c r="K22" s="1495">
        <f t="shared" si="2"/>
        <v>0</v>
      </c>
      <c r="L22" s="1509">
        <f t="shared" si="1"/>
        <v>79.98810610382499</v>
      </c>
    </row>
    <row r="23" spans="1:12" s="54" customFormat="1" ht="12.2" customHeight="1" x14ac:dyDescent="0.2">
      <c r="A23" s="1037" t="s">
        <v>94</v>
      </c>
      <c r="B23" s="17" t="s">
        <v>159</v>
      </c>
      <c r="C23" s="331">
        <f>'6.Polg_Hivatal'!C23+'7.TIK'!C23+'8.Humán'!C23+'9.Óvoda'!C23+'10.TMKK'!C23+'11.Rendelő'!C23</f>
        <v>0</v>
      </c>
      <c r="D23" s="340">
        <f>'6.Polg_Hivatal'!D23+'7.TIK'!D23+'8.Humán'!D23+'9.Óvoda'!D23+'10.TMKK'!D23+'11.Rendelő'!D23</f>
        <v>0</v>
      </c>
      <c r="E23" s="331">
        <f>'6.Polg_Hivatal'!E23+'7.TIK'!E23+'8.Humán'!E23+'9.Óvoda'!E23+'10.TMKK'!E23+'11.Rendelő'!E23</f>
        <v>0</v>
      </c>
      <c r="F23" s="331">
        <f>'6.Polg_Hivatal'!F23+'7.TIK'!F23+'8.Humán'!F23+'9.Óvoda'!F23+'10.TMKK'!F23+'11.Rendelő'!F23</f>
        <v>0</v>
      </c>
      <c r="G23" s="88">
        <f>'6.Polg_Hivatal'!G23+'7.TIK'!G23+'8.Humán'!G23+'9.Óvoda'!G23+'10.TMKK'!G23+'11.Rendelő'!G23</f>
        <v>0</v>
      </c>
      <c r="H23" s="332">
        <f>'6.Polg_Hivatal'!H23+'7.TIK'!H23+'8.Humán'!H23+'9.Óvoda'!H23+'10.TMKK'!H23+'11.Rendelő'!H23</f>
        <v>0</v>
      </c>
      <c r="I23" s="1497">
        <f>'6.Polg_Hivatal'!I23+'7.TIK'!I23+'8.Humán'!I23+'9.Óvoda'!I23+'10.TMKK'!I23+'11.Rendelő'!I23</f>
        <v>0</v>
      </c>
      <c r="J23" s="331">
        <f>'6.Polg_Hivatal'!J23+'7.TIK'!J23+'8.Humán'!J23+'9.Óvoda'!J23+'10.TMKK'!J23+'11.Rendelő'!J23</f>
        <v>0</v>
      </c>
      <c r="K23" s="1497">
        <f>'6.Polg_Hivatal'!K23+'7.TIK'!K23+'8.Humán'!K23+'9.Óvoda'!K23+'10.TMKK'!K23+'11.Rendelő'!K23</f>
        <v>0</v>
      </c>
      <c r="L23" s="1511" t="str">
        <f t="shared" si="1"/>
        <v/>
      </c>
    </row>
    <row r="24" spans="1:12" s="54" customFormat="1" ht="12.2" customHeight="1" x14ac:dyDescent="0.2">
      <c r="A24" s="1037" t="s">
        <v>95</v>
      </c>
      <c r="B24" s="330" t="s">
        <v>160</v>
      </c>
      <c r="C24" s="331">
        <f>'6.Polg_Hivatal'!C24+'7.TIK'!C24+'8.Humán'!C24+'9.Óvoda'!C24+'10.TMKK'!C24+'11.Rendelő'!C24</f>
        <v>0</v>
      </c>
      <c r="D24" s="340">
        <f>'6.Polg_Hivatal'!D24+'7.TIK'!D24+'8.Humán'!D24+'9.Óvoda'!D24+'10.TMKK'!D24+'11.Rendelő'!D24</f>
        <v>0</v>
      </c>
      <c r="E24" s="331">
        <f>'6.Polg_Hivatal'!E24+'7.TIK'!E24+'8.Humán'!E24+'9.Óvoda'!E24+'10.TMKK'!E24+'11.Rendelő'!E24</f>
        <v>0</v>
      </c>
      <c r="F24" s="331">
        <f>'6.Polg_Hivatal'!F24+'7.TIK'!F24+'8.Humán'!F24+'9.Óvoda'!F24+'10.TMKK'!F24+'11.Rendelő'!F24</f>
        <v>0</v>
      </c>
      <c r="G24" s="88">
        <f>'6.Polg_Hivatal'!G24+'7.TIK'!G24+'8.Humán'!G24+'9.Óvoda'!G24+'10.TMKK'!G24+'11.Rendelő'!G24</f>
        <v>0</v>
      </c>
      <c r="H24" s="332">
        <f>'6.Polg_Hivatal'!H24+'7.TIK'!H24+'8.Humán'!H24+'9.Óvoda'!H24+'10.TMKK'!H24+'11.Rendelő'!H24</f>
        <v>0</v>
      </c>
      <c r="I24" s="1497">
        <f>'6.Polg_Hivatal'!I24+'7.TIK'!I24+'8.Humán'!I24+'9.Óvoda'!I24+'10.TMKK'!I24+'11.Rendelő'!I24</f>
        <v>0</v>
      </c>
      <c r="J24" s="331">
        <f>'6.Polg_Hivatal'!J24+'7.TIK'!J24+'8.Humán'!J24+'9.Óvoda'!J24+'10.TMKK'!J24+'11.Rendelő'!J24</f>
        <v>0</v>
      </c>
      <c r="K24" s="1497">
        <f>'6.Polg_Hivatal'!K24+'7.TIK'!K24+'8.Humán'!K24+'9.Óvoda'!K24+'10.TMKK'!K24+'11.Rendelő'!K24</f>
        <v>0</v>
      </c>
      <c r="L24" s="1511" t="str">
        <f t="shared" si="1"/>
        <v/>
      </c>
    </row>
    <row r="25" spans="1:12" s="54" customFormat="1" ht="12.2" customHeight="1" x14ac:dyDescent="0.2">
      <c r="A25" s="1037" t="s">
        <v>96</v>
      </c>
      <c r="B25" s="330" t="s">
        <v>161</v>
      </c>
      <c r="C25" s="331">
        <f>'6.Polg_Hivatal'!C25+'7.TIK'!C25+'8.Humán'!C25+'9.Óvoda'!C25+'10.TMKK'!C25+'11.Rendelő'!C25</f>
        <v>1170456914</v>
      </c>
      <c r="D25" s="340">
        <f>'6.Polg_Hivatal'!D25+'7.TIK'!D25+'8.Humán'!D25+'9.Óvoda'!D25+'10.TMKK'!D25+'11.Rendelő'!D25</f>
        <v>1170456914</v>
      </c>
      <c r="E25" s="331">
        <f>'6.Polg_Hivatal'!E25+'7.TIK'!E25+'8.Humán'!E25+'9.Óvoda'!E25+'10.TMKK'!E25+'11.Rendelő'!E25</f>
        <v>1174012266</v>
      </c>
      <c r="F25" s="331">
        <f>'6.Polg_Hivatal'!F25+'7.TIK'!F25+'8.Humán'!F25+'9.Óvoda'!F25+'10.TMKK'!F25+'11.Rendelő'!F25</f>
        <v>1174012266</v>
      </c>
      <c r="G25" s="88">
        <f>'6.Polg_Hivatal'!G25+'7.TIK'!G25+'8.Humán'!G25+'9.Óvoda'!G25+'10.TMKK'!G25+'11.Rendelő'!G25</f>
        <v>0</v>
      </c>
      <c r="H25" s="332">
        <f>'6.Polg_Hivatal'!H25+'7.TIK'!H25+'8.Humán'!H25+'9.Óvoda'!H25+'10.TMKK'!H25+'11.Rendelő'!H25</f>
        <v>3555352</v>
      </c>
      <c r="I25" s="1497">
        <f>'6.Polg_Hivatal'!I25+'7.TIK'!I25+'8.Humán'!I25+'9.Óvoda'!I25+'10.TMKK'!I25+'11.Rendelő'!I25</f>
        <v>0</v>
      </c>
      <c r="J25" s="331">
        <f>'6.Polg_Hivatal'!J25+'7.TIK'!J25+'8.Humán'!J25+'9.Óvoda'!J25+'10.TMKK'!J25+'11.Rendelő'!J25</f>
        <v>939070177</v>
      </c>
      <c r="K25" s="1497">
        <f>'6.Polg_Hivatal'!K25+'7.TIK'!K25+'8.Humán'!K25+'9.Óvoda'!K25+'10.TMKK'!K25+'11.Rendelő'!K25</f>
        <v>0</v>
      </c>
      <c r="L25" s="1511">
        <f t="shared" si="1"/>
        <v>79.98810610382499</v>
      </c>
    </row>
    <row r="26" spans="1:12" s="54" customFormat="1" ht="12.2" customHeight="1" thickBot="1" x14ac:dyDescent="0.25">
      <c r="A26" s="1037" t="s">
        <v>317</v>
      </c>
      <c r="B26" s="335" t="s">
        <v>233</v>
      </c>
      <c r="C26" s="331">
        <f>'6.Polg_Hivatal'!C26+'7.TIK'!C26+'8.Humán'!C26+'9.Óvoda'!C26+'10.TMKK'!C26+'11.Rendelő'!C26</f>
        <v>0</v>
      </c>
      <c r="D26" s="340">
        <f>'6.Polg_Hivatal'!D26+'7.TIK'!D26+'8.Humán'!D26+'9.Óvoda'!D26+'10.TMKK'!D26+'11.Rendelő'!D26</f>
        <v>0</v>
      </c>
      <c r="E26" s="331">
        <f>'6.Polg_Hivatal'!E26+'7.TIK'!E26+'8.Humán'!E26+'9.Óvoda'!E26+'10.TMKK'!E26+'11.Rendelő'!E26</f>
        <v>0</v>
      </c>
      <c r="F26" s="331">
        <f>'6.Polg_Hivatal'!F26+'7.TIK'!F26+'8.Humán'!F26+'9.Óvoda'!F26+'10.TMKK'!F26+'11.Rendelő'!F26</f>
        <v>0</v>
      </c>
      <c r="G26" s="88">
        <f>'6.Polg_Hivatal'!G26+'7.TIK'!G26+'8.Humán'!G26+'9.Óvoda'!G26+'10.TMKK'!G26+'11.Rendelő'!G26</f>
        <v>0</v>
      </c>
      <c r="H26" s="332">
        <f>'6.Polg_Hivatal'!H26+'7.TIK'!H26+'8.Humán'!H26+'9.Óvoda'!H26+'10.TMKK'!H26+'11.Rendelő'!H26</f>
        <v>0</v>
      </c>
      <c r="I26" s="1497">
        <f>'6.Polg_Hivatal'!I26+'7.TIK'!I26+'8.Humán'!I26+'9.Óvoda'!I26+'10.TMKK'!I26+'11.Rendelő'!I26</f>
        <v>0</v>
      </c>
      <c r="J26" s="331">
        <f>'6.Polg_Hivatal'!J26+'7.TIK'!J26+'8.Humán'!J26+'9.Óvoda'!J26+'10.TMKK'!J26+'11.Rendelő'!J26</f>
        <v>0</v>
      </c>
      <c r="K26" s="1497">
        <f>'6.Polg_Hivatal'!K26+'7.TIK'!K26+'8.Humán'!K26+'9.Óvoda'!K26+'10.TMKK'!K26+'11.Rendelő'!K26</f>
        <v>0</v>
      </c>
      <c r="L26" s="1511" t="str">
        <f t="shared" si="1"/>
        <v/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30">
        <f>'6.Polg_Hivatal'!C27+'7.TIK'!C27+'8.Humán'!C27+'9.Óvoda'!C27+'10.TMKK'!C27+'11.Rendelő'!C27</f>
        <v>0</v>
      </c>
      <c r="D27" s="129">
        <f>'6.Polg_Hivatal'!D27+'7.TIK'!D27+'8.Humán'!D27+'9.Óvoda'!D27+'10.TMKK'!D27+'11.Rendelő'!D27</f>
        <v>0</v>
      </c>
      <c r="E27" s="130">
        <f>'6.Polg_Hivatal'!E27+'7.TIK'!E27+'8.Humán'!E27+'9.Óvoda'!E27+'10.TMKK'!E27+'11.Rendelő'!E27</f>
        <v>0</v>
      </c>
      <c r="F27" s="130">
        <f>'6.Polg_Hivatal'!F27+'7.TIK'!F27+'8.Humán'!F27+'9.Óvoda'!F27+'10.TMKK'!F27+'11.Rendelő'!F27</f>
        <v>0</v>
      </c>
      <c r="G27" s="585">
        <f>'6.Polg_Hivatal'!G27+'7.TIK'!G27+'8.Humán'!G27+'9.Óvoda'!G27+'10.TMKK'!G27+'11.Rendelő'!G27</f>
        <v>0</v>
      </c>
      <c r="H27" s="57">
        <f>'6.Polg_Hivatal'!H27+'7.TIK'!H27+'8.Humán'!H27+'9.Óvoda'!H27+'10.TMKK'!H27+'11.Rendelő'!H27</f>
        <v>0</v>
      </c>
      <c r="I27" s="1500">
        <f>'6.Polg_Hivatal'!I27+'7.TIK'!I27+'8.Humán'!I27+'9.Óvoda'!I27+'10.TMKK'!I27+'11.Rendelő'!I27</f>
        <v>0</v>
      </c>
      <c r="J27" s="130">
        <f>'6.Polg_Hivatal'!J27+'7.TIK'!J27+'8.Humán'!J27+'9.Óvoda'!J27+'10.TMKK'!J27+'11.Rendelő'!J27</f>
        <v>0</v>
      </c>
      <c r="K27" s="1500">
        <f>'6.Polg_Hivatal'!K27+'7.TIK'!K27+'8.Humán'!K27+'9.Óvoda'!K27+'10.TMKK'!K27+'11.Rendelő'!K27</f>
        <v>0</v>
      </c>
      <c r="L27" s="1514" t="str">
        <f t="shared" si="1"/>
        <v/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+C29+C30</f>
        <v>0</v>
      </c>
      <c r="D28" s="127">
        <f t="shared" ref="D28:K28" si="3">+D29+D30</f>
        <v>0</v>
      </c>
      <c r="E28" s="89">
        <f t="shared" si="3"/>
        <v>0</v>
      </c>
      <c r="F28" s="89">
        <f t="shared" si="3"/>
        <v>0</v>
      </c>
      <c r="G28" s="582">
        <f t="shared" si="3"/>
        <v>0</v>
      </c>
      <c r="H28" s="48">
        <f t="shared" si="3"/>
        <v>0</v>
      </c>
      <c r="I28" s="1495">
        <f t="shared" si="3"/>
        <v>0</v>
      </c>
      <c r="J28" s="89">
        <f t="shared" si="3"/>
        <v>0</v>
      </c>
      <c r="K28" s="1495">
        <f t="shared" si="3"/>
        <v>0</v>
      </c>
      <c r="L28" s="1509" t="str">
        <f t="shared" si="1"/>
        <v/>
      </c>
    </row>
    <row r="29" spans="1:12" s="54" customFormat="1" ht="12.2" customHeight="1" x14ac:dyDescent="0.2">
      <c r="A29" s="58" t="s">
        <v>100</v>
      </c>
      <c r="B29" s="59" t="s">
        <v>160</v>
      </c>
      <c r="C29" s="122">
        <f>'6.Polg_Hivatal'!C29+'7.TIK'!C29+'8.Humán'!C29+'9.Óvoda'!C29+'10.TMKK'!C29+'11.Rendelő'!C29</f>
        <v>0</v>
      </c>
      <c r="D29" s="189">
        <f>'6.Polg_Hivatal'!D29+'7.TIK'!D29+'8.Humán'!D29+'9.Óvoda'!D29+'10.TMKK'!D29+'11.Rendelő'!D29</f>
        <v>0</v>
      </c>
      <c r="E29" s="122">
        <f>'6.Polg_Hivatal'!E29+'7.TIK'!E29+'8.Humán'!E29+'9.Óvoda'!E29+'10.TMKK'!E29+'11.Rendelő'!E29</f>
        <v>0</v>
      </c>
      <c r="F29" s="122">
        <f>'6.Polg_Hivatal'!F29+'7.TIK'!F29+'8.Humán'!F29+'9.Óvoda'!F29+'10.TMKK'!F29+'11.Rendelő'!F29</f>
        <v>0</v>
      </c>
      <c r="G29" s="586">
        <f>'6.Polg_Hivatal'!G29+'7.TIK'!G29+'8.Humán'!G29+'9.Óvoda'!G29+'10.TMKK'!G29+'11.Rendelő'!G29</f>
        <v>0</v>
      </c>
      <c r="H29" s="33">
        <f>'6.Polg_Hivatal'!H29+'7.TIK'!H29+'8.Humán'!H29+'9.Óvoda'!H29+'10.TMKK'!H29+'11.Rendelő'!H29</f>
        <v>0</v>
      </c>
      <c r="I29" s="1501">
        <f>'6.Polg_Hivatal'!I29+'7.TIK'!I29+'8.Humán'!I29+'9.Óvoda'!I29+'10.TMKK'!I29+'11.Rendelő'!I29</f>
        <v>0</v>
      </c>
      <c r="J29" s="122">
        <f>'6.Polg_Hivatal'!J29+'7.TIK'!J29+'8.Humán'!J29+'9.Óvoda'!J29+'10.TMKK'!J29+'11.Rendelő'!J29</f>
        <v>0</v>
      </c>
      <c r="K29" s="1501">
        <f>'6.Polg_Hivatal'!K29+'7.TIK'!K29+'8.Humán'!K29+'9.Óvoda'!K29+'10.TMKK'!K29+'11.Rendelő'!K29</f>
        <v>0</v>
      </c>
      <c r="L29" s="1515" t="str">
        <f t="shared" si="1"/>
        <v/>
      </c>
    </row>
    <row r="30" spans="1:12" s="54" customFormat="1" ht="12.2" customHeight="1" x14ac:dyDescent="0.2">
      <c r="A30" s="58" t="s">
        <v>101</v>
      </c>
      <c r="B30" s="336" t="s">
        <v>163</v>
      </c>
      <c r="C30" s="120">
        <f>'6.Polg_Hivatal'!C30+'7.TIK'!C30+'8.Humán'!C30+'9.Óvoda'!C30+'10.TMKK'!C30+'11.Rendelő'!C30</f>
        <v>0</v>
      </c>
      <c r="D30" s="193">
        <f>'6.Polg_Hivatal'!D30+'7.TIK'!D30+'8.Humán'!D30+'9.Óvoda'!D30+'10.TMKK'!D30+'11.Rendelő'!D30</f>
        <v>0</v>
      </c>
      <c r="E30" s="120">
        <f>'6.Polg_Hivatal'!E30+'7.TIK'!E30+'8.Humán'!E30+'9.Óvoda'!E30+'10.TMKK'!E30+'11.Rendelő'!E30</f>
        <v>0</v>
      </c>
      <c r="F30" s="120">
        <f>'6.Polg_Hivatal'!F30+'7.TIK'!F30+'8.Humán'!F30+'9.Óvoda'!F30+'10.TMKK'!F30+'11.Rendelő'!F30</f>
        <v>0</v>
      </c>
      <c r="G30" s="91">
        <f>'6.Polg_Hivatal'!G30+'7.TIK'!G30+'8.Humán'!G30+'9.Óvoda'!G30+'10.TMKK'!G30+'11.Rendelő'!G30</f>
        <v>0</v>
      </c>
      <c r="H30" s="60">
        <f>'6.Polg_Hivatal'!H30+'7.TIK'!H30+'8.Humán'!H30+'9.Óvoda'!H30+'10.TMKK'!H30+'11.Rendelő'!H30</f>
        <v>0</v>
      </c>
      <c r="I30" s="1502">
        <f>'6.Polg_Hivatal'!I30+'7.TIK'!I30+'8.Humán'!I30+'9.Óvoda'!I30+'10.TMKK'!I30+'11.Rendelő'!I30</f>
        <v>0</v>
      </c>
      <c r="J30" s="120">
        <f>'6.Polg_Hivatal'!J30+'7.TIK'!J30+'8.Humán'!J30+'9.Óvoda'!J30+'10.TMKK'!J30+'11.Rendelő'!J30</f>
        <v>0</v>
      </c>
      <c r="K30" s="1502">
        <f>'6.Polg_Hivatal'!K30+'7.TIK'!K30+'8.Humán'!K30+'9.Óvoda'!K30+'10.TMKK'!K30+'11.Rendelő'!K30</f>
        <v>0</v>
      </c>
      <c r="L30" s="1516" t="str">
        <f t="shared" si="1"/>
        <v/>
      </c>
    </row>
    <row r="31" spans="1:12" s="54" customFormat="1" ht="12.2" customHeight="1" thickBot="1" x14ac:dyDescent="0.25">
      <c r="A31" s="1037" t="s">
        <v>281</v>
      </c>
      <c r="B31" s="102" t="s">
        <v>165</v>
      </c>
      <c r="C31" s="92">
        <f>'6.Polg_Hivatal'!C31+'7.TIK'!C31+'8.Humán'!C31+'9.Óvoda'!C31+'10.TMKK'!C31+'11.Rendelő'!C31</f>
        <v>0</v>
      </c>
      <c r="D31" s="190">
        <f>'6.Polg_Hivatal'!D31+'7.TIK'!D31+'8.Humán'!D31+'9.Óvoda'!D31+'10.TMKK'!D31+'11.Rendelő'!D31</f>
        <v>0</v>
      </c>
      <c r="E31" s="92">
        <f>'6.Polg_Hivatal'!E31+'7.TIK'!E31+'8.Humán'!E31+'9.Óvoda'!E31+'10.TMKK'!E31+'11.Rendelő'!E31</f>
        <v>0</v>
      </c>
      <c r="F31" s="92">
        <f>'6.Polg_Hivatal'!F31+'7.TIK'!F31+'8.Humán'!F31+'9.Óvoda'!F31+'10.TMKK'!F31+'11.Rendelő'!F31</f>
        <v>0</v>
      </c>
      <c r="G31" s="593">
        <f>'6.Polg_Hivatal'!G31+'7.TIK'!G31+'8.Humán'!G31+'9.Óvoda'!G31+'10.TMKK'!G31+'11.Rendelő'!G31</f>
        <v>0</v>
      </c>
      <c r="H31" s="61">
        <f>'6.Polg_Hivatal'!H31+'7.TIK'!H31+'8.Humán'!H31+'9.Óvoda'!H31+'10.TMKK'!H31+'11.Rendelő'!H31</f>
        <v>0</v>
      </c>
      <c r="I31" s="1503">
        <f>'6.Polg_Hivatal'!I31+'7.TIK'!I31+'8.Humán'!I31+'9.Óvoda'!I31+'10.TMKK'!I31+'11.Rendelő'!I31</f>
        <v>0</v>
      </c>
      <c r="J31" s="92">
        <f>'6.Polg_Hivatal'!J31+'7.TIK'!J31+'8.Humán'!J31+'9.Óvoda'!J31+'10.TMKK'!J31+'11.Rendelő'!J31</f>
        <v>0</v>
      </c>
      <c r="K31" s="1503">
        <f>'6.Polg_Hivatal'!K31+'7.TIK'!K31+'8.Humán'!K31+'9.Óvoda'!K31+'10.TMKK'!K31+'11.Rendelő'!K31</f>
        <v>0</v>
      </c>
      <c r="L31" s="1517" t="str">
        <f t="shared" si="1"/>
        <v/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+C33+C34+C35</f>
        <v>0</v>
      </c>
      <c r="D32" s="127">
        <f t="shared" ref="D32:K32" si="4">+D33+D34+D35</f>
        <v>0</v>
      </c>
      <c r="E32" s="89">
        <f t="shared" si="4"/>
        <v>0</v>
      </c>
      <c r="F32" s="89">
        <f t="shared" si="4"/>
        <v>0</v>
      </c>
      <c r="G32" s="582">
        <f t="shared" si="4"/>
        <v>0</v>
      </c>
      <c r="H32" s="48">
        <f t="shared" si="4"/>
        <v>0</v>
      </c>
      <c r="I32" s="1495">
        <f t="shared" si="4"/>
        <v>0</v>
      </c>
      <c r="J32" s="89">
        <f t="shared" si="4"/>
        <v>148449</v>
      </c>
      <c r="K32" s="1495">
        <f t="shared" si="4"/>
        <v>0</v>
      </c>
      <c r="L32" s="1509" t="str">
        <f t="shared" si="1"/>
        <v/>
      </c>
    </row>
    <row r="33" spans="1:12" s="54" customFormat="1" ht="12.2" customHeight="1" x14ac:dyDescent="0.2">
      <c r="A33" s="58" t="s">
        <v>89</v>
      </c>
      <c r="B33" s="59" t="s">
        <v>167</v>
      </c>
      <c r="C33" s="122">
        <f>'6.Polg_Hivatal'!C33+'7.TIK'!C33+'8.Humán'!C33+'9.Óvoda'!C33+'10.TMKK'!C33+'11.Rendelő'!C33</f>
        <v>0</v>
      </c>
      <c r="D33" s="189">
        <f>'6.Polg_Hivatal'!D33+'7.TIK'!D33+'8.Humán'!D33+'9.Óvoda'!D33+'10.TMKK'!D33+'11.Rendelő'!D33</f>
        <v>0</v>
      </c>
      <c r="E33" s="122">
        <f>'6.Polg_Hivatal'!E33+'7.TIK'!E33+'8.Humán'!E33+'9.Óvoda'!E33+'10.TMKK'!E33+'11.Rendelő'!E33</f>
        <v>0</v>
      </c>
      <c r="F33" s="122">
        <f>'6.Polg_Hivatal'!F33+'7.TIK'!F33+'8.Humán'!F33+'9.Óvoda'!F33+'10.TMKK'!F33+'11.Rendelő'!F33</f>
        <v>0</v>
      </c>
      <c r="G33" s="586">
        <f>'6.Polg_Hivatal'!G33+'7.TIK'!G33+'8.Humán'!G33+'9.Óvoda'!G33+'10.TMKK'!G33+'11.Rendelő'!G33</f>
        <v>0</v>
      </c>
      <c r="H33" s="33">
        <f>'6.Polg_Hivatal'!H33+'7.TIK'!H33+'8.Humán'!H33+'9.Óvoda'!H33+'10.TMKK'!H33+'11.Rendelő'!H33</f>
        <v>0</v>
      </c>
      <c r="I33" s="1501">
        <f>'6.Polg_Hivatal'!I33+'7.TIK'!I33+'8.Humán'!I33+'9.Óvoda'!I33+'10.TMKK'!I33+'11.Rendelő'!I33</f>
        <v>0</v>
      </c>
      <c r="J33" s="122">
        <f>'6.Polg_Hivatal'!J33+'7.TIK'!J33+'8.Humán'!J33+'9.Óvoda'!J33+'10.TMKK'!J33+'11.Rendelő'!J33</f>
        <v>0</v>
      </c>
      <c r="K33" s="1501">
        <f>'6.Polg_Hivatal'!K33+'7.TIK'!K33+'8.Humán'!K33+'9.Óvoda'!K33+'10.TMKK'!K33+'11.Rendelő'!K33</f>
        <v>0</v>
      </c>
      <c r="L33" s="1515" t="str">
        <f t="shared" si="1"/>
        <v/>
      </c>
    </row>
    <row r="34" spans="1:12" s="54" customFormat="1" ht="12.2" customHeight="1" x14ac:dyDescent="0.2">
      <c r="A34" s="58" t="s">
        <v>102</v>
      </c>
      <c r="B34" s="336" t="s">
        <v>168</v>
      </c>
      <c r="C34" s="120">
        <f>'6.Polg_Hivatal'!C34+'7.TIK'!C34+'8.Humán'!C34+'9.Óvoda'!C34+'10.TMKK'!C34+'11.Rendelő'!C34</f>
        <v>0</v>
      </c>
      <c r="D34" s="193">
        <f>'6.Polg_Hivatal'!D34+'7.TIK'!D34+'8.Humán'!D34+'9.Óvoda'!D34+'10.TMKK'!D34+'11.Rendelő'!D34</f>
        <v>0</v>
      </c>
      <c r="E34" s="120">
        <f>'6.Polg_Hivatal'!E34+'7.TIK'!E34+'8.Humán'!E34+'9.Óvoda'!E34+'10.TMKK'!E34+'11.Rendelő'!E34</f>
        <v>0</v>
      </c>
      <c r="F34" s="120">
        <f>'6.Polg_Hivatal'!F34+'7.TIK'!F34+'8.Humán'!F34+'9.Óvoda'!F34+'10.TMKK'!F34+'11.Rendelő'!F34</f>
        <v>0</v>
      </c>
      <c r="G34" s="91">
        <f>'6.Polg_Hivatal'!G34+'7.TIK'!G34+'8.Humán'!G34+'9.Óvoda'!G34+'10.TMKK'!G34+'11.Rendelő'!G34</f>
        <v>0</v>
      </c>
      <c r="H34" s="60">
        <f>'6.Polg_Hivatal'!H34+'7.TIK'!H34+'8.Humán'!H34+'9.Óvoda'!H34+'10.TMKK'!H34+'11.Rendelő'!H34</f>
        <v>0</v>
      </c>
      <c r="I34" s="1502">
        <f>'6.Polg_Hivatal'!I34+'7.TIK'!I34+'8.Humán'!I34+'9.Óvoda'!I34+'10.TMKK'!I34+'11.Rendelő'!I34</f>
        <v>0</v>
      </c>
      <c r="J34" s="120">
        <f>'6.Polg_Hivatal'!J34+'7.TIK'!J34+'8.Humán'!J34+'9.Óvoda'!J34+'10.TMKK'!J34+'11.Rendelő'!J34</f>
        <v>0</v>
      </c>
      <c r="K34" s="1502">
        <f>'6.Polg_Hivatal'!K34+'7.TIK'!K34+'8.Humán'!K34+'9.Óvoda'!K34+'10.TMKK'!K34+'11.Rendelő'!K34</f>
        <v>0</v>
      </c>
      <c r="L34" s="1516" t="str">
        <f t="shared" si="1"/>
        <v/>
      </c>
    </row>
    <row r="35" spans="1:12" s="54" customFormat="1" ht="12.2" customHeight="1" thickBot="1" x14ac:dyDescent="0.25">
      <c r="A35" s="1037" t="s">
        <v>103</v>
      </c>
      <c r="B35" s="62" t="s">
        <v>169</v>
      </c>
      <c r="C35" s="92">
        <f>'6.Polg_Hivatal'!C35+'7.TIK'!C35+'8.Humán'!C35+'9.Óvoda'!C35+'10.TMKK'!C35+'11.Rendelő'!C35</f>
        <v>0</v>
      </c>
      <c r="D35" s="190">
        <f>'6.Polg_Hivatal'!D35+'7.TIK'!D35+'8.Humán'!D35+'9.Óvoda'!D35+'10.TMKK'!D35+'11.Rendelő'!D35</f>
        <v>0</v>
      </c>
      <c r="E35" s="92">
        <f>'6.Polg_Hivatal'!E35+'7.TIK'!E35+'8.Humán'!E35+'9.Óvoda'!E35+'10.TMKK'!E35+'11.Rendelő'!E35</f>
        <v>0</v>
      </c>
      <c r="F35" s="92">
        <f>'6.Polg_Hivatal'!F35+'7.TIK'!F35+'8.Humán'!F35+'9.Óvoda'!F35+'10.TMKK'!F35+'11.Rendelő'!F35</f>
        <v>0</v>
      </c>
      <c r="G35" s="593">
        <f>'6.Polg_Hivatal'!G35+'7.TIK'!G35+'8.Humán'!G35+'9.Óvoda'!G35+'10.TMKK'!G35+'11.Rendelő'!G35</f>
        <v>0</v>
      </c>
      <c r="H35" s="61">
        <f>'6.Polg_Hivatal'!H35+'7.TIK'!H35+'8.Humán'!H35+'9.Óvoda'!H35+'10.TMKK'!H35+'11.Rendelő'!H35</f>
        <v>0</v>
      </c>
      <c r="I35" s="1503">
        <f>'6.Polg_Hivatal'!I35+'7.TIK'!I35+'8.Humán'!I35+'9.Óvoda'!I35+'10.TMKK'!I35+'11.Rendelő'!I35</f>
        <v>0</v>
      </c>
      <c r="J35" s="92">
        <f>'6.Polg_Hivatal'!J35+'7.TIK'!J35+'8.Humán'!J35+'9.Óvoda'!J35+'10.TMKK'!J35+'11.Rendelő'!J35</f>
        <v>148449</v>
      </c>
      <c r="K35" s="1503">
        <f>'6.Polg_Hivatal'!K35+'7.TIK'!K35+'8.Humán'!K35+'9.Óvoda'!K35+'10.TMKK'!K35+'11.Rendelő'!K35</f>
        <v>0</v>
      </c>
      <c r="L35" s="1517" t="str">
        <f t="shared" si="1"/>
        <v/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30">
        <f>'6.Polg_Hivatal'!C36+'7.TIK'!C36+'8.Humán'!C36+'9.Óvoda'!C36+'10.TMKK'!C36+'11.Rendelő'!C36</f>
        <v>5018250</v>
      </c>
      <c r="D36" s="129">
        <f>'6.Polg_Hivatal'!D36+'7.TIK'!D36+'8.Humán'!D36+'9.Óvoda'!D36+'10.TMKK'!D36+'11.Rendelő'!D36</f>
        <v>5068250</v>
      </c>
      <c r="E36" s="130">
        <f>'6.Polg_Hivatal'!E36+'7.TIK'!E36+'8.Humán'!E36+'9.Óvoda'!E36+'10.TMKK'!E36+'11.Rendelő'!E36</f>
        <v>3626263</v>
      </c>
      <c r="F36" s="130">
        <f>'6.Polg_Hivatal'!F36+'7.TIK'!F36+'8.Humán'!F36+'9.Óvoda'!F36+'10.TMKK'!F36+'11.Rendelő'!F36</f>
        <v>3626263</v>
      </c>
      <c r="G36" s="585">
        <f>'6.Polg_Hivatal'!G36+'7.TIK'!G36+'8.Humán'!G36+'9.Óvoda'!G36+'10.TMKK'!G36+'11.Rendelő'!G36</f>
        <v>576263</v>
      </c>
      <c r="H36" s="57">
        <f>'6.Polg_Hivatal'!H36+'7.TIK'!H36+'8.Humán'!H36+'9.Óvoda'!H36+'10.TMKK'!H36+'11.Rendelő'!H36</f>
        <v>3576263</v>
      </c>
      <c r="I36" s="1500">
        <f>'6.Polg_Hivatal'!I36+'7.TIK'!I36+'8.Humán'!I36+'9.Óvoda'!I36+'10.TMKK'!I36+'11.Rendelő'!I36</f>
        <v>576263</v>
      </c>
      <c r="J36" s="130">
        <f>'6.Polg_Hivatal'!J36+'7.TIK'!J36+'8.Humán'!J36+'9.Óvoda'!J36+'10.TMKK'!J36+'11.Rendelő'!J36</f>
        <v>3626263</v>
      </c>
      <c r="K36" s="1500">
        <f>'6.Polg_Hivatal'!K36+'7.TIK'!K36+'8.Humán'!K36+'9.Óvoda'!K36+'10.TMKK'!K36+'11.Rendelő'!K36</f>
        <v>0</v>
      </c>
      <c r="L36" s="1514">
        <f t="shared" si="1"/>
        <v>100</v>
      </c>
    </row>
    <row r="37" spans="1:12" s="26" customFormat="1" ht="12.2" customHeight="1" thickBot="1" x14ac:dyDescent="0.25">
      <c r="A37" s="1038" t="s">
        <v>104</v>
      </c>
      <c r="B37" s="337" t="s">
        <v>165</v>
      </c>
      <c r="C37" s="1032">
        <f>'6.Polg_Hivatal'!C37+'7.TIK'!C37+'8.Humán'!C37+'9.Óvoda'!C37+'10.TMKK'!C37+'11.Rendelő'!C37</f>
        <v>5018250</v>
      </c>
      <c r="D37" s="823">
        <f>'6.Polg_Hivatal'!D37+'7.TIK'!D37+'8.Humán'!D37+'9.Óvoda'!D37+'10.TMKK'!D37+'11.Rendelő'!D37</f>
        <v>5018250</v>
      </c>
      <c r="E37" s="1032">
        <f>'6.Polg_Hivatal'!E37+'7.TIK'!E37+'8.Humán'!E37+'9.Óvoda'!E37+'10.TMKK'!E37+'11.Rendelő'!E37</f>
        <v>576263</v>
      </c>
      <c r="F37" s="1032">
        <f>'6.Polg_Hivatal'!F37+'7.TIK'!F37+'8.Humán'!F37+'9.Óvoda'!F37+'10.TMKK'!F37+'11.Rendelő'!F37</f>
        <v>576263</v>
      </c>
      <c r="G37" s="1032">
        <f>'6.Polg_Hivatal'!G37+'7.TIK'!G37+'8.Humán'!G37+'9.Óvoda'!G37+'10.TMKK'!G37+'11.Rendelő'!G37</f>
        <v>0</v>
      </c>
      <c r="H37" s="1032">
        <f>'6.Polg_Hivatal'!H37+'7.TIK'!H37+'8.Humán'!H37+'9.Óvoda'!H37+'10.TMKK'!H37+'11.Rendelő'!H37</f>
        <v>-4441987</v>
      </c>
      <c r="I37" s="1032">
        <f>'6.Polg_Hivatal'!I37+'7.TIK'!I37+'8.Humán'!I37+'9.Óvoda'!I37+'10.TMKK'!I37+'11.Rendelő'!I37</f>
        <v>0</v>
      </c>
      <c r="J37" s="1032">
        <f>'6.Polg_Hivatal'!J37+'7.TIK'!J37+'8.Humán'!J37+'9.Óvoda'!J37+'10.TMKK'!J37+'11.Rendelő'!J37</f>
        <v>576263</v>
      </c>
      <c r="K37" s="1500"/>
      <c r="L37" s="1514">
        <f t="shared" si="1"/>
        <v>100</v>
      </c>
    </row>
    <row r="38" spans="1:12" s="26" customFormat="1" ht="12.2" customHeight="1" thickBot="1" x14ac:dyDescent="0.25">
      <c r="A38" s="55" t="s">
        <v>18</v>
      </c>
      <c r="B38" s="56" t="s">
        <v>380</v>
      </c>
      <c r="C38" s="130">
        <f>'6.Polg_Hivatal'!C38+'7.TIK'!C38+'8.Humán'!C38+'9.Óvoda'!C38+'10.TMKK'!C38+'11.Rendelő'!C38</f>
        <v>131957503</v>
      </c>
      <c r="D38" s="129">
        <f>'6.Polg_Hivatal'!D38+'7.TIK'!D38+'8.Humán'!D38+'9.Óvoda'!D38+'10.TMKK'!D38+'11.Rendelő'!D38</f>
        <v>131957503</v>
      </c>
      <c r="E38" s="130">
        <f>'6.Polg_Hivatal'!E38+'7.TIK'!E38+'8.Humán'!E38+'9.Óvoda'!E38+'10.TMKK'!E38+'11.Rendelő'!E38</f>
        <v>136399490</v>
      </c>
      <c r="F38" s="130">
        <f>'6.Polg_Hivatal'!F38+'7.TIK'!F38+'8.Humán'!F38+'9.Óvoda'!F38+'10.TMKK'!F38+'11.Rendelő'!F38</f>
        <v>136399490</v>
      </c>
      <c r="G38" s="585">
        <f>'6.Polg_Hivatal'!G38+'7.TIK'!G38+'8.Humán'!G38+'9.Óvoda'!G38+'10.TMKK'!G38+'11.Rendelő'!G38</f>
        <v>0</v>
      </c>
      <c r="H38" s="57">
        <f>'6.Polg_Hivatal'!H38+'7.TIK'!H38+'8.Humán'!H38+'9.Óvoda'!H38+'10.TMKK'!H38+'11.Rendelő'!H38</f>
        <v>4441987</v>
      </c>
      <c r="I38" s="1500">
        <f>'6.Polg_Hivatal'!I38+'7.TIK'!I38+'8.Humán'!I38+'9.Óvoda'!I38+'10.TMKK'!I38+'11.Rendelő'!I38</f>
        <v>0</v>
      </c>
      <c r="J38" s="130">
        <f>'6.Polg_Hivatal'!J38+'7.TIK'!J38+'8.Humán'!J38+'9.Óvoda'!J38+'10.TMKK'!J38+'11.Rendelő'!J38</f>
        <v>136399490</v>
      </c>
      <c r="K38" s="1500">
        <f>'6.Polg_Hivatal'!K38+'7.TIK'!K38+'8.Humán'!K38+'9.Óvoda'!K38+'10.TMKK'!K38+'11.Rendelő'!K38</f>
        <v>0</v>
      </c>
      <c r="L38" s="1514">
        <f t="shared" si="1"/>
        <v>100</v>
      </c>
    </row>
    <row r="39" spans="1:12" s="26" customFormat="1" ht="12.2" customHeight="1" x14ac:dyDescent="0.2">
      <c r="A39" s="12" t="s">
        <v>107</v>
      </c>
      <c r="B39" s="95" t="s">
        <v>212</v>
      </c>
      <c r="C39" s="131">
        <f>'6.Polg_Hivatal'!C39</f>
        <v>0</v>
      </c>
      <c r="D39" s="194">
        <f>'6.Polg_Hivatal'!D39</f>
        <v>0</v>
      </c>
      <c r="E39" s="131">
        <f>'6.Polg_Hivatal'!E39</f>
        <v>0</v>
      </c>
      <c r="F39" s="131">
        <f>'6.Polg_Hivatal'!F39</f>
        <v>0</v>
      </c>
      <c r="G39" s="589">
        <f>'6.Polg_Hivatal'!G39</f>
        <v>0</v>
      </c>
      <c r="H39" s="96">
        <f>'6.Polg_Hivatal'!H39</f>
        <v>0</v>
      </c>
      <c r="I39" s="1504">
        <f>'6.Polg_Hivatal'!I39</f>
        <v>0</v>
      </c>
      <c r="J39" s="131">
        <f>'6.Polg_Hivatal'!J39</f>
        <v>0</v>
      </c>
      <c r="K39" s="1504">
        <f>'6.Polg_Hivatal'!K39</f>
        <v>0</v>
      </c>
      <c r="L39" s="1518" t="str">
        <f t="shared" si="1"/>
        <v/>
      </c>
    </row>
    <row r="40" spans="1:12" s="26" customFormat="1" ht="12.2" customHeight="1" x14ac:dyDescent="0.2">
      <c r="A40" s="1003" t="s">
        <v>108</v>
      </c>
      <c r="B40" s="346" t="s">
        <v>213</v>
      </c>
      <c r="C40" s="1033">
        <f>'6.Polg_Hivatal'!C40+'7.TIK'!C38+'8.Humán'!C38+'9.Óvoda'!C38+'10.TMKK'!C38+'11.Rendelő'!C38</f>
        <v>131957503</v>
      </c>
      <c r="D40" s="825">
        <f>'6.Polg_Hivatal'!D40+'7.TIK'!D38+'8.Humán'!D38+'9.Óvoda'!D38+'10.TMKK'!D38+'11.Rendelő'!D38</f>
        <v>131957503</v>
      </c>
      <c r="E40" s="1033">
        <f>'6.Polg_Hivatal'!E40+'7.TIK'!E38+'8.Humán'!E38+'9.Óvoda'!E38+'10.TMKK'!E38+'11.Rendelő'!E38</f>
        <v>136399490</v>
      </c>
      <c r="F40" s="1494">
        <f>'6.Polg_Hivatal'!F40+'7.TIK'!F38+'8.Humán'!F38+'9.Óvoda'!F38+'10.TMKK'!F38+'11.Rendelő'!F38</f>
        <v>136399490</v>
      </c>
      <c r="G40" s="605">
        <f>'6.Polg_Hivatal'!G40+'7.TIK'!G38+'8.Humán'!G38+'9.Óvoda'!G38+'10.TMKK'!G38+'11.Rendelő'!G38</f>
        <v>0</v>
      </c>
      <c r="H40" s="824">
        <f>'6.Polg_Hivatal'!H40+'7.TIK'!H38+'8.Humán'!H38+'9.Óvoda'!H38+'10.TMKK'!H38+'11.Rendelő'!H38</f>
        <v>4441987</v>
      </c>
      <c r="I40" s="1505">
        <f>'6.Polg_Hivatal'!I40+'7.TIK'!I38+'8.Humán'!I38+'9.Óvoda'!I38+'10.TMKK'!I38+'11.Rendelő'!I38</f>
        <v>0</v>
      </c>
      <c r="J40" s="1508">
        <f>'6.Polg_Hivatal'!J40+'7.TIK'!J38+'8.Humán'!J38+'9.Óvoda'!J38+'10.TMKK'!J38+'11.Rendelő'!J38</f>
        <v>136399490</v>
      </c>
      <c r="K40" s="1505">
        <f>'6.Polg_Hivatal'!K40+'7.TIK'!K38+'8.Humán'!K38+'9.Óvoda'!K38+'10.TMKK'!K38+'11.Rendelő'!K38</f>
        <v>0</v>
      </c>
      <c r="L40" s="1519">
        <f t="shared" si="1"/>
        <v>100</v>
      </c>
    </row>
    <row r="41" spans="1:12" s="26" customFormat="1" ht="12.2" customHeight="1" thickBot="1" x14ac:dyDescent="0.25">
      <c r="A41" s="1003" t="s">
        <v>323</v>
      </c>
      <c r="B41" s="103" t="s">
        <v>165</v>
      </c>
      <c r="C41" s="92">
        <f>'6.Polg_Hivatal'!C41+'7.TIK'!C41+'8.Humán'!C41+'9.Óvoda'!C41+'10.TMKK'!C41+'11.Rendelő'!C41</f>
        <v>131957503</v>
      </c>
      <c r="D41" s="190">
        <f>'6.Polg_Hivatal'!D41+'7.TIK'!D41+'8.Humán'!D41+'9.Óvoda'!D41+'10.TMKK'!D41+'11.Rendelő'!D41</f>
        <v>131957503</v>
      </c>
      <c r="E41" s="92">
        <f>'6.Polg_Hivatal'!E41+'7.TIK'!E41+'8.Humán'!E41+'9.Óvoda'!E41+'10.TMKK'!E41+'11.Rendelő'!E41</f>
        <v>136399490</v>
      </c>
      <c r="F41" s="92">
        <f>'6.Polg_Hivatal'!F41+'7.TIK'!F41+'8.Humán'!F41+'9.Óvoda'!F41+'10.TMKK'!F41+'11.Rendelő'!F41</f>
        <v>136399490</v>
      </c>
      <c r="G41" s="593">
        <f>'6.Polg_Hivatal'!G41+'7.TIK'!G41+'8.Humán'!G41+'9.Óvoda'!G41+'10.TMKK'!G41+'11.Rendelő'!G41</f>
        <v>0</v>
      </c>
      <c r="H41" s="61">
        <f>'6.Polg_Hivatal'!H41+'7.TIK'!H41+'8.Humán'!H41+'9.Óvoda'!H41+'10.TMKK'!H41+'11.Rendelő'!H41</f>
        <v>4441987</v>
      </c>
      <c r="I41" s="1506">
        <f>'6.Polg_Hivatal'!I41+'7.TIK'!I41+'8.Humán'!I41+'9.Óvoda'!I41+'10.TMKK'!I41+'11.Rendelő'!I41</f>
        <v>0</v>
      </c>
      <c r="J41" s="133">
        <f>'6.Polg_Hivatal'!J41+'7.TIK'!J41+'8.Humán'!J41+'9.Óvoda'!J41+'10.TMKK'!J41+'11.Rendelő'!J41</f>
        <v>136399490</v>
      </c>
      <c r="K41" s="1506">
        <f>'6.Polg_Hivatal'!K41+'7.TIK'!K41+'8.Humán'!K41+'9.Óvoda'!K41+'10.TMKK'!K41+'11.Rendelő'!K41</f>
        <v>0</v>
      </c>
      <c r="L41" s="1520">
        <f t="shared" si="1"/>
        <v>100</v>
      </c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1602131836</v>
      </c>
      <c r="D42" s="127">
        <f t="shared" ref="D42:K42" si="5">+D10+D22+D27+D28+D32+D36+D38</f>
        <v>1616115836</v>
      </c>
      <c r="E42" s="89">
        <f t="shared" si="5"/>
        <v>1625136188</v>
      </c>
      <c r="F42" s="89">
        <f t="shared" si="5"/>
        <v>1625136188</v>
      </c>
      <c r="G42" s="582">
        <f t="shared" si="5"/>
        <v>576263</v>
      </c>
      <c r="H42" s="48">
        <f t="shared" si="5"/>
        <v>14038602</v>
      </c>
      <c r="I42" s="1495">
        <f t="shared" si="5"/>
        <v>576263</v>
      </c>
      <c r="J42" s="89">
        <f t="shared" si="5"/>
        <v>1405953214</v>
      </c>
      <c r="K42" s="1495">
        <f t="shared" si="5"/>
        <v>0</v>
      </c>
      <c r="L42" s="1509">
        <f t="shared" si="1"/>
        <v>86.512947307527426</v>
      </c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SUM(C44:C47)</f>
        <v>3491985712</v>
      </c>
      <c r="D43" s="127">
        <f t="shared" ref="D43:K43" si="6">SUM(D44:D47)</f>
        <v>3631037895</v>
      </c>
      <c r="E43" s="89">
        <f t="shared" si="6"/>
        <v>4352065569</v>
      </c>
      <c r="F43" s="89">
        <f t="shared" si="6"/>
        <v>4352065569</v>
      </c>
      <c r="G43" s="582">
        <f t="shared" si="6"/>
        <v>2969136</v>
      </c>
      <c r="H43" s="48">
        <f>SUM(H44:H47)</f>
        <v>721027674</v>
      </c>
      <c r="I43" s="1495">
        <f t="shared" si="6"/>
        <v>183572593</v>
      </c>
      <c r="J43" s="89">
        <f t="shared" si="6"/>
        <v>2961149868</v>
      </c>
      <c r="K43" s="1495" t="e">
        <f t="shared" si="6"/>
        <v>#VALUE!</v>
      </c>
      <c r="L43" s="1509">
        <f t="shared" si="1"/>
        <v>68.040102361794169</v>
      </c>
    </row>
    <row r="44" spans="1:12" s="26" customFormat="1" ht="12.2" customHeight="1" x14ac:dyDescent="0.2">
      <c r="A44" s="58" t="s">
        <v>171</v>
      </c>
      <c r="B44" s="59" t="s">
        <v>131</v>
      </c>
      <c r="C44" s="122">
        <f>'6.Polg_Hivatal'!C44+'7.TIK'!C44+'8.Humán'!C44+'9.Óvoda'!C44+'10.TMKK'!C44+'11.Rendelő'!C44</f>
        <v>7081570</v>
      </c>
      <c r="D44" s="189">
        <f>'6.Polg_Hivatal'!D44+'7.TIK'!D44+'8.Humán'!D44+'9.Óvoda'!D44+'10.TMKK'!D44+'11.Rendelő'!D44</f>
        <v>270308600</v>
      </c>
      <c r="E44" s="122">
        <f>'6.Polg_Hivatal'!E44+'7.TIK'!E44+'8.Humán'!E44+'9.Óvoda'!E44+'10.TMKK'!E44+'11.Rendelő'!E44</f>
        <v>270308600</v>
      </c>
      <c r="F44" s="122">
        <f>'6.Polg_Hivatal'!F44+'7.TIK'!F44+'8.Humán'!F44+'9.Óvoda'!F44+'10.TMKK'!F44+'11.Rendelő'!F44</f>
        <v>270308600</v>
      </c>
      <c r="G44" s="586">
        <f>'6.Polg_Hivatal'!G44+'7.TIK'!G44+'8.Humán'!G44+'9.Óvoda'!G44+'10.TMKK'!G44+'11.Rendelő'!G44</f>
        <v>0</v>
      </c>
      <c r="H44" s="33">
        <f>'6.Polg_Hivatal'!H44+'7.TIK'!H44+'8.Humán'!H44+'9.Óvoda'!H44+'10.TMKK'!H44+'11.Rendelő'!H44</f>
        <v>0</v>
      </c>
      <c r="I44" s="1501">
        <f>'6.Polg_Hivatal'!I44+'7.TIK'!I44+'8.Humán'!I44+'9.Óvoda'!I44+'10.TMKK'!I44+'11.Rendelő'!I44</f>
        <v>0</v>
      </c>
      <c r="J44" s="122">
        <f>'6.Polg_Hivatal'!J44+'7.TIK'!J44+'8.Humán'!J44+'9.Óvoda'!J44+'10.TMKK'!J44+'11.Rendelő'!J44</f>
        <v>270308600</v>
      </c>
      <c r="K44" s="1501">
        <f>'6.Polg_Hivatal'!K44+'7.TIK'!K44+'8.Humán'!K44+'9.Óvoda'!K44+'10.TMKK'!K44+'11.Rendelő'!K44</f>
        <v>0</v>
      </c>
      <c r="L44" s="1515">
        <f t="shared" si="1"/>
        <v>100</v>
      </c>
    </row>
    <row r="45" spans="1:12" s="26" customFormat="1" ht="12.2" customHeight="1" x14ac:dyDescent="0.2">
      <c r="A45" s="71" t="s">
        <v>172</v>
      </c>
      <c r="B45" s="59" t="s">
        <v>186</v>
      </c>
      <c r="C45" s="120">
        <f>'6.Polg_Hivatal'!C45+'7.TIK'!C45+'8.Humán'!C45+'9.Óvoda'!C45+'10.TMKK'!C45+'11.Rendelő'!C45</f>
        <v>0</v>
      </c>
      <c r="D45" s="193">
        <f>'6.Polg_Hivatal'!D45+'7.TIK'!D45+'8.Humán'!D45+'9.Óvoda'!D45+'10.TMKK'!D45+'11.Rendelő'!D45</f>
        <v>510215</v>
      </c>
      <c r="E45" s="120">
        <f>'6.Polg_Hivatal'!E45+'7.TIK'!E45+'8.Humán'!E45+'9.Óvoda'!E45+'10.TMKK'!E45+'11.Rendelő'!E45</f>
        <v>510215</v>
      </c>
      <c r="F45" s="120">
        <f>'6.Polg_Hivatal'!F45+'7.TIK'!F45+'8.Humán'!F45+'9.Óvoda'!F45+'10.TMKK'!F45+'11.Rendelő'!F45</f>
        <v>510215</v>
      </c>
      <c r="G45" s="91">
        <f>'6.Polg_Hivatal'!G45+'7.TIK'!G45+'8.Humán'!G45+'9.Óvoda'!G45+'10.TMKK'!G45+'11.Rendelő'!G45</f>
        <v>0</v>
      </c>
      <c r="H45" s="60">
        <f>'6.Polg_Hivatal'!H45+'7.TIK'!H45+'8.Humán'!H45+'9.Óvoda'!H45+'10.TMKK'!H45+'11.Rendelő'!H45</f>
        <v>0</v>
      </c>
      <c r="I45" s="1502">
        <f>'6.Polg_Hivatal'!I45+'7.TIK'!I45+'8.Humán'!I45+'9.Óvoda'!I45+'10.TMKK'!I45+'11.Rendelő'!I45</f>
        <v>0</v>
      </c>
      <c r="J45" s="120">
        <f>'6.Polg_Hivatal'!J45+'7.TIK'!J45+'8.Humán'!J45+'9.Óvoda'!J45+'10.TMKK'!J45+'11.Rendelő'!J45</f>
        <v>510215</v>
      </c>
      <c r="K45" s="1502">
        <f>'6.Polg_Hivatal'!K45+'7.TIK'!K45+'8.Humán'!K45+'9.Óvoda'!K45+'10.TMKK'!K45+'11.Rendelő'!K45</f>
        <v>0</v>
      </c>
      <c r="L45" s="1516">
        <f t="shared" si="1"/>
        <v>100</v>
      </c>
    </row>
    <row r="46" spans="1:12" s="26" customFormat="1" ht="12.2" customHeight="1" x14ac:dyDescent="0.2">
      <c r="A46" s="1037" t="s">
        <v>173</v>
      </c>
      <c r="B46" s="336" t="s">
        <v>177</v>
      </c>
      <c r="C46" s="339">
        <f>'6.Polg_Hivatal'!C46+'7.TIK'!C46+'8.Humán'!C46+'9.Óvoda'!C46+'10.TMKK'!C46+'11.Rendelő'!C46</f>
        <v>3442643331</v>
      </c>
      <c r="D46" s="323">
        <f>'6.Polg_Hivatal'!D46+'7.TIK'!D46+'8.Humán'!D46+'9.Óvoda'!D46+'10.TMKK'!D46+'11.Rendelő'!D46</f>
        <v>3288471855</v>
      </c>
      <c r="E46" s="323">
        <f>'6.Polg_Hivatal'!E46+'7.TIK'!E46+'8.Humán'!E46+'9.Óvoda'!E46+'10.TMKK'!E46+'11.Rendelő'!E46</f>
        <v>3996486929</v>
      </c>
      <c r="F46" s="339">
        <f>'6.Polg_Hivatal'!F46+'7.TIK'!F46+'8.Humán'!F46+'9.Óvoda'!F46+'10.TMKK'!F46+'11.Rendelő'!F46</f>
        <v>3996486929</v>
      </c>
      <c r="G46" s="1489">
        <f>'6.Polg_Hivatal'!G46+'7.TIK'!G46+'8.Humán'!G46+'9.Óvoda'!G46+'10.TMKK'!G46+'11.Rendelő'!G46</f>
        <v>2969136</v>
      </c>
      <c r="H46" s="324">
        <f>'6.Polg_Hivatal'!H46+'7.TIK'!H46+'8.Humán'!H46+'9.Óvoda'!H46+'10.TMKK'!H46+'11.Rendelő'!H46</f>
        <v>708015074</v>
      </c>
      <c r="I46" s="1489">
        <f>'6.Polg_Hivatal'!I46+'7.TIK'!I46+'8.Humán'!I46+'9.Óvoda'!I46+'10.TMKK'!I46+'11.Rendelő'!I46</f>
        <v>2969138</v>
      </c>
      <c r="J46" s="339">
        <f>'6.Polg_Hivatal'!J46+'7.TIK'!J46+'8.Humán'!J46+'9.Óvoda'!J46+'10.TMKK'!J46+'11.Rendelő'!J46</f>
        <v>2637547570</v>
      </c>
      <c r="K46" s="1489" t="e">
        <f>'6.Polg_Hivatal'!K46+'7.TIK'!K46+'8.Humán'!K46+'9.Óvoda'!K46+'10.TMKK'!K46+'11.Rendelő'!K46</f>
        <v>#VALUE!</v>
      </c>
      <c r="L46" s="1521">
        <f t="shared" si="1"/>
        <v>65.996651981042916</v>
      </c>
    </row>
    <row r="47" spans="1:12" s="54" customFormat="1" ht="12.2" customHeight="1" thickBot="1" x14ac:dyDescent="0.25">
      <c r="A47" s="58" t="s">
        <v>178</v>
      </c>
      <c r="B47" s="62" t="s">
        <v>179</v>
      </c>
      <c r="C47" s="1034">
        <f>'6.Polg_Hivatal'!C47+'7.TIK'!C47+'8.Humán'!C47+'9.Óvoda'!C47+'10.TMKK'!C47+'11.Rendelő'!C47</f>
        <v>42260811</v>
      </c>
      <c r="D47" s="195">
        <f>'6.Polg_Hivatal'!D47+'7.TIK'!D47+'8.Humán'!D47+'9.Óvoda'!D47+'10.TMKK'!D47+'11.Rendelő'!D47</f>
        <v>71747225</v>
      </c>
      <c r="E47" s="195">
        <f>'6.Polg_Hivatal'!E47+'7.TIK'!E47+'8.Humán'!E47+'9.Óvoda'!E47+'10.TMKK'!E47+'11.Rendelő'!E47</f>
        <v>84759825</v>
      </c>
      <c r="F47" s="1034">
        <f>'6.Polg_Hivatal'!F47+'7.TIK'!F47+'8.Humán'!F47+'9.Óvoda'!F47+'10.TMKK'!F47+'11.Rendelő'!F47</f>
        <v>84759825</v>
      </c>
      <c r="G47" s="1490">
        <f>'6.Polg_Hivatal'!G47+'7.TIK'!G47+'8.Humán'!G47+'9.Óvoda'!G47+'10.TMKK'!G47+'11.Rendelő'!G47</f>
        <v>0</v>
      </c>
      <c r="H47" s="1491">
        <f>'6.Polg_Hivatal'!H47+'7.TIK'!H47+'8.Humán'!H47+'9.Óvoda'!H47+'10.TMKK'!H47+'11.Rendelő'!H47</f>
        <v>13012600</v>
      </c>
      <c r="I47" s="1490">
        <f>'6.Polg_Hivatal'!I47+'7.TIK'!I47+'8.Humán'!I47+'9.Óvoda'!I47+'10.TMKK'!I47+'11.Rendelő'!I47</f>
        <v>180603455</v>
      </c>
      <c r="J47" s="1034">
        <f>'6.Polg_Hivatal'!J47+'7.TIK'!J47+'8.Humán'!J47+'9.Óvoda'!J47+'10.TMKK'!J47+'11.Rendelő'!J47</f>
        <v>52783483</v>
      </c>
      <c r="K47" s="1490">
        <f>'6.Polg_Hivatal'!K47+'7.TIK'!K47+'8.Humán'!K47+'9.Óvoda'!K47+'10.TMKK'!K47+'11.Rendelő'!K47</f>
        <v>175.50548216442655</v>
      </c>
      <c r="L47" s="1522">
        <f t="shared" si="1"/>
        <v>62.274176474526698</v>
      </c>
    </row>
    <row r="48" spans="1:12" s="54" customFormat="1" ht="15" customHeight="1" thickBot="1" x14ac:dyDescent="0.25">
      <c r="A48" s="63" t="s">
        <v>21</v>
      </c>
      <c r="B48" s="497" t="s">
        <v>174</v>
      </c>
      <c r="C48" s="135">
        <f>+C42+C43</f>
        <v>5094117548</v>
      </c>
      <c r="D48" s="134">
        <f t="shared" ref="D48:K48" si="7">+D42+D43</f>
        <v>5247153731</v>
      </c>
      <c r="E48" s="135">
        <f t="shared" si="7"/>
        <v>5977201757</v>
      </c>
      <c r="F48" s="135">
        <f t="shared" si="7"/>
        <v>5977201757</v>
      </c>
      <c r="G48" s="592">
        <f t="shared" si="7"/>
        <v>3545399</v>
      </c>
      <c r="H48" s="68">
        <f t="shared" si="7"/>
        <v>735066276</v>
      </c>
      <c r="I48" s="1507">
        <f t="shared" si="7"/>
        <v>184148856</v>
      </c>
      <c r="J48" s="135">
        <f t="shared" si="7"/>
        <v>4367103082</v>
      </c>
      <c r="K48" s="1507" t="e">
        <f t="shared" si="7"/>
        <v>#VALUE!</v>
      </c>
      <c r="L48" s="1523">
        <f t="shared" si="1"/>
        <v>73.062668110301161</v>
      </c>
    </row>
    <row r="49" spans="1:15" s="54" customFormat="1" ht="14.45" customHeight="1" x14ac:dyDescent="0.2">
      <c r="A49" s="64"/>
      <c r="B49" s="65"/>
      <c r="C49" s="66"/>
      <c r="D49" s="125"/>
      <c r="E49" s="125"/>
      <c r="F49" s="125"/>
      <c r="G49" s="125"/>
      <c r="H49" s="125"/>
      <c r="I49" s="125"/>
      <c r="J49" s="125"/>
      <c r="K49" s="125"/>
      <c r="L49" s="138"/>
    </row>
    <row r="50" spans="1:15" ht="14.45" customHeight="1" x14ac:dyDescent="0.2">
      <c r="A50" s="1804" t="s">
        <v>34</v>
      </c>
      <c r="B50" s="1804"/>
      <c r="C50" s="1804"/>
      <c r="D50" s="1804"/>
      <c r="E50" s="1804"/>
      <c r="F50" s="1804"/>
      <c r="G50" s="1804"/>
      <c r="H50" s="1804"/>
      <c r="I50" s="1804"/>
      <c r="J50" s="1804"/>
      <c r="K50" s="1804"/>
      <c r="L50" s="1804"/>
    </row>
    <row r="51" spans="1:15" ht="14.45" customHeight="1" thickBot="1" x14ac:dyDescent="0.3">
      <c r="A51" s="1805" t="s">
        <v>362</v>
      </c>
      <c r="B51" s="1805"/>
      <c r="C51" s="1805"/>
      <c r="D51" s="1805"/>
      <c r="E51" s="1805"/>
      <c r="F51" s="1805"/>
      <c r="G51" s="1805"/>
      <c r="H51" s="1805"/>
      <c r="I51" s="1805"/>
      <c r="J51" s="1805"/>
      <c r="K51" s="1805"/>
      <c r="L51" s="1805"/>
    </row>
    <row r="52" spans="1:15" s="46" customFormat="1" ht="66.75" customHeight="1" thickBot="1" x14ac:dyDescent="0.25">
      <c r="A52" s="986" t="s">
        <v>142</v>
      </c>
      <c r="B52" s="42" t="s">
        <v>36</v>
      </c>
      <c r="C52" s="21" t="str">
        <f>'1. mell.bevétel_össz'!C8</f>
        <v>2023. évi eredeti előirányzat
2/2023. (II.14.)</v>
      </c>
      <c r="D52" s="191" t="str">
        <f>'1. mell.bevétel_össz'!D8</f>
        <v>Módosított előirányzat a 14/2023.  (VI.29.)  rendelet szerint</v>
      </c>
      <c r="E52" s="42" t="str">
        <f>'1. mell.bevétel_össz'!E8</f>
        <v>Módosított előirányzat a 18/2023. (IX.26.)  rendelet szerint</v>
      </c>
      <c r="F52" s="42" t="str">
        <f>'1. mell.bevétel_össz'!F8</f>
        <v>Módosított előirányzat 2023.09.30-án</v>
      </c>
      <c r="G52" s="42" t="str">
        <f>'1. mell.bevétel_össz'!G8</f>
        <v>Módosított előirányzat a …../2023. (II…..)  rendelet szerint</v>
      </c>
      <c r="H52" s="126" t="str">
        <f>'1. mell.bevétel_össz'!H8</f>
        <v>Változás a 14/2023. (VI.29.) rendelethez képest</v>
      </c>
      <c r="I52" s="1439" t="str">
        <f>'1. mell.bevétel_össz'!I8</f>
        <v>2023. évi teljesítés              2023.06.30-ig</v>
      </c>
      <c r="J52" s="42" t="str">
        <f>'1. mell.bevétel_össz'!J8</f>
        <v>2023. évi teljesítés              2023.09.30-ig</v>
      </c>
      <c r="K52" s="1453" t="str">
        <f>'1. mell.bevétel_össz'!K8</f>
        <v>2023. évi teljesítés              2023.12.31-ig</v>
      </c>
      <c r="L52" s="1464" t="str">
        <f>'1. mell.bevétel_össz'!L8</f>
        <v>Teljesítés %-a</v>
      </c>
    </row>
    <row r="53" spans="1:15" s="31" customFormat="1" ht="12.2" customHeight="1" thickBot="1" x14ac:dyDescent="0.25">
      <c r="A53" s="197" t="s">
        <v>12</v>
      </c>
      <c r="B53" s="56" t="s">
        <v>547</v>
      </c>
      <c r="C53" s="89">
        <f>SUM(C54:C59)-C55</f>
        <v>4919899234</v>
      </c>
      <c r="D53" s="127">
        <f t="shared" ref="D53:K53" si="8">SUM(D54:D59)-D55</f>
        <v>5042938788</v>
      </c>
      <c r="E53" s="89">
        <f t="shared" si="8"/>
        <v>5755532227</v>
      </c>
      <c r="F53" s="89">
        <f t="shared" si="8"/>
        <v>5755532227</v>
      </c>
      <c r="G53" s="89">
        <f t="shared" si="8"/>
        <v>3545399</v>
      </c>
      <c r="H53" s="175">
        <f>SUM(H54:H59)-H55</f>
        <v>716132502</v>
      </c>
      <c r="I53" s="1524" t="e">
        <f t="shared" si="8"/>
        <v>#REF!</v>
      </c>
      <c r="J53" s="89">
        <f t="shared" si="8"/>
        <v>4005699584</v>
      </c>
      <c r="K53" s="1495" t="e">
        <f t="shared" si="8"/>
        <v>#REF!</v>
      </c>
      <c r="L53" s="1509">
        <f t="shared" ref="L53:L72" si="9">IF(F53=0,"",J53/F53*100)</f>
        <v>69.597379113068087</v>
      </c>
    </row>
    <row r="54" spans="1:15" ht="12.2" customHeight="1" x14ac:dyDescent="0.2">
      <c r="A54" s="653" t="s">
        <v>91</v>
      </c>
      <c r="B54" s="17" t="s">
        <v>68</v>
      </c>
      <c r="C54" s="122">
        <f>'6.Polg_Hivatal'!C54+'7.TIK'!C54+'8.Humán'!C54+'9.Óvoda'!C54+'10.TMKK'!C54+'11.Rendelő'!C54</f>
        <v>3049983623</v>
      </c>
      <c r="D54" s="189">
        <f>'6.Polg_Hivatal'!D54+'7.TIK'!D54+'8.Humán'!D54+'9.Óvoda'!D54+'10.TMKK'!D54+'11.Rendelő'!D54</f>
        <v>3082194065</v>
      </c>
      <c r="E54" s="122">
        <f>'6.Polg_Hivatal'!E54+'7.TIK'!E54+'8.Humán'!E54+'9.Óvoda'!E54+'10.TMKK'!E54+'11.Rendelő'!E54</f>
        <v>3601304261</v>
      </c>
      <c r="F54" s="122">
        <f>'6.Polg_Hivatal'!F54+'7.TIK'!F54+'8.Humán'!F54+'9.Óvoda'!F54+'10.TMKK'!F54+'11.Rendelő'!F54</f>
        <v>3601304261</v>
      </c>
      <c r="G54" s="122">
        <f>'6.Polg_Hivatal'!G54+'7.TIK'!G54+'8.Humán'!G54+'9.Óvoda'!G54+'10.TMKK'!G54+'11.Rendelő'!G54</f>
        <v>0</v>
      </c>
      <c r="H54" s="177">
        <f>'6.Polg_Hivatal'!H54+'7.TIK'!H54+'8.Humán'!H54+'9.Óvoda'!H54+'10.TMKK'!H54+'11.Rendelő'!H54</f>
        <v>519110196</v>
      </c>
      <c r="I54" s="1525">
        <f>'6.Polg_Hivatal'!I54+'7.TIK'!I54+'8.Humán'!I54+'9.Óvoda'!I54+'10.TMKK'!I54+'11.Rendelő'!I54</f>
        <v>0</v>
      </c>
      <c r="J54" s="122">
        <f>'6.Polg_Hivatal'!J54+'7.TIK'!J54+'8.Humán'!J54+'9.Óvoda'!J54+'10.TMKK'!J54+'11.Rendelő'!J54</f>
        <v>2493254847</v>
      </c>
      <c r="K54" s="1501">
        <f>'6.Polg_Hivatal'!K54+'7.TIK'!K54+'8.Humán'!K54+'9.Óvoda'!K54+'10.TMKK'!K54+'11.Rendelő'!K54</f>
        <v>0</v>
      </c>
      <c r="L54" s="1515">
        <f t="shared" si="9"/>
        <v>69.231996696321346</v>
      </c>
      <c r="O54" s="25" t="s">
        <v>385</v>
      </c>
    </row>
    <row r="55" spans="1:15" ht="12.2" customHeight="1" x14ac:dyDescent="0.2">
      <c r="A55" s="653" t="s">
        <v>305</v>
      </c>
      <c r="B55" s="335" t="s">
        <v>270</v>
      </c>
      <c r="C55" s="122">
        <f>'6.Polg_Hivatal'!C55+'7.TIK'!C55+'8.Humán'!C55+'9.Óvoda'!C55+'10.TMKK'!C55+'11.Rendelő'!C55</f>
        <v>23000000</v>
      </c>
      <c r="D55" s="189">
        <f>'6.Polg_Hivatal'!D55+'7.TIK'!D55+'8.Humán'!D55+'9.Óvoda'!D55+'10.TMKK'!D55+'11.Rendelő'!D55</f>
        <v>23227800</v>
      </c>
      <c r="E55" s="122">
        <f>'6.Polg_Hivatal'!E55+'7.TIK'!E55+'8.Humán'!E55+'9.Óvoda'!E55+'10.TMKK'!E55+'11.Rendelő'!E55</f>
        <v>156817800</v>
      </c>
      <c r="F55" s="122">
        <f>'6.Polg_Hivatal'!F55+'7.TIK'!F55+'8.Humán'!F55+'9.Óvoda'!F55+'10.TMKK'!F55+'11.Rendelő'!F55</f>
        <v>156817800</v>
      </c>
      <c r="G55" s="122">
        <f>'6.Polg_Hivatal'!G55+'7.TIK'!G55+'8.Humán'!G55+'9.Óvoda'!G55+'10.TMKK'!G55+'11.Rendelő'!G55</f>
        <v>0</v>
      </c>
      <c r="H55" s="177">
        <f>'6.Polg_Hivatal'!H55+'7.TIK'!H55+'8.Humán'!H55+'9.Óvoda'!H55+'10.TMKK'!H55+'11.Rendelő'!H55</f>
        <v>133590000</v>
      </c>
      <c r="I55" s="1525">
        <f>'6.Polg_Hivatal'!I55+'7.TIK'!I55+'8.Humán'!I55+'9.Óvoda'!I55+'10.TMKK'!I55+'11.Rendelő'!I55</f>
        <v>0</v>
      </c>
      <c r="J55" s="122">
        <f>'6.Polg_Hivatal'!J55+'7.TIK'!J55+'8.Humán'!J55+'9.Óvoda'!J55+'10.TMKK'!J55+'11.Rendelő'!J55</f>
        <v>8716884</v>
      </c>
      <c r="K55" s="1501">
        <f>'6.Polg_Hivatal'!K55+'7.TIK'!K55+'8.Humán'!K55+'9.Óvoda'!K55+'10.TMKK'!K55+'11.Rendelő'!K55</f>
        <v>0</v>
      </c>
      <c r="L55" s="1515">
        <f t="shared" si="9"/>
        <v>5.5586062296499508</v>
      </c>
    </row>
    <row r="56" spans="1:15" ht="12.2" customHeight="1" x14ac:dyDescent="0.2">
      <c r="A56" s="653" t="s">
        <v>92</v>
      </c>
      <c r="B56" s="330" t="s">
        <v>87</v>
      </c>
      <c r="C56" s="339">
        <f>'6.Polg_Hivatal'!C56+'7.TIK'!C56+'8.Humán'!C56+'9.Óvoda'!C56+'10.TMKK'!C56+'11.Rendelő'!C56</f>
        <v>451062065</v>
      </c>
      <c r="D56" s="323">
        <f>'6.Polg_Hivatal'!D56+'7.TIK'!D56+'8.Humán'!D56+'9.Óvoda'!D56+'10.TMKK'!D56+'11.Rendelő'!D56</f>
        <v>460204209</v>
      </c>
      <c r="E56" s="339">
        <f>'6.Polg_Hivatal'!E56+'7.TIK'!E56+'8.Humán'!E56+'9.Óvoda'!E56+'10.TMKK'!E56+'11.Rendelő'!E56</f>
        <v>543507839</v>
      </c>
      <c r="F56" s="339">
        <f>'6.Polg_Hivatal'!F56+'7.TIK'!F56+'8.Humán'!F56+'9.Óvoda'!F56+'10.TMKK'!F56+'11.Rendelő'!F56</f>
        <v>543507839</v>
      </c>
      <c r="G56" s="339">
        <f>'6.Polg_Hivatal'!G56+'7.TIK'!G56+'8.Humán'!G56+'9.Óvoda'!G56+'10.TMKK'!G56+'11.Rendelő'!G56</f>
        <v>0</v>
      </c>
      <c r="H56" s="503">
        <f>'6.Polg_Hivatal'!H56+'7.TIK'!H56+'8.Humán'!H56+'9.Óvoda'!H56+'10.TMKK'!H56+'11.Rendelő'!H56</f>
        <v>83303630</v>
      </c>
      <c r="I56" s="1526">
        <f>'6.Polg_Hivatal'!I56+'7.TIK'!I56+'8.Humán'!I56+'9.Óvoda'!I56+'10.TMKK'!I56+'11.Rendelő'!I56</f>
        <v>0</v>
      </c>
      <c r="J56" s="339">
        <f>'6.Polg_Hivatal'!J56+'7.TIK'!J56+'8.Humán'!J56+'9.Óvoda'!J56+'10.TMKK'!J56+'11.Rendelő'!J56</f>
        <v>370865097</v>
      </c>
      <c r="K56" s="1489">
        <f>'6.Polg_Hivatal'!K56+'7.TIK'!K56+'8.Humán'!K56+'9.Óvoda'!K56+'10.TMKK'!K56+'11.Rendelő'!K56</f>
        <v>0</v>
      </c>
      <c r="L56" s="1521">
        <f t="shared" si="9"/>
        <v>68.235464217471943</v>
      </c>
    </row>
    <row r="57" spans="1:15" ht="12.2" customHeight="1" x14ac:dyDescent="0.2">
      <c r="A57" s="653" t="s">
        <v>93</v>
      </c>
      <c r="B57" s="330" t="s">
        <v>69</v>
      </c>
      <c r="C57" s="339">
        <f>'6.Polg_Hivatal'!C57+'7.TIK'!C57+'8.Humán'!C57+'9.Óvoda'!C57+'10.TMKK'!C57+'11.Rendelő'!C57</f>
        <v>1415322066</v>
      </c>
      <c r="D57" s="323">
        <f>'6.Polg_Hivatal'!D57+'7.TIK'!D57+'8.Humán'!D57+'9.Óvoda'!D57+'10.TMKK'!D57+'11.Rendelő'!D57</f>
        <v>1497001454</v>
      </c>
      <c r="E57" s="339">
        <f>'6.Polg_Hivatal'!E57+'7.TIK'!E57+'8.Humán'!E57+'9.Óvoda'!E57+'10.TMKK'!E57+'11.Rendelő'!E57</f>
        <v>1607174730</v>
      </c>
      <c r="F57" s="339">
        <f>'6.Polg_Hivatal'!F57+'7.TIK'!F57+'8.Humán'!F57+'9.Óvoda'!F57+'10.TMKK'!F57+'11.Rendelő'!F57</f>
        <v>1607174730</v>
      </c>
      <c r="G57" s="339">
        <f>'6.Polg_Hivatal'!G57+'7.TIK'!G57+'8.Humán'!G57+'9.Óvoda'!G57+'10.TMKK'!G57+'11.Rendelő'!G57</f>
        <v>0</v>
      </c>
      <c r="H57" s="503">
        <f>'6.Polg_Hivatal'!H57+'7.TIK'!H57+'8.Humán'!H57+'9.Óvoda'!H57+'10.TMKK'!H57+'11.Rendelő'!H57</f>
        <v>110173276</v>
      </c>
      <c r="I57" s="1526">
        <f>'6.Polg_Hivatal'!I57+'7.TIK'!I57+'8.Humán'!I57+'9.Óvoda'!I57+'10.TMKK'!I57+'11.Rendelő'!I57</f>
        <v>0</v>
      </c>
      <c r="J57" s="339">
        <f>'6.Polg_Hivatal'!J57+'7.TIK'!J57+'8.Humán'!J57+'9.Óvoda'!J57+'10.TMKK'!J57+'11.Rendelő'!J57</f>
        <v>1138662092</v>
      </c>
      <c r="K57" s="1489">
        <f>'6.Polg_Hivatal'!K57+'7.TIK'!K57+'8.Humán'!K57+'9.Óvoda'!K57+'10.TMKK'!K57+'11.Rendelő'!K57</f>
        <v>0</v>
      </c>
      <c r="L57" s="1521">
        <f t="shared" si="9"/>
        <v>70.84868065340973</v>
      </c>
    </row>
    <row r="58" spans="1:15" ht="12.2" customHeight="1" x14ac:dyDescent="0.2">
      <c r="A58" s="653" t="s">
        <v>90</v>
      </c>
      <c r="B58" s="330" t="s">
        <v>80</v>
      </c>
      <c r="C58" s="339">
        <f>'6.Polg_Hivatal'!C58+'7.TIK'!C58+'8.Humán'!C58+'9.Óvoda'!C58+'10.TMKK'!C58+'11.Rendelő'!C58</f>
        <v>0</v>
      </c>
      <c r="D58" s="323">
        <f>'6.Polg_Hivatal'!D58+'7.TIK'!D58+'8.Humán'!D58+'9.Óvoda'!D58+'10.TMKK'!D58+'11.Rendelő'!D58</f>
        <v>0</v>
      </c>
      <c r="E58" s="339">
        <f>'6.Polg_Hivatal'!E58+'7.TIK'!E58+'8.Humán'!E58+'9.Óvoda'!E58+'10.TMKK'!E58+'11.Rendelő'!E58</f>
        <v>0</v>
      </c>
      <c r="F58" s="339">
        <f>'6.Polg_Hivatal'!F58+'7.TIK'!F58+'8.Humán'!F58+'9.Óvoda'!F58+'10.TMKK'!F58+'11.Rendelő'!F58</f>
        <v>0</v>
      </c>
      <c r="G58" s="339">
        <f>'6.Polg_Hivatal'!G58+'7.TIK'!G58+'8.Humán'!G58+'9.Óvoda'!G58+'10.TMKK'!G58+'11.Rendelő'!G58</f>
        <v>0</v>
      </c>
      <c r="H58" s="503">
        <f>'6.Polg_Hivatal'!H58+'7.TIK'!H58+'8.Humán'!H58+'9.Óvoda'!H58+'10.TMKK'!H58+'11.Rendelő'!H58</f>
        <v>0</v>
      </c>
      <c r="I58" s="1526">
        <f>'6.Polg_Hivatal'!I58+'7.TIK'!I58+'8.Humán'!I58+'9.Óvoda'!I58+'10.TMKK'!I58+'11.Rendelő'!I58</f>
        <v>0</v>
      </c>
      <c r="J58" s="339">
        <f>'6.Polg_Hivatal'!J58+'7.TIK'!J58+'8.Humán'!J58+'9.Óvoda'!J58+'10.TMKK'!J58+'11.Rendelő'!J58</f>
        <v>0</v>
      </c>
      <c r="K58" s="1489">
        <f>'6.Polg_Hivatal'!K58+'7.TIK'!K58+'8.Humán'!K58+'9.Óvoda'!K58+'10.TMKK'!K58+'11.Rendelő'!K58</f>
        <v>0</v>
      </c>
      <c r="L58" s="1521" t="str">
        <f t="shared" si="9"/>
        <v/>
      </c>
      <c r="N58" s="25" t="s">
        <v>385</v>
      </c>
    </row>
    <row r="59" spans="1:15" ht="12.2" customHeight="1" x14ac:dyDescent="0.2">
      <c r="A59" s="653" t="s">
        <v>147</v>
      </c>
      <c r="B59" s="330" t="s">
        <v>88</v>
      </c>
      <c r="C59" s="339">
        <f>SUM(C60:C61)</f>
        <v>3531480</v>
      </c>
      <c r="D59" s="323">
        <f t="shared" ref="D59:K59" si="10">SUM(D60:D61)</f>
        <v>3539060</v>
      </c>
      <c r="E59" s="339">
        <f t="shared" si="10"/>
        <v>3545397</v>
      </c>
      <c r="F59" s="339">
        <f t="shared" si="10"/>
        <v>3545397</v>
      </c>
      <c r="G59" s="339">
        <f t="shared" si="10"/>
        <v>3545399</v>
      </c>
      <c r="H59" s="503">
        <f t="shared" si="10"/>
        <v>3545400</v>
      </c>
      <c r="I59" s="1526" t="e">
        <f t="shared" si="10"/>
        <v>#REF!</v>
      </c>
      <c r="J59" s="339">
        <f t="shared" si="10"/>
        <v>2917548</v>
      </c>
      <c r="K59" s="1489" t="e">
        <f t="shared" si="10"/>
        <v>#REF!</v>
      </c>
      <c r="L59" s="1521">
        <f t="shared" si="9"/>
        <v>82.291151033297538</v>
      </c>
    </row>
    <row r="60" spans="1:15" ht="12.2" customHeight="1" x14ac:dyDescent="0.2">
      <c r="A60" s="653" t="s">
        <v>306</v>
      </c>
      <c r="B60" s="521" t="s">
        <v>235</v>
      </c>
      <c r="C60" s="339">
        <f>'6.Polg_Hivatal'!C60+'7.TIK'!C60+'8.Humán'!C60+'9.Óvoda'!C60+'10.TMKK'!C60+'11.Rendelő'!C60</f>
        <v>3531480</v>
      </c>
      <c r="D60" s="323">
        <f>'6.Polg_Hivatal'!D60+'7.TIK'!D60+'8.Humán'!D60+'9.Óvoda'!D60+'10.TMKK'!D60+'11.Rendelő'!D60</f>
        <v>3539060</v>
      </c>
      <c r="E60" s="339">
        <f>'6.Polg_Hivatal'!E60+'7.TIK'!E60+'8.Humán'!E60+'9.Óvoda'!E60+'10.TMKK'!E60+'11.Rendelő'!E60</f>
        <v>3545397</v>
      </c>
      <c r="F60" s="339">
        <f>'6.Polg_Hivatal'!F60+'7.TIK'!F60+'8.Humán'!F60+'9.Óvoda'!F60+'10.TMKK'!F60+'11.Rendelő'!F60</f>
        <v>3545397</v>
      </c>
      <c r="G60" s="339">
        <f>'6.Polg_Hivatal'!G60+'7.TIK'!G60+'8.Humán'!G60+'9.Óvoda'!G60+'10.TMKK'!G60+'11.Rendelő'!G60</f>
        <v>3545399</v>
      </c>
      <c r="H60" s="503">
        <f>'6.Polg_Hivatal'!H60+'7.TIK'!H60+'8.Humán'!H60+'9.Óvoda'!H60+'10.TMKK'!H60+'11.Rendelő'!H60</f>
        <v>3545400</v>
      </c>
      <c r="I60" s="1526">
        <f>'6.Polg_Hivatal'!I60+'7.TIK'!I60+'8.Humán'!I60+'9.Óvoda'!I60+'10.TMKK'!I60+'11.Rendelő'!I60</f>
        <v>3545401</v>
      </c>
      <c r="J60" s="339">
        <f>'6.Polg_Hivatal'!J60+'7.TIK'!J60+'8.Humán'!J60+'9.Óvoda'!J60+'10.TMKK'!J60+'11.Rendelő'!J60</f>
        <v>2917548</v>
      </c>
      <c r="K60" s="1489">
        <f>'6.Polg_Hivatal'!K60+'7.TIK'!K60+'8.Humán'!K60+'9.Óvoda'!K60+'10.TMKK'!K60+'11.Rendelő'!K60</f>
        <v>0</v>
      </c>
      <c r="L60" s="1521">
        <f t="shared" si="9"/>
        <v>82.291151033297538</v>
      </c>
    </row>
    <row r="61" spans="1:15" ht="12.2" customHeight="1" thickBot="1" x14ac:dyDescent="0.25">
      <c r="A61" s="198" t="s">
        <v>307</v>
      </c>
      <c r="B61" s="85" t="s">
        <v>234</v>
      </c>
      <c r="C61" s="92">
        <f>'6.Polg_Hivatal'!C61+'7.TIK'!C61+'8.Humán'!C61+'9.Óvoda'!C61+'10.TMKK'!C61+'11.Rendelő'!C61</f>
        <v>0</v>
      </c>
      <c r="D61" s="190">
        <f>'6.Polg_Hivatal'!D61+'7.TIK'!D61+'8.Humán'!D61+'9.Óvoda'!D61+'10.TMKK'!D61+'11.Rendelő'!D61</f>
        <v>0</v>
      </c>
      <c r="E61" s="92">
        <f>'6.Polg_Hivatal'!E61+'7.TIK'!E61+'8.Humán'!E61+'9.Óvoda'!E61+'10.TMKK'!E61+'11.Rendelő'!E61</f>
        <v>0</v>
      </c>
      <c r="F61" s="92">
        <f>'6.Polg_Hivatal'!F61+'7.TIK'!F61+'8.Humán'!F61+'9.Óvoda'!F61+'10.TMKK'!F61+'11.Rendelő'!F61</f>
        <v>0</v>
      </c>
      <c r="G61" s="92">
        <f>'6.Polg_Hivatal'!G61+'7.TIK'!G61+'8.Humán'!G61+'9.Óvoda'!G61+'10.TMKK'!G61+'11.Rendelő'!G61</f>
        <v>0</v>
      </c>
      <c r="H61" s="178">
        <f>'6.Polg_Hivatal'!H61+'7.TIK'!H61+'8.Humán'!H61+'9.Óvoda'!H61+'10.TMKK'!H61+'11.Rendelő'!H61</f>
        <v>0</v>
      </c>
      <c r="I61" s="1527" t="e">
        <f>'6.Polg_Hivatal'!I61+'7.TIK'!I61+'8.Humán'!I61+'9.Óvoda'!I61+'10.TMKK'!I61+'11.Rendelő'!I61</f>
        <v>#REF!</v>
      </c>
      <c r="J61" s="92">
        <f>'6.Polg_Hivatal'!J61+'7.TIK'!J61+'8.Humán'!J61+'9.Óvoda'!J61+'10.TMKK'!J61+'11.Rendelő'!J61</f>
        <v>0</v>
      </c>
      <c r="K61" s="1503" t="e">
        <f>'6.Polg_Hivatal'!K61+'7.TIK'!K61+'8.Humán'!K61+'9.Óvoda'!K61+'10.TMKK'!K61+'11.Rendelő'!K61</f>
        <v>#REF!</v>
      </c>
      <c r="L61" s="1517" t="str">
        <f t="shared" si="9"/>
        <v/>
      </c>
    </row>
    <row r="62" spans="1:15" ht="12.2" customHeight="1" thickBot="1" x14ac:dyDescent="0.25">
      <c r="A62" s="197" t="s">
        <v>13</v>
      </c>
      <c r="B62" s="56" t="s">
        <v>548</v>
      </c>
      <c r="C62" s="89">
        <f>+C63+C65+C67</f>
        <v>174218314</v>
      </c>
      <c r="D62" s="127">
        <f t="shared" ref="D62:K62" si="11">+D63+D65+D67</f>
        <v>204214943</v>
      </c>
      <c r="E62" s="89">
        <f t="shared" si="11"/>
        <v>221669530</v>
      </c>
      <c r="F62" s="89">
        <f t="shared" si="11"/>
        <v>221669530</v>
      </c>
      <c r="G62" s="89">
        <f t="shared" si="11"/>
        <v>0</v>
      </c>
      <c r="H62" s="175">
        <f>+H63+H65+H67</f>
        <v>17454587</v>
      </c>
      <c r="I62" s="1524">
        <f t="shared" si="11"/>
        <v>180603455</v>
      </c>
      <c r="J62" s="89">
        <f t="shared" si="11"/>
        <v>189813379</v>
      </c>
      <c r="K62" s="1495" t="e">
        <f t="shared" si="11"/>
        <v>#VALUE!</v>
      </c>
      <c r="L62" s="1509">
        <f t="shared" si="9"/>
        <v>85.628989694704543</v>
      </c>
    </row>
    <row r="63" spans="1:15" s="31" customFormat="1" ht="12.2" customHeight="1" x14ac:dyDescent="0.2">
      <c r="A63" s="653" t="s">
        <v>94</v>
      </c>
      <c r="B63" s="17" t="s">
        <v>119</v>
      </c>
      <c r="C63" s="122">
        <f>'6.Polg_Hivatal'!C63+'7.TIK'!C63+'8.Humán'!C63+'9.Óvoda'!C63+'10.TMKK'!C63+'11.Rendelő'!C63</f>
        <v>174218314</v>
      </c>
      <c r="D63" s="189">
        <f>'6.Polg_Hivatal'!D63+'7.TIK'!D63+'8.Humán'!D63+'9.Óvoda'!D63+'10.TMKK'!D63+'11.Rendelő'!D63</f>
        <v>204214943</v>
      </c>
      <c r="E63" s="122">
        <f>'6.Polg_Hivatal'!E63+'7.TIK'!E63+'8.Humán'!E63+'9.Óvoda'!E63+'10.TMKK'!E63+'11.Rendelő'!E63</f>
        <v>221669530</v>
      </c>
      <c r="F63" s="122">
        <f>'6.Polg_Hivatal'!F63+'7.TIK'!F63+'8.Humán'!F63+'9.Óvoda'!F63+'10.TMKK'!F63+'11.Rendelő'!F63</f>
        <v>221669530</v>
      </c>
      <c r="G63" s="122">
        <f>'6.Polg_Hivatal'!G63+'7.TIK'!G63+'8.Humán'!G63+'9.Óvoda'!G63+'10.TMKK'!G63+'11.Rendelő'!G63</f>
        <v>0</v>
      </c>
      <c r="H63" s="177">
        <f>'6.Polg_Hivatal'!H63+'7.TIK'!H63+'8.Humán'!H63+'9.Óvoda'!H63+'10.TMKK'!H63+'11.Rendelő'!H63</f>
        <v>17454587</v>
      </c>
      <c r="I63" s="1525">
        <f>'6.Polg_Hivatal'!I63+'7.TIK'!I63+'8.Humán'!I63+'9.Óvoda'!I63+'10.TMKK'!I63+'11.Rendelő'!I63</f>
        <v>180603455</v>
      </c>
      <c r="J63" s="122">
        <f>'6.Polg_Hivatal'!J63+'7.TIK'!J63+'8.Humán'!J63+'9.Óvoda'!J63+'10.TMKK'!J63+'11.Rendelő'!J63</f>
        <v>189813379</v>
      </c>
      <c r="K63" s="1501">
        <f>'6.Polg_Hivatal'!K63+'7.TIK'!K63+'8.Humán'!K63+'9.Óvoda'!K63+'10.TMKK'!K63+'11.Rendelő'!K63</f>
        <v>175.50548216442655</v>
      </c>
      <c r="L63" s="1515">
        <f t="shared" si="9"/>
        <v>85.628989694704543</v>
      </c>
    </row>
    <row r="64" spans="1:15" s="31" customFormat="1" ht="12.2" customHeight="1" x14ac:dyDescent="0.2">
      <c r="A64" s="653" t="s">
        <v>316</v>
      </c>
      <c r="B64" s="522" t="s">
        <v>236</v>
      </c>
      <c r="C64" s="122">
        <f>'6.Polg_Hivatal'!C64+'7.TIK'!C64+'8.Humán'!C64+'9.Óvoda'!C64+'10.TMKK'!C64+'11.Rendelő'!C64</f>
        <v>131957503</v>
      </c>
      <c r="D64" s="189">
        <f>'6.Polg_Hivatal'!D64+'7.TIK'!D64+'8.Humán'!D64+'9.Óvoda'!D64+'10.TMKK'!D64+'11.Rendelő'!D64</f>
        <v>131957503</v>
      </c>
      <c r="E64" s="122">
        <f>'6.Polg_Hivatal'!E64+'7.TIK'!E64+'8.Humán'!E64+'9.Óvoda'!E64+'10.TMKK'!E64+'11.Rendelő'!E64</f>
        <v>131957503</v>
      </c>
      <c r="F64" s="122">
        <f>'6.Polg_Hivatal'!F64+'7.TIK'!F64+'8.Humán'!F64+'9.Óvoda'!F64+'10.TMKK'!F64+'11.Rendelő'!F64</f>
        <v>131957503</v>
      </c>
      <c r="G64" s="122">
        <f>'6.Polg_Hivatal'!G64+'7.TIK'!G64+'8.Humán'!G64+'9.Óvoda'!G64+'10.TMKK'!G64+'11.Rendelő'!G64</f>
        <v>0</v>
      </c>
      <c r="H64" s="177">
        <f>'6.Polg_Hivatal'!H64+'7.TIK'!H64+'8.Humán'!H64+'9.Óvoda'!H64+'10.TMKK'!H64+'11.Rendelő'!H64</f>
        <v>0</v>
      </c>
      <c r="I64" s="1525">
        <f>'6.Polg_Hivatal'!I64+'7.TIK'!I64+'8.Humán'!I64+'9.Óvoda'!I64+'10.TMKK'!I64+'11.Rendelő'!I64</f>
        <v>0</v>
      </c>
      <c r="J64" s="122">
        <f>'6.Polg_Hivatal'!J64+'7.TIK'!J64+'8.Humán'!J64+'9.Óvoda'!J64+'10.TMKK'!J64+'11.Rendelő'!J64</f>
        <v>131957503</v>
      </c>
      <c r="K64" s="1501">
        <f>'6.Polg_Hivatal'!K64+'7.TIK'!K64+'8.Humán'!K64+'9.Óvoda'!K64+'10.TMKK'!K64+'11.Rendelő'!K64</f>
        <v>0</v>
      </c>
      <c r="L64" s="1515">
        <f t="shared" si="9"/>
        <v>100</v>
      </c>
    </row>
    <row r="65" spans="1:14" ht="12.2" customHeight="1" x14ac:dyDescent="0.2">
      <c r="A65" s="653" t="s">
        <v>95</v>
      </c>
      <c r="B65" s="330" t="s">
        <v>2</v>
      </c>
      <c r="C65" s="339">
        <f>'6.Polg_Hivatal'!C65+'7.TIK'!C65+'8.Humán'!C65+'9.Óvoda'!C65+'10.TMKK'!C65+'11.Rendelő'!C65</f>
        <v>0</v>
      </c>
      <c r="D65" s="323">
        <f>'6.Polg_Hivatal'!D65+'7.TIK'!D65+'8.Humán'!D65+'9.Óvoda'!D65+'10.TMKK'!D65+'11.Rendelő'!D65</f>
        <v>0</v>
      </c>
      <c r="E65" s="339">
        <f>'6.Polg_Hivatal'!E65+'7.TIK'!E65+'8.Humán'!E65+'9.Óvoda'!E65+'10.TMKK'!E65+'11.Rendelő'!E65</f>
        <v>0</v>
      </c>
      <c r="F65" s="339">
        <f>'6.Polg_Hivatal'!F65+'7.TIK'!F65+'8.Humán'!F65+'9.Óvoda'!F65+'10.TMKK'!F65+'11.Rendelő'!F65</f>
        <v>0</v>
      </c>
      <c r="G65" s="339">
        <f>'6.Polg_Hivatal'!G65+'7.TIK'!G65+'8.Humán'!G65+'9.Óvoda'!G65+'10.TMKK'!G65+'11.Rendelő'!G65</f>
        <v>0</v>
      </c>
      <c r="H65" s="503">
        <f>'6.Polg_Hivatal'!H65+'7.TIK'!H65+'8.Humán'!H65+'9.Óvoda'!H65+'10.TMKK'!H65+'11.Rendelő'!H65</f>
        <v>0</v>
      </c>
      <c r="I65" s="1526">
        <f>'6.Polg_Hivatal'!I65+'7.TIK'!I65+'8.Humán'!I65+'9.Óvoda'!I65+'10.TMKK'!I65+'11.Rendelő'!I65</f>
        <v>0</v>
      </c>
      <c r="J65" s="339">
        <f>'6.Polg_Hivatal'!J65+'7.TIK'!J65+'8.Humán'!J65+'9.Óvoda'!J65+'10.TMKK'!J65+'11.Rendelő'!J65</f>
        <v>0</v>
      </c>
      <c r="K65" s="1489" t="e">
        <f>'6.Polg_Hivatal'!K65+'7.TIK'!K65+'8.Humán'!K65+'9.Óvoda'!K65+'10.TMKK'!K65+'11.Rendelő'!K65</f>
        <v>#VALUE!</v>
      </c>
      <c r="L65" s="1521" t="str">
        <f t="shared" si="9"/>
        <v/>
      </c>
    </row>
    <row r="66" spans="1:14" ht="12.2" customHeight="1" x14ac:dyDescent="0.2">
      <c r="A66" s="653" t="s">
        <v>342</v>
      </c>
      <c r="B66" s="523" t="s">
        <v>237</v>
      </c>
      <c r="C66" s="339">
        <f>'6.Polg_Hivatal'!C66+'7.TIK'!C66+'8.Humán'!C66+'9.Óvoda'!C66+'10.TMKK'!C66+'11.Rendelő'!C66</f>
        <v>0</v>
      </c>
      <c r="D66" s="323">
        <f>'6.Polg_Hivatal'!D66+'7.TIK'!D66+'8.Humán'!D66+'9.Óvoda'!D66+'10.TMKK'!D66+'11.Rendelő'!D66</f>
        <v>0</v>
      </c>
      <c r="E66" s="339">
        <f>'6.Polg_Hivatal'!E66+'7.TIK'!E66+'8.Humán'!E66+'9.Óvoda'!E66+'10.TMKK'!E66+'11.Rendelő'!E66</f>
        <v>0</v>
      </c>
      <c r="F66" s="339">
        <f>'6.Polg_Hivatal'!F66+'7.TIK'!F66+'8.Humán'!F66+'9.Óvoda'!F66+'10.TMKK'!F66+'11.Rendelő'!F66</f>
        <v>0</v>
      </c>
      <c r="G66" s="339">
        <f>'6.Polg_Hivatal'!G66+'7.TIK'!G66+'8.Humán'!G66+'9.Óvoda'!G66+'10.TMKK'!G66+'11.Rendelő'!G66</f>
        <v>0</v>
      </c>
      <c r="H66" s="503">
        <f>'6.Polg_Hivatal'!H66+'7.TIK'!H66+'8.Humán'!H66+'9.Óvoda'!H66+'10.TMKK'!H66+'11.Rendelő'!H66</f>
        <v>0</v>
      </c>
      <c r="I66" s="1526">
        <f>'6.Polg_Hivatal'!I66+'7.TIK'!I66+'8.Humán'!I66+'9.Óvoda'!I66+'10.TMKK'!I66+'11.Rendelő'!I66</f>
        <v>0</v>
      </c>
      <c r="J66" s="339">
        <f>'6.Polg_Hivatal'!J66+'7.TIK'!J66+'8.Humán'!J66+'9.Óvoda'!J66+'10.TMKK'!J66+'11.Rendelő'!J66</f>
        <v>0</v>
      </c>
      <c r="K66" s="1489">
        <f>'6.Polg_Hivatal'!K66+'7.TIK'!K66+'8.Humán'!K66+'9.Óvoda'!K66+'10.TMKK'!K66+'11.Rendelő'!K66</f>
        <v>0</v>
      </c>
      <c r="L66" s="1521" t="str">
        <f t="shared" si="9"/>
        <v/>
      </c>
    </row>
    <row r="67" spans="1:14" ht="12.2" customHeight="1" x14ac:dyDescent="0.2">
      <c r="A67" s="653" t="s">
        <v>96</v>
      </c>
      <c r="B67" s="17" t="s">
        <v>175</v>
      </c>
      <c r="C67" s="339">
        <f>'6.Polg_Hivatal'!C67+'7.TIK'!C67+'8.Humán'!C67+'9.Óvoda'!C67+'10.TMKK'!C67+'11.Rendelő'!C67</f>
        <v>0</v>
      </c>
      <c r="D67" s="323">
        <f>'6.Polg_Hivatal'!D67+'7.TIK'!D67+'8.Humán'!D67+'9.Óvoda'!D67+'10.TMKK'!D67+'11.Rendelő'!D67</f>
        <v>0</v>
      </c>
      <c r="E67" s="339">
        <f>'6.Polg_Hivatal'!E67+'7.TIK'!E67+'8.Humán'!E67+'9.Óvoda'!E67+'10.TMKK'!E67+'11.Rendelő'!E67</f>
        <v>0</v>
      </c>
      <c r="F67" s="339">
        <f>'6.Polg_Hivatal'!F67+'7.TIK'!F67+'8.Humán'!F67+'9.Óvoda'!F67+'10.TMKK'!F67+'11.Rendelő'!F67</f>
        <v>0</v>
      </c>
      <c r="G67" s="339">
        <f>'6.Polg_Hivatal'!G67+'7.TIK'!G67+'8.Humán'!G67+'9.Óvoda'!G67+'10.TMKK'!G67+'11.Rendelő'!G67</f>
        <v>0</v>
      </c>
      <c r="H67" s="503">
        <f>'6.Polg_Hivatal'!H67+'7.TIK'!H67+'8.Humán'!H67+'9.Óvoda'!H67+'10.TMKK'!H67+'11.Rendelő'!H67</f>
        <v>0</v>
      </c>
      <c r="I67" s="1526">
        <f>'6.Polg_Hivatal'!I67+'7.TIK'!I67+'8.Humán'!I67+'9.Óvoda'!I67+'10.TMKK'!I67+'11.Rendelő'!I67</f>
        <v>0</v>
      </c>
      <c r="J67" s="339">
        <f>'6.Polg_Hivatal'!J67+'7.TIK'!J67+'8.Humán'!J67+'9.Óvoda'!J67+'10.TMKK'!J67+'11.Rendelő'!J67</f>
        <v>0</v>
      </c>
      <c r="K67" s="1489">
        <f>'6.Polg_Hivatal'!K67+'7.TIK'!K67+'8.Humán'!K67+'9.Óvoda'!K67+'10.TMKK'!K67+'11.Rendelő'!K67</f>
        <v>0</v>
      </c>
      <c r="L67" s="1521" t="str">
        <f t="shared" si="9"/>
        <v/>
      </c>
    </row>
    <row r="68" spans="1:14" ht="12.2" customHeight="1" x14ac:dyDescent="0.2">
      <c r="A68" s="653" t="s">
        <v>317</v>
      </c>
      <c r="B68" s="521" t="s">
        <v>239</v>
      </c>
      <c r="C68" s="339">
        <f>'6.Polg_Hivatal'!C68+'7.TIK'!C68+'8.Humán'!C68+'9.Óvoda'!C68+'10.TMKK'!C68+'11.Rendelő'!C68</f>
        <v>0</v>
      </c>
      <c r="D68" s="323">
        <f>'6.Polg_Hivatal'!D68+'7.TIK'!D68+'8.Humán'!D68+'9.Óvoda'!D68+'10.TMKK'!D68+'11.Rendelő'!D68</f>
        <v>0</v>
      </c>
      <c r="E68" s="339">
        <f>'6.Polg_Hivatal'!E68+'7.TIK'!E68+'8.Humán'!E68+'9.Óvoda'!E68+'10.TMKK'!E68+'11.Rendelő'!E68</f>
        <v>0</v>
      </c>
      <c r="F68" s="339">
        <f>'6.Polg_Hivatal'!F68+'7.TIK'!F68+'8.Humán'!F68+'9.Óvoda'!F68+'10.TMKK'!F68+'11.Rendelő'!F68</f>
        <v>0</v>
      </c>
      <c r="G68" s="339">
        <f>'6.Polg_Hivatal'!G68+'7.TIK'!G68+'8.Humán'!G68+'9.Óvoda'!G68+'10.TMKK'!G68+'11.Rendelő'!G68</f>
        <v>0</v>
      </c>
      <c r="H68" s="503">
        <f>'6.Polg_Hivatal'!H68+'7.TIK'!H68+'8.Humán'!H68+'9.Óvoda'!H68+'10.TMKK'!H68+'11.Rendelő'!H68</f>
        <v>0</v>
      </c>
      <c r="I68" s="1526">
        <f>'6.Polg_Hivatal'!I68+'7.TIK'!I68+'8.Humán'!I68+'9.Óvoda'!I68+'10.TMKK'!I68+'11.Rendelő'!I68</f>
        <v>0</v>
      </c>
      <c r="J68" s="339">
        <f>'6.Polg_Hivatal'!J68+'7.TIK'!J68+'8.Humán'!J68+'9.Óvoda'!J68+'10.TMKK'!J68+'11.Rendelő'!J68</f>
        <v>0</v>
      </c>
      <c r="K68" s="1489">
        <f>'6.Polg_Hivatal'!K68+'7.TIK'!K68+'8.Humán'!K68+'9.Óvoda'!K68+'10.TMKK'!K68+'11.Rendelő'!K68</f>
        <v>0</v>
      </c>
      <c r="L68" s="1521" t="str">
        <f t="shared" si="9"/>
        <v/>
      </c>
    </row>
    <row r="69" spans="1:14" ht="12.2" customHeight="1" thickBot="1" x14ac:dyDescent="0.25">
      <c r="A69" s="653" t="s">
        <v>318</v>
      </c>
      <c r="B69" s="521" t="s">
        <v>238</v>
      </c>
      <c r="C69" s="339">
        <f>'6.Polg_Hivatal'!C69+'7.TIK'!C69+'8.Humán'!C69+'9.Óvoda'!C69+'10.TMKK'!C69+'11.Rendelő'!C69</f>
        <v>0</v>
      </c>
      <c r="D69" s="323">
        <f>'6.Polg_Hivatal'!D69+'7.TIK'!D69+'8.Humán'!D69+'9.Óvoda'!D69+'10.TMKK'!D69+'11.Rendelő'!D69</f>
        <v>0</v>
      </c>
      <c r="E69" s="339">
        <f>'6.Polg_Hivatal'!E69+'7.TIK'!E69+'8.Humán'!E69+'9.Óvoda'!E69+'10.TMKK'!E69+'11.Rendelő'!E69</f>
        <v>0</v>
      </c>
      <c r="F69" s="339">
        <f>'6.Polg_Hivatal'!F69+'7.TIK'!F69+'8.Humán'!F69+'9.Óvoda'!F69+'10.TMKK'!F69+'11.Rendelő'!F69</f>
        <v>0</v>
      </c>
      <c r="G69" s="339">
        <f>'6.Polg_Hivatal'!G69+'7.TIK'!G69+'8.Humán'!G69+'9.Óvoda'!G69+'10.TMKK'!G69+'11.Rendelő'!G69</f>
        <v>0</v>
      </c>
      <c r="H69" s="503">
        <f>'6.Polg_Hivatal'!H69+'7.TIK'!H69+'8.Humán'!H69+'9.Óvoda'!H69+'10.TMKK'!H69+'11.Rendelő'!H69</f>
        <v>0</v>
      </c>
      <c r="I69" s="1526">
        <f>'6.Polg_Hivatal'!I69+'7.TIK'!I69+'8.Humán'!I69+'9.Óvoda'!I69+'10.TMKK'!I69+'11.Rendelő'!I69</f>
        <v>0</v>
      </c>
      <c r="J69" s="339">
        <f>'6.Polg_Hivatal'!J69+'7.TIK'!J69+'8.Humán'!J69+'9.Óvoda'!J69+'10.TMKK'!J69+'11.Rendelő'!J69</f>
        <v>0</v>
      </c>
      <c r="K69" s="1489">
        <f>'6.Polg_Hivatal'!K69+'7.TIK'!K69+'8.Humán'!K69+'9.Óvoda'!K69+'10.TMKK'!K69+'11.Rendelő'!K69</f>
        <v>0</v>
      </c>
      <c r="L69" s="1521" t="str">
        <f t="shared" si="9"/>
        <v/>
      </c>
      <c r="N69" s="18"/>
    </row>
    <row r="70" spans="1:14" ht="15" customHeight="1" thickBot="1" x14ac:dyDescent="0.25">
      <c r="A70" s="197" t="s">
        <v>14</v>
      </c>
      <c r="B70" s="67" t="s">
        <v>176</v>
      </c>
      <c r="C70" s="135">
        <f>+C53+C62</f>
        <v>5094117548</v>
      </c>
      <c r="D70" s="134">
        <f t="shared" ref="D70:K70" si="12">+D53+D62</f>
        <v>5247153731</v>
      </c>
      <c r="E70" s="135">
        <f t="shared" si="12"/>
        <v>5977201757</v>
      </c>
      <c r="F70" s="135">
        <f t="shared" si="12"/>
        <v>5977201757</v>
      </c>
      <c r="G70" s="135">
        <f t="shared" si="12"/>
        <v>3545399</v>
      </c>
      <c r="H70" s="176">
        <f t="shared" si="12"/>
        <v>733587089</v>
      </c>
      <c r="I70" s="1528" t="e">
        <f t="shared" si="12"/>
        <v>#REF!</v>
      </c>
      <c r="J70" s="135">
        <f t="shared" si="12"/>
        <v>4195512963</v>
      </c>
      <c r="K70" s="1507" t="e">
        <f t="shared" si="12"/>
        <v>#REF!</v>
      </c>
      <c r="L70" s="1523">
        <f t="shared" si="9"/>
        <v>70.191924809741707</v>
      </c>
    </row>
    <row r="71" spans="1:14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139" t="str">
        <f t="shared" si="9"/>
        <v/>
      </c>
    </row>
    <row r="72" spans="1:14" s="602" customFormat="1" ht="15" customHeight="1" thickBot="1" x14ac:dyDescent="0.25">
      <c r="A72" s="1035" t="s">
        <v>290</v>
      </c>
      <c r="B72" s="1036"/>
      <c r="C72" s="598">
        <f>'6.Polg_Hivatal'!C72+'7.TIK'!C72+'8.Humán'!C72+'9.Óvoda'!C72+'10.TMKK'!C72+'11.Rendelő'!C72</f>
        <v>579</v>
      </c>
      <c r="D72" s="599">
        <f>'6.Polg_Hivatal'!D72+'7.TIK'!D72+'8.Humán'!D72+'9.Óvoda'!D72+'10.TMKK'!D72+'11.Rendelő'!D72</f>
        <v>576</v>
      </c>
      <c r="E72" s="598">
        <f>'6.Polg_Hivatal'!E72+'7.TIK'!E72+'8.Humán'!E72+'9.Óvoda'!E72+'10.TMKK'!E72+'11.Rendelő'!E72</f>
        <v>567</v>
      </c>
      <c r="F72" s="598">
        <f>'6.Polg_Hivatal'!F72+'7.TIK'!F72+'8.Humán'!F72+'9.Óvoda'!F72+'10.TMKK'!F72+'11.Rendelő'!F72</f>
        <v>567</v>
      </c>
      <c r="G72" s="598">
        <f>'6.Polg_Hivatal'!G72+'7.TIK'!G72+'8.Humán'!G72+'9.Óvoda'!G72+'10.TMKK'!G72+'11.Rendelő'!G72</f>
        <v>0</v>
      </c>
      <c r="H72" s="1020">
        <f>'6.Polg_Hivatal'!H72+'7.TIK'!H72+'8.Humán'!H72+'9.Óvoda'!H72+'10.TMKK'!H72+'11.Rendelő'!H72</f>
        <v>-9</v>
      </c>
      <c r="I72" s="1486">
        <f>'6.Polg_Hivatal'!I72+'7.TIK'!I72+'8.Humán'!I72+'9.Óvoda'!I72+'10.TMKK'!I72+'11.Rendelő'!I72</f>
        <v>0</v>
      </c>
      <c r="J72" s="598">
        <f>'6.Polg_Hivatal'!J72+'7.TIK'!J72+'8.Humán'!J72+'9.Óvoda'!J72+'10.TMKK'!J72+'11.Rendelő'!J72</f>
        <v>549</v>
      </c>
      <c r="K72" s="615">
        <f>'6.Polg_Hivatal'!K72+'7.TIK'!K72+'8.Humán'!K72+'9.Óvoda'!K72+'10.TMKK'!K72+'11.Rendelő'!K72</f>
        <v>0</v>
      </c>
      <c r="L72" s="1487">
        <f t="shared" si="9"/>
        <v>96.825396825396822</v>
      </c>
    </row>
    <row r="73" spans="1:14" s="602" customFormat="1" ht="14.25" hidden="1" customHeight="1" thickBot="1" x14ac:dyDescent="0.25">
      <c r="A73" s="596" t="s">
        <v>291</v>
      </c>
      <c r="B73" s="597"/>
      <c r="C73" s="654">
        <f>'6.Polg_Hivatal'!C73+'7.TIK'!C73+'8.Humán'!C73+'9.Óvoda'!C73+'10.TMKK'!C73+'11.Rendelő'!C73</f>
        <v>0</v>
      </c>
      <c r="D73" s="612">
        <f>'6.Polg_Hivatal'!D73+'7.TIK'!D73+'8.Humán'!D73+'9.Óvoda'!D73+'10.TMKK'!D73+'11.Rendelő'!D73</f>
        <v>0</v>
      </c>
      <c r="E73" s="603">
        <f>'6.Polg_Hivatal'!E73+'7.TIK'!E73+'8.Humán'!E73+'9.Óvoda'!E73+'10.TMKK'!E73+'11.Rendelő'!E73</f>
        <v>0</v>
      </c>
      <c r="F73" s="603">
        <f>'6.Polg_Hivatal'!F73+'7.TIK'!F73+'8.Humán'!F73+'9.Óvoda'!F73+'10.TMKK'!F73+'11.Rendelő'!F73</f>
        <v>0</v>
      </c>
      <c r="G73" s="603">
        <f>'6.Polg_Hivatal'!G73+'7.TIK'!G73+'8.Humán'!G73+'9.Óvoda'!G73+'10.TMKK'!G73+'11.Rendelő'!G73</f>
        <v>0</v>
      </c>
      <c r="H73" s="632">
        <f>'6.Polg_Hivatal'!H73+'7.TIK'!H73+'8.Humán'!H73+'9.Óvoda'!H73+'10.TMKK'!H73+'11.Rendelő'!H73</f>
        <v>0</v>
      </c>
      <c r="I73" s="633">
        <f>'6.Polg_Hivatal'!I73+'7.TIK'!I73+'8.Humán'!I73+'9.Óvoda'!I73+'10.TMKK'!I73+'11.Rendelő'!I73</f>
        <v>0</v>
      </c>
      <c r="J73" s="631">
        <f>'6.Polg_Hivatal'!J73+'7.TIK'!J73+'8.Humán'!J73+'9.Óvoda'!J73+'10.TMKK'!J73+'11.Rendelő'!J73</f>
        <v>0</v>
      </c>
      <c r="K73" s="633">
        <f>'6.Polg_Hivatal'!K73+'7.TIK'!K73+'8.Humán'!K73+'9.Óvoda'!K73+'10.TMKK'!K73+'11.Rendelő'!K73</f>
        <v>0</v>
      </c>
      <c r="L73" s="601" t="e">
        <f>I73/D73*100</f>
        <v>#DIV/0!</v>
      </c>
    </row>
    <row r="74" spans="1:14" x14ac:dyDescent="0.2">
      <c r="H74" s="163"/>
    </row>
  </sheetData>
  <sheetProtection formatCells="0"/>
  <mergeCells count="9">
    <mergeCell ref="A9:L9"/>
    <mergeCell ref="A50:L50"/>
    <mergeCell ref="A51:L51"/>
    <mergeCell ref="A1:L1"/>
    <mergeCell ref="A2:H2"/>
    <mergeCell ref="A3:L3"/>
    <mergeCell ref="C4:L4"/>
    <mergeCell ref="C5:L5"/>
    <mergeCell ref="A6:L6"/>
  </mergeCells>
  <phoneticPr fontId="45" type="noConversion"/>
  <printOptions horizontalCentered="1"/>
  <pageMargins left="0.39370078740157483" right="0.39370078740157483" top="0.39370078740157483" bottom="0.39370078740157483" header="0.78740157480314965" footer="0.78740157480314965"/>
  <pageSetup paperSize="9" scale="70" orientation="portrait" r:id="rId1"/>
  <headerFooter alignWithMargins="0"/>
  <colBreaks count="1" manualBreakCount="1">
    <brk id="12" max="104857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9"/>
  <dimension ref="A1:F16"/>
  <sheetViews>
    <sheetView workbookViewId="0">
      <selection activeCell="A8" sqref="A8"/>
    </sheetView>
  </sheetViews>
  <sheetFormatPr defaultRowHeight="12.75" x14ac:dyDescent="0.2"/>
  <sheetData>
    <row r="1" spans="1:6" ht="16.5" x14ac:dyDescent="0.25">
      <c r="A1" s="1" t="s">
        <v>59</v>
      </c>
    </row>
    <row r="2" spans="1:6" ht="16.5" x14ac:dyDescent="0.25">
      <c r="A2" s="2" t="s">
        <v>60</v>
      </c>
    </row>
    <row r="3" spans="1:6" ht="16.5" x14ac:dyDescent="0.25">
      <c r="A3" s="2" t="s">
        <v>55</v>
      </c>
    </row>
    <row r="4" spans="1:6" ht="16.5" x14ac:dyDescent="0.25">
      <c r="A4" s="4"/>
    </row>
    <row r="5" spans="1:6" ht="16.5" x14ac:dyDescent="0.25">
      <c r="A5" s="4"/>
    </row>
    <row r="6" spans="1:6" ht="49.5" x14ac:dyDescent="0.25">
      <c r="A6" s="1932" t="s">
        <v>54</v>
      </c>
      <c r="B6" s="1932" t="s">
        <v>61</v>
      </c>
      <c r="C6" s="5" t="s">
        <v>62</v>
      </c>
      <c r="D6" s="5" t="s">
        <v>64</v>
      </c>
      <c r="E6" s="1932" t="s">
        <v>65</v>
      </c>
      <c r="F6" s="1932" t="s">
        <v>56</v>
      </c>
    </row>
    <row r="7" spans="1:6" ht="16.5" x14ac:dyDescent="0.25">
      <c r="A7" s="1933"/>
      <c r="B7" s="1933"/>
      <c r="C7" s="6" t="s">
        <v>63</v>
      </c>
      <c r="D7" s="6" t="s">
        <v>63</v>
      </c>
      <c r="E7" s="1933"/>
      <c r="F7" s="1933"/>
    </row>
    <row r="8" spans="1:6" ht="82.5" x14ac:dyDescent="0.2">
      <c r="A8" s="7" t="s">
        <v>66</v>
      </c>
      <c r="B8" s="8">
        <v>16</v>
      </c>
      <c r="C8" s="8">
        <v>3</v>
      </c>
      <c r="D8" s="8">
        <v>4</v>
      </c>
      <c r="E8" s="8">
        <v>8</v>
      </c>
      <c r="F8" s="8">
        <v>31</v>
      </c>
    </row>
    <row r="9" spans="1:6" ht="181.5" x14ac:dyDescent="0.2">
      <c r="A9" s="7" t="s">
        <v>67</v>
      </c>
      <c r="B9" s="8">
        <v>52</v>
      </c>
      <c r="C9" s="8">
        <v>4</v>
      </c>
      <c r="D9" s="8">
        <v>13</v>
      </c>
      <c r="E9" s="8">
        <v>5</v>
      </c>
      <c r="F9" s="8">
        <v>78</v>
      </c>
    </row>
    <row r="10" spans="1:6" ht="148.5" x14ac:dyDescent="0.2">
      <c r="A10" s="7" t="s">
        <v>57</v>
      </c>
      <c r="B10" s="8">
        <v>18</v>
      </c>
      <c r="C10" s="8">
        <v>14</v>
      </c>
      <c r="D10" s="8">
        <v>8</v>
      </c>
      <c r="E10" s="8">
        <v>9</v>
      </c>
      <c r="F10" s="8">
        <v>49</v>
      </c>
    </row>
    <row r="11" spans="1:6" ht="66" x14ac:dyDescent="0.2">
      <c r="A11" s="7" t="s">
        <v>42</v>
      </c>
      <c r="B11" s="8">
        <v>7</v>
      </c>
      <c r="C11" s="8">
        <v>1</v>
      </c>
      <c r="D11" s="8">
        <v>2</v>
      </c>
      <c r="E11" s="8">
        <v>2</v>
      </c>
      <c r="F11" s="8">
        <v>12</v>
      </c>
    </row>
    <row r="12" spans="1:6" ht="165" x14ac:dyDescent="0.2">
      <c r="A12" s="7" t="s">
        <v>58</v>
      </c>
      <c r="B12" s="8">
        <v>2</v>
      </c>
      <c r="C12" s="8">
        <v>2</v>
      </c>
      <c r="D12" s="8">
        <v>3</v>
      </c>
      <c r="E12" s="8">
        <v>3</v>
      </c>
      <c r="F12" s="8">
        <v>10</v>
      </c>
    </row>
    <row r="13" spans="1:6" ht="82.5" x14ac:dyDescent="0.2">
      <c r="A13" s="7" t="s">
        <v>41</v>
      </c>
      <c r="B13" s="8">
        <v>1</v>
      </c>
      <c r="C13" s="8">
        <v>6</v>
      </c>
      <c r="D13" s="8">
        <v>3</v>
      </c>
      <c r="E13" s="8">
        <v>8</v>
      </c>
      <c r="F13" s="8">
        <v>18</v>
      </c>
    </row>
    <row r="14" spans="1:6" ht="66" x14ac:dyDescent="0.2">
      <c r="A14" s="7" t="s">
        <v>43</v>
      </c>
      <c r="B14" s="8">
        <v>6</v>
      </c>
      <c r="C14" s="8">
        <v>5</v>
      </c>
      <c r="D14" s="8">
        <v>4</v>
      </c>
      <c r="E14" s="8">
        <v>13</v>
      </c>
      <c r="F14" s="8">
        <v>28</v>
      </c>
    </row>
    <row r="15" spans="1:6" ht="33" x14ac:dyDescent="0.2">
      <c r="A15" s="9" t="s">
        <v>56</v>
      </c>
      <c r="B15" s="10">
        <v>102</v>
      </c>
      <c r="C15" s="10">
        <v>35</v>
      </c>
      <c r="D15" s="10">
        <v>37</v>
      </c>
      <c r="E15" s="10">
        <v>48</v>
      </c>
      <c r="F15" s="10">
        <v>226</v>
      </c>
    </row>
    <row r="16" spans="1:6" ht="16.5" x14ac:dyDescent="0.25">
      <c r="A16" s="3"/>
    </row>
  </sheetData>
  <mergeCells count="4">
    <mergeCell ref="A6:A7"/>
    <mergeCell ref="B6:B7"/>
    <mergeCell ref="E6:E7"/>
    <mergeCell ref="F6:F7"/>
  </mergeCells>
  <phoneticPr fontId="0" type="noConversion"/>
  <pageMargins left="0.75" right="0.75" top="1" bottom="1" header="0.5" footer="0.5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50"/>
  <dimension ref="A1:F16"/>
  <sheetViews>
    <sheetView workbookViewId="0">
      <selection sqref="A1:F16"/>
    </sheetView>
  </sheetViews>
  <sheetFormatPr defaultRowHeight="12.75" x14ac:dyDescent="0.2"/>
  <sheetData>
    <row r="1" spans="1:6" ht="16.5" x14ac:dyDescent="0.25">
      <c r="A1" s="1" t="s">
        <v>59</v>
      </c>
    </row>
    <row r="2" spans="1:6" ht="16.5" x14ac:dyDescent="0.25">
      <c r="A2" s="2" t="s">
        <v>60</v>
      </c>
    </row>
    <row r="3" spans="1:6" ht="16.5" x14ac:dyDescent="0.25">
      <c r="A3" s="2" t="s">
        <v>55</v>
      </c>
    </row>
    <row r="4" spans="1:6" ht="16.5" x14ac:dyDescent="0.25">
      <c r="A4" s="4"/>
    </row>
    <row r="5" spans="1:6" ht="16.5" x14ac:dyDescent="0.25">
      <c r="A5" s="4"/>
    </row>
    <row r="6" spans="1:6" ht="49.5" x14ac:dyDescent="0.25">
      <c r="A6" s="1932" t="s">
        <v>54</v>
      </c>
      <c r="B6" s="1932" t="s">
        <v>61</v>
      </c>
      <c r="C6" s="5" t="s">
        <v>62</v>
      </c>
      <c r="D6" s="5" t="s">
        <v>64</v>
      </c>
      <c r="E6" s="1932" t="s">
        <v>65</v>
      </c>
      <c r="F6" s="1932" t="s">
        <v>56</v>
      </c>
    </row>
    <row r="7" spans="1:6" ht="16.5" x14ac:dyDescent="0.25">
      <c r="A7" s="1933"/>
      <c r="B7" s="1933"/>
      <c r="C7" s="6" t="s">
        <v>63</v>
      </c>
      <c r="D7" s="6" t="s">
        <v>63</v>
      </c>
      <c r="E7" s="1933"/>
      <c r="F7" s="1933"/>
    </row>
    <row r="8" spans="1:6" ht="82.5" x14ac:dyDescent="0.2">
      <c r="A8" s="7" t="s">
        <v>66</v>
      </c>
      <c r="B8" s="8">
        <v>16</v>
      </c>
      <c r="C8" s="8">
        <v>3</v>
      </c>
      <c r="D8" s="8">
        <v>4</v>
      </c>
      <c r="E8" s="8">
        <v>8</v>
      </c>
      <c r="F8" s="8">
        <v>31</v>
      </c>
    </row>
    <row r="9" spans="1:6" ht="181.5" x14ac:dyDescent="0.2">
      <c r="A9" s="7" t="s">
        <v>67</v>
      </c>
      <c r="B9" s="8">
        <v>52</v>
      </c>
      <c r="C9" s="8">
        <v>4</v>
      </c>
      <c r="D9" s="8">
        <v>13</v>
      </c>
      <c r="E9" s="8">
        <v>5</v>
      </c>
      <c r="F9" s="8">
        <v>78</v>
      </c>
    </row>
    <row r="10" spans="1:6" ht="148.5" x14ac:dyDescent="0.2">
      <c r="A10" s="7" t="s">
        <v>57</v>
      </c>
      <c r="B10" s="8">
        <v>18</v>
      </c>
      <c r="C10" s="8">
        <v>14</v>
      </c>
      <c r="D10" s="8">
        <v>8</v>
      </c>
      <c r="E10" s="8">
        <v>9</v>
      </c>
      <c r="F10" s="8">
        <v>49</v>
      </c>
    </row>
    <row r="11" spans="1:6" ht="66" x14ac:dyDescent="0.2">
      <c r="A11" s="7" t="s">
        <v>42</v>
      </c>
      <c r="B11" s="8">
        <v>7</v>
      </c>
      <c r="C11" s="8">
        <v>1</v>
      </c>
      <c r="D11" s="8">
        <v>2</v>
      </c>
      <c r="E11" s="8">
        <v>2</v>
      </c>
      <c r="F11" s="8">
        <v>12</v>
      </c>
    </row>
    <row r="12" spans="1:6" ht="165" x14ac:dyDescent="0.2">
      <c r="A12" s="7" t="s">
        <v>58</v>
      </c>
      <c r="B12" s="8">
        <v>2</v>
      </c>
      <c r="C12" s="8">
        <v>2</v>
      </c>
      <c r="D12" s="8">
        <v>3</v>
      </c>
      <c r="E12" s="8">
        <v>3</v>
      </c>
      <c r="F12" s="8">
        <v>10</v>
      </c>
    </row>
    <row r="13" spans="1:6" ht="82.5" x14ac:dyDescent="0.2">
      <c r="A13" s="7" t="s">
        <v>41</v>
      </c>
      <c r="B13" s="8">
        <v>1</v>
      </c>
      <c r="C13" s="8">
        <v>6</v>
      </c>
      <c r="D13" s="8">
        <v>3</v>
      </c>
      <c r="E13" s="8">
        <v>8</v>
      </c>
      <c r="F13" s="8">
        <v>18</v>
      </c>
    </row>
    <row r="14" spans="1:6" ht="66" x14ac:dyDescent="0.2">
      <c r="A14" s="7" t="s">
        <v>43</v>
      </c>
      <c r="B14" s="8">
        <v>6</v>
      </c>
      <c r="C14" s="8">
        <v>5</v>
      </c>
      <c r="D14" s="8">
        <v>4</v>
      </c>
      <c r="E14" s="8">
        <v>13</v>
      </c>
      <c r="F14" s="8">
        <v>28</v>
      </c>
    </row>
    <row r="15" spans="1:6" ht="33" x14ac:dyDescent="0.2">
      <c r="A15" s="9" t="s">
        <v>56</v>
      </c>
      <c r="B15" s="10">
        <v>102</v>
      </c>
      <c r="C15" s="10">
        <v>35</v>
      </c>
      <c r="D15" s="10">
        <v>37</v>
      </c>
      <c r="E15" s="10">
        <v>48</v>
      </c>
      <c r="F15" s="10">
        <v>226</v>
      </c>
    </row>
    <row r="16" spans="1:6" ht="16.5" x14ac:dyDescent="0.25">
      <c r="A16" s="3"/>
    </row>
  </sheetData>
  <mergeCells count="4">
    <mergeCell ref="A6:A7"/>
    <mergeCell ref="B6:B7"/>
    <mergeCell ref="E6:E7"/>
    <mergeCell ref="F6:F7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view="pageBreakPreview" zoomScale="112" zoomScaleNormal="130" zoomScaleSheetLayoutView="112" workbookViewId="0">
      <selection activeCell="F13" sqref="F13"/>
    </sheetView>
  </sheetViews>
  <sheetFormatPr defaultColWidth="9.33203125" defaultRowHeight="12.75" x14ac:dyDescent="0.2"/>
  <cols>
    <col min="1" max="1" width="13.83203125" style="1414" customWidth="1"/>
    <col min="2" max="2" width="67.5" style="25" customWidth="1"/>
    <col min="3" max="3" width="15.1640625" style="25" customWidth="1"/>
    <col min="4" max="4" width="15.83203125" style="25" hidden="1" customWidth="1"/>
    <col min="5" max="5" width="15.5" style="25" customWidth="1"/>
    <col min="6" max="6" width="16.1640625" style="25" customWidth="1"/>
    <col min="7" max="9" width="15.83203125" style="25" hidden="1" customWidth="1"/>
    <col min="10" max="10" width="15.83203125" style="25" customWidth="1"/>
    <col min="11" max="11" width="15.83203125" style="25" hidden="1" customWidth="1"/>
    <col min="12" max="12" width="9.1640625" style="140" customWidth="1"/>
    <col min="13" max="13" width="9.33203125" style="25" customWidth="1"/>
    <col min="14" max="14" width="14.33203125" style="25" bestFit="1" customWidth="1"/>
    <col min="15" max="16384" width="9.33203125" style="25"/>
  </cols>
  <sheetData>
    <row r="1" spans="1:12" ht="12.75" customHeight="1" x14ac:dyDescent="0.2">
      <c r="A1" s="1773" t="s">
        <v>818</v>
      </c>
      <c r="B1" s="1773"/>
      <c r="C1" s="1773"/>
      <c r="D1" s="1773"/>
      <c r="E1" s="1773"/>
      <c r="F1" s="1773"/>
      <c r="G1" s="1773"/>
      <c r="H1" s="1773"/>
      <c r="I1" s="1773"/>
      <c r="J1" s="1773"/>
      <c r="K1" s="1773"/>
      <c r="L1" s="1773"/>
    </row>
    <row r="2" spans="1:12" ht="12.75" customHeight="1" x14ac:dyDescent="0.2">
      <c r="A2" s="1773"/>
      <c r="B2" s="1773"/>
      <c r="C2" s="1773"/>
      <c r="D2" s="1773"/>
      <c r="E2" s="1773"/>
      <c r="F2" s="1773"/>
      <c r="G2" s="1773"/>
      <c r="H2" s="1773"/>
      <c r="I2" s="83"/>
      <c r="J2" s="83"/>
      <c r="K2" s="83"/>
      <c r="L2" s="142"/>
    </row>
    <row r="3" spans="1:12" s="24" customFormat="1" ht="21.2" customHeight="1" thickBot="1" x14ac:dyDescent="0.25">
      <c r="A3" s="1773"/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</row>
    <row r="4" spans="1:12" s="38" customFormat="1" ht="35.450000000000003" customHeight="1" x14ac:dyDescent="0.2">
      <c r="A4" s="36" t="s">
        <v>137</v>
      </c>
      <c r="B4" s="37" t="s">
        <v>135</v>
      </c>
      <c r="C4" s="1806" t="s">
        <v>185</v>
      </c>
      <c r="D4" s="1807"/>
      <c r="E4" s="1807"/>
      <c r="F4" s="1807"/>
      <c r="G4" s="1807"/>
      <c r="H4" s="1807"/>
      <c r="I4" s="1807"/>
      <c r="J4" s="1807"/>
      <c r="K4" s="1807"/>
      <c r="L4" s="1808"/>
    </row>
    <row r="5" spans="1:12" s="38" customFormat="1" ht="24.75" thickBot="1" x14ac:dyDescent="0.25">
      <c r="A5" s="39" t="s">
        <v>139</v>
      </c>
      <c r="B5" s="40" t="s">
        <v>140</v>
      </c>
      <c r="C5" s="1809" t="s">
        <v>141</v>
      </c>
      <c r="D5" s="1810"/>
      <c r="E5" s="1810"/>
      <c r="F5" s="1810"/>
      <c r="G5" s="1810"/>
      <c r="H5" s="1810"/>
      <c r="I5" s="1810"/>
      <c r="J5" s="1810"/>
      <c r="K5" s="1810"/>
      <c r="L5" s="1811"/>
    </row>
    <row r="6" spans="1:12" s="41" customFormat="1" ht="15.95" customHeight="1" thickBot="1" x14ac:dyDescent="0.3">
      <c r="A6" s="1812" t="s">
        <v>362</v>
      </c>
      <c r="B6" s="1812"/>
      <c r="C6" s="1812" t="s">
        <v>362</v>
      </c>
      <c r="D6" s="1812"/>
      <c r="E6" s="1812"/>
      <c r="F6" s="1812"/>
      <c r="G6" s="1812"/>
      <c r="H6" s="1812"/>
      <c r="I6" s="1812"/>
      <c r="J6" s="1812"/>
      <c r="K6" s="1812"/>
      <c r="L6" s="1812"/>
    </row>
    <row r="7" spans="1:12" ht="48.75" customHeight="1" thickBot="1" x14ac:dyDescent="0.25">
      <c r="A7" s="1413" t="s">
        <v>142</v>
      </c>
      <c r="B7" s="42" t="s">
        <v>36</v>
      </c>
      <c r="C7" s="42" t="str">
        <f>'1. mell.bevétel_össz'!C8</f>
        <v>2023. évi eredeti előirányzat
2/2023. (II.14.)</v>
      </c>
      <c r="D7" s="191" t="str">
        <f>'1. mell.bevétel_össz'!D8</f>
        <v>Módosított előirányzat a 14/2023.  (VI.29.)  rendelet szerint</v>
      </c>
      <c r="E7" s="42" t="str">
        <f>'1. mell.bevétel_össz'!E8</f>
        <v>Módosított előirányzat a 18/2023. (IX.26.)  rendelet szerint</v>
      </c>
      <c r="F7" s="42" t="str">
        <f>'1. mell.bevétel_össz'!F8</f>
        <v>Módosított előirányzat 2023.09.30-án</v>
      </c>
      <c r="G7" s="1492" t="str">
        <f>'1. mell.bevétel_össz'!G8</f>
        <v>Módosított előirányzat a …../2023. (II…..)  rendelet szerint</v>
      </c>
      <c r="H7" s="179" t="str">
        <f>'1. mell.bevétel_össz'!H8</f>
        <v>Változás a 14/2023. (VI.29.) rendelethez képest</v>
      </c>
      <c r="I7" s="1453" t="str">
        <f>'1. mell.bevétel_össz'!I8</f>
        <v>2023. évi teljesítés              2023.06.30-ig</v>
      </c>
      <c r="J7" s="42" t="str">
        <f>'1. mell.bevétel_össz'!J8</f>
        <v>2023. évi teljesítés              2023.09.30-ig</v>
      </c>
      <c r="K7" s="1453" t="str">
        <f>'1. mell.bevétel_össz'!K8</f>
        <v>2023. évi teljesítés              2023.12.31-ig</v>
      </c>
      <c r="L7" s="1464" t="str">
        <f>'1. mell.bevétel_össz'!L8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989" t="s">
        <v>299</v>
      </c>
      <c r="D8" s="182" t="s">
        <v>300</v>
      </c>
      <c r="E8" s="44" t="s">
        <v>300</v>
      </c>
      <c r="F8" s="44" t="s">
        <v>301</v>
      </c>
      <c r="G8" s="44" t="s">
        <v>424</v>
      </c>
      <c r="H8" s="180" t="s">
        <v>388</v>
      </c>
      <c r="I8" s="1415" t="s">
        <v>299</v>
      </c>
      <c r="J8" s="44" t="s">
        <v>388</v>
      </c>
      <c r="K8" s="620" t="s">
        <v>299</v>
      </c>
      <c r="L8" s="137" t="s">
        <v>424</v>
      </c>
    </row>
    <row r="9" spans="1:12" s="46" customFormat="1" ht="15.95" customHeight="1" thickBot="1" x14ac:dyDescent="0.25">
      <c r="A9" s="1801" t="s">
        <v>11</v>
      </c>
      <c r="B9" s="1802"/>
      <c r="C9" s="1802"/>
      <c r="D9" s="1802"/>
      <c r="E9" s="1802"/>
      <c r="F9" s="1802"/>
      <c r="G9" s="1802"/>
      <c r="H9" s="1802"/>
      <c r="I9" s="1802"/>
      <c r="J9" s="1802"/>
      <c r="K9" s="1802"/>
      <c r="L9" s="1802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>SUM(C11:C21)</f>
        <v>2780200</v>
      </c>
      <c r="D10" s="127">
        <f t="shared" ref="D10:K10" si="0">SUM(D11:D21)</f>
        <v>2780200</v>
      </c>
      <c r="E10" s="89">
        <f t="shared" si="0"/>
        <v>5245200</v>
      </c>
      <c r="F10" s="89">
        <f t="shared" si="0"/>
        <v>5245200</v>
      </c>
      <c r="G10" s="582">
        <f t="shared" si="0"/>
        <v>0</v>
      </c>
      <c r="H10" s="48">
        <f>+E10-D10</f>
        <v>2465000</v>
      </c>
      <c r="I10" s="1495">
        <f t="shared" si="0"/>
        <v>0</v>
      </c>
      <c r="J10" s="89">
        <f t="shared" si="0"/>
        <v>6590066</v>
      </c>
      <c r="K10" s="1495">
        <f t="shared" si="0"/>
        <v>0</v>
      </c>
      <c r="L10" s="1509">
        <f t="shared" ref="L10:L48" si="1">IF(F10=0,"",J10/F10*100)</f>
        <v>125.63993746663616</v>
      </c>
    </row>
    <row r="11" spans="1:12" s="26" customFormat="1" ht="12.2" customHeight="1" x14ac:dyDescent="0.2">
      <c r="A11" s="49" t="s">
        <v>91</v>
      </c>
      <c r="B11" s="50" t="s">
        <v>143</v>
      </c>
      <c r="C11" s="128"/>
      <c r="D11" s="192"/>
      <c r="E11" s="128"/>
      <c r="F11" s="128"/>
      <c r="G11" s="583"/>
      <c r="H11" s="51">
        <f t="shared" ref="H11:H48" si="2">+E11-D11</f>
        <v>0</v>
      </c>
      <c r="I11" s="1496"/>
      <c r="J11" s="128"/>
      <c r="K11" s="1496"/>
      <c r="L11" s="1510" t="str">
        <f t="shared" si="1"/>
        <v/>
      </c>
    </row>
    <row r="12" spans="1:12" s="26" customFormat="1" ht="12.2" customHeight="1" x14ac:dyDescent="0.2">
      <c r="A12" s="1037" t="s">
        <v>92</v>
      </c>
      <c r="B12" s="330" t="s">
        <v>144</v>
      </c>
      <c r="C12" s="331"/>
      <c r="D12" s="340"/>
      <c r="E12" s="331"/>
      <c r="F12" s="331"/>
      <c r="G12" s="88"/>
      <c r="H12" s="332">
        <f t="shared" si="2"/>
        <v>0</v>
      </c>
      <c r="I12" s="1497"/>
      <c r="J12" s="331">
        <v>8000</v>
      </c>
      <c r="K12" s="1497"/>
      <c r="L12" s="1511" t="str">
        <f t="shared" si="1"/>
        <v/>
      </c>
    </row>
    <row r="13" spans="1:12" s="26" customFormat="1" ht="12.2" customHeight="1" x14ac:dyDescent="0.2">
      <c r="A13" s="1037" t="s">
        <v>93</v>
      </c>
      <c r="B13" s="330" t="s">
        <v>145</v>
      </c>
      <c r="C13" s="331">
        <v>1792000</v>
      </c>
      <c r="D13" s="340">
        <v>1792000</v>
      </c>
      <c r="E13" s="331">
        <f>1792000+2465000</f>
        <v>4257000</v>
      </c>
      <c r="F13" s="1770">
        <v>4257000</v>
      </c>
      <c r="G13" s="88"/>
      <c r="H13" s="332">
        <f t="shared" si="2"/>
        <v>2465000</v>
      </c>
      <c r="I13" s="1497"/>
      <c r="J13" s="331">
        <v>4445294</v>
      </c>
      <c r="K13" s="1497"/>
      <c r="L13" s="1511">
        <f t="shared" si="1"/>
        <v>104.42316185106884</v>
      </c>
    </row>
    <row r="14" spans="1:12" s="26" customFormat="1" ht="12.2" customHeight="1" x14ac:dyDescent="0.2">
      <c r="A14" s="1037" t="s">
        <v>90</v>
      </c>
      <c r="B14" s="330" t="s">
        <v>146</v>
      </c>
      <c r="C14" s="331"/>
      <c r="D14" s="340"/>
      <c r="E14" s="331"/>
      <c r="F14" s="1770"/>
      <c r="G14" s="88"/>
      <c r="H14" s="332">
        <f t="shared" si="2"/>
        <v>0</v>
      </c>
      <c r="I14" s="1497"/>
      <c r="J14" s="331"/>
      <c r="K14" s="1497"/>
      <c r="L14" s="1511" t="str">
        <f t="shared" si="1"/>
        <v/>
      </c>
    </row>
    <row r="15" spans="1:12" s="26" customFormat="1" ht="12.2" customHeight="1" x14ac:dyDescent="0.2">
      <c r="A15" s="1037" t="s">
        <v>147</v>
      </c>
      <c r="B15" s="330" t="s">
        <v>148</v>
      </c>
      <c r="C15" s="331"/>
      <c r="D15" s="340"/>
      <c r="E15" s="331"/>
      <c r="F15" s="1770"/>
      <c r="G15" s="88"/>
      <c r="H15" s="332">
        <f t="shared" si="2"/>
        <v>0</v>
      </c>
      <c r="I15" s="1497"/>
      <c r="J15" s="331"/>
      <c r="K15" s="1497"/>
      <c r="L15" s="1511" t="str">
        <f t="shared" si="1"/>
        <v/>
      </c>
    </row>
    <row r="16" spans="1:12" s="26" customFormat="1" ht="12.2" customHeight="1" x14ac:dyDescent="0.2">
      <c r="A16" s="1037" t="s">
        <v>149</v>
      </c>
      <c r="B16" s="330" t="s">
        <v>150</v>
      </c>
      <c r="C16" s="331">
        <v>448200</v>
      </c>
      <c r="D16" s="340">
        <v>448200</v>
      </c>
      <c r="E16" s="331">
        <v>448200</v>
      </c>
      <c r="F16" s="1770">
        <v>448200</v>
      </c>
      <c r="G16" s="88"/>
      <c r="H16" s="332">
        <f t="shared" si="2"/>
        <v>0</v>
      </c>
      <c r="I16" s="1497"/>
      <c r="J16" s="331">
        <v>1221026</v>
      </c>
      <c r="K16" s="1497"/>
      <c r="L16" s="1511">
        <f t="shared" si="1"/>
        <v>272.42882641677824</v>
      </c>
    </row>
    <row r="17" spans="1:12" s="26" customFormat="1" ht="12.2" customHeight="1" x14ac:dyDescent="0.2">
      <c r="A17" s="1037" t="s">
        <v>151</v>
      </c>
      <c r="B17" s="52" t="s">
        <v>152</v>
      </c>
      <c r="C17" s="331"/>
      <c r="D17" s="340"/>
      <c r="E17" s="331"/>
      <c r="F17" s="331"/>
      <c r="G17" s="88"/>
      <c r="H17" s="332">
        <f t="shared" si="2"/>
        <v>0</v>
      </c>
      <c r="I17" s="1497"/>
      <c r="J17" s="331"/>
      <c r="K17" s="1497"/>
      <c r="L17" s="1511" t="str">
        <f t="shared" si="1"/>
        <v/>
      </c>
    </row>
    <row r="18" spans="1:12" s="26" customFormat="1" ht="12.2" customHeight="1" x14ac:dyDescent="0.2">
      <c r="A18" s="1037" t="s">
        <v>153</v>
      </c>
      <c r="B18" s="345" t="s">
        <v>302</v>
      </c>
      <c r="C18" s="121"/>
      <c r="D18" s="188"/>
      <c r="E18" s="121"/>
      <c r="F18" s="121"/>
      <c r="G18" s="90"/>
      <c r="H18" s="53">
        <f t="shared" si="2"/>
        <v>0</v>
      </c>
      <c r="I18" s="1498"/>
      <c r="J18" s="121"/>
      <c r="K18" s="1498"/>
      <c r="L18" s="1512" t="str">
        <f t="shared" si="1"/>
        <v/>
      </c>
    </row>
    <row r="19" spans="1:12" s="54" customFormat="1" ht="12.2" customHeight="1" x14ac:dyDescent="0.2">
      <c r="A19" s="1037" t="s">
        <v>154</v>
      </c>
      <c r="B19" s="330" t="s">
        <v>155</v>
      </c>
      <c r="C19" s="331"/>
      <c r="D19" s="340"/>
      <c r="E19" s="331"/>
      <c r="F19" s="331"/>
      <c r="G19" s="88"/>
      <c r="H19" s="332">
        <f t="shared" si="2"/>
        <v>0</v>
      </c>
      <c r="I19" s="1497"/>
      <c r="J19" s="331"/>
      <c r="K19" s="1497"/>
      <c r="L19" s="1511" t="str">
        <f t="shared" si="1"/>
        <v/>
      </c>
    </row>
    <row r="20" spans="1:12" s="54" customFormat="1" ht="12.2" customHeight="1" x14ac:dyDescent="0.2">
      <c r="A20" s="1037" t="s">
        <v>156</v>
      </c>
      <c r="B20" s="345" t="s">
        <v>275</v>
      </c>
      <c r="C20" s="331"/>
      <c r="D20" s="341"/>
      <c r="E20" s="333"/>
      <c r="F20" s="1493"/>
      <c r="G20" s="1488"/>
      <c r="H20" s="334">
        <f t="shared" si="2"/>
        <v>0</v>
      </c>
      <c r="I20" s="1499"/>
      <c r="J20" s="1493"/>
      <c r="K20" s="1499"/>
      <c r="L20" s="1513" t="str">
        <f t="shared" si="1"/>
        <v/>
      </c>
    </row>
    <row r="21" spans="1:12" s="54" customFormat="1" ht="12.2" customHeight="1" thickBot="1" x14ac:dyDescent="0.25">
      <c r="A21" s="1037" t="s">
        <v>276</v>
      </c>
      <c r="B21" s="52" t="s">
        <v>157</v>
      </c>
      <c r="C21" s="331">
        <v>540000</v>
      </c>
      <c r="D21" s="341">
        <v>540000</v>
      </c>
      <c r="E21" s="333">
        <v>540000</v>
      </c>
      <c r="F21" s="1493">
        <v>540000</v>
      </c>
      <c r="G21" s="1488"/>
      <c r="H21" s="334">
        <f t="shared" si="2"/>
        <v>0</v>
      </c>
      <c r="I21" s="1499"/>
      <c r="J21" s="1493">
        <v>915746</v>
      </c>
      <c r="K21" s="1499"/>
      <c r="L21" s="1513">
        <f t="shared" si="1"/>
        <v>169.58259259259259</v>
      </c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SUM(C23:C25)</f>
        <v>0</v>
      </c>
      <c r="D22" s="127">
        <f t="shared" ref="D22:K22" si="3">SUM(D23:D25)</f>
        <v>0</v>
      </c>
      <c r="E22" s="89">
        <f t="shared" si="3"/>
        <v>331428</v>
      </c>
      <c r="F22" s="89">
        <f t="shared" si="3"/>
        <v>331428</v>
      </c>
      <c r="G22" s="582">
        <f t="shared" si="3"/>
        <v>0</v>
      </c>
      <c r="H22" s="48">
        <f t="shared" si="2"/>
        <v>331428</v>
      </c>
      <c r="I22" s="1495">
        <f t="shared" si="3"/>
        <v>0</v>
      </c>
      <c r="J22" s="89">
        <f t="shared" si="3"/>
        <v>331428</v>
      </c>
      <c r="K22" s="1495">
        <f t="shared" si="3"/>
        <v>0</v>
      </c>
      <c r="L22" s="1509">
        <f t="shared" si="1"/>
        <v>100</v>
      </c>
    </row>
    <row r="23" spans="1:12" s="54" customFormat="1" ht="12.2" customHeight="1" x14ac:dyDescent="0.2">
      <c r="A23" s="1037" t="s">
        <v>94</v>
      </c>
      <c r="B23" s="17" t="s">
        <v>159</v>
      </c>
      <c r="C23" s="331"/>
      <c r="D23" s="340"/>
      <c r="E23" s="331"/>
      <c r="F23" s="331"/>
      <c r="G23" s="88"/>
      <c r="H23" s="332">
        <f t="shared" si="2"/>
        <v>0</v>
      </c>
      <c r="I23" s="1497"/>
      <c r="J23" s="331"/>
      <c r="K23" s="1497"/>
      <c r="L23" s="1511" t="str">
        <f t="shared" si="1"/>
        <v/>
      </c>
    </row>
    <row r="24" spans="1:12" s="54" customFormat="1" ht="12.2" customHeight="1" x14ac:dyDescent="0.2">
      <c r="A24" s="1037" t="s">
        <v>95</v>
      </c>
      <c r="B24" s="330" t="s">
        <v>160</v>
      </c>
      <c r="C24" s="331"/>
      <c r="D24" s="340"/>
      <c r="E24" s="331"/>
      <c r="F24" s="331"/>
      <c r="G24" s="88"/>
      <c r="H24" s="332">
        <f t="shared" si="2"/>
        <v>0</v>
      </c>
      <c r="I24" s="1497"/>
      <c r="J24" s="331"/>
      <c r="K24" s="1497"/>
      <c r="L24" s="1511" t="str">
        <f t="shared" si="1"/>
        <v/>
      </c>
    </row>
    <row r="25" spans="1:12" s="54" customFormat="1" ht="12.2" customHeight="1" x14ac:dyDescent="0.2">
      <c r="A25" s="1037" t="s">
        <v>96</v>
      </c>
      <c r="B25" s="330" t="s">
        <v>161</v>
      </c>
      <c r="C25" s="331"/>
      <c r="D25" s="340"/>
      <c r="E25" s="331">
        <v>331428</v>
      </c>
      <c r="F25" s="331">
        <v>331428</v>
      </c>
      <c r="G25" s="88"/>
      <c r="H25" s="332">
        <f t="shared" si="2"/>
        <v>331428</v>
      </c>
      <c r="I25" s="1497"/>
      <c r="J25" s="331">
        <v>331428</v>
      </c>
      <c r="K25" s="1497"/>
      <c r="L25" s="1511">
        <f t="shared" si="1"/>
        <v>100</v>
      </c>
    </row>
    <row r="26" spans="1:12" s="54" customFormat="1" ht="12.2" customHeight="1" thickBot="1" x14ac:dyDescent="0.25">
      <c r="A26" s="1037" t="s">
        <v>317</v>
      </c>
      <c r="B26" s="335" t="s">
        <v>233</v>
      </c>
      <c r="C26" s="331"/>
      <c r="D26" s="340"/>
      <c r="E26" s="331"/>
      <c r="F26" s="331"/>
      <c r="G26" s="88"/>
      <c r="H26" s="332">
        <f t="shared" si="2"/>
        <v>0</v>
      </c>
      <c r="I26" s="1497"/>
      <c r="J26" s="331"/>
      <c r="K26" s="1497"/>
      <c r="L26" s="1511" t="str">
        <f t="shared" si="1"/>
        <v/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30"/>
      <c r="D27" s="129"/>
      <c r="E27" s="130"/>
      <c r="F27" s="130"/>
      <c r="G27" s="585"/>
      <c r="H27" s="57">
        <f t="shared" si="2"/>
        <v>0</v>
      </c>
      <c r="I27" s="1500"/>
      <c r="J27" s="130"/>
      <c r="K27" s="1500"/>
      <c r="L27" s="1514" t="str">
        <f t="shared" si="1"/>
        <v/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+C29+C30</f>
        <v>0</v>
      </c>
      <c r="D28" s="127">
        <f t="shared" ref="D28:K28" si="4">+D29+D30</f>
        <v>0</v>
      </c>
      <c r="E28" s="89">
        <f t="shared" si="4"/>
        <v>0</v>
      </c>
      <c r="F28" s="89">
        <f t="shared" si="4"/>
        <v>0</v>
      </c>
      <c r="G28" s="582">
        <f t="shared" si="4"/>
        <v>0</v>
      </c>
      <c r="H28" s="48">
        <f t="shared" si="2"/>
        <v>0</v>
      </c>
      <c r="I28" s="1495">
        <f t="shared" si="4"/>
        <v>0</v>
      </c>
      <c r="J28" s="89">
        <f t="shared" si="4"/>
        <v>0</v>
      </c>
      <c r="K28" s="1495">
        <f t="shared" si="4"/>
        <v>0</v>
      </c>
      <c r="L28" s="1509" t="str">
        <f t="shared" si="1"/>
        <v/>
      </c>
    </row>
    <row r="29" spans="1:12" s="54" customFormat="1" ht="12.2" customHeight="1" x14ac:dyDescent="0.2">
      <c r="A29" s="58" t="s">
        <v>100</v>
      </c>
      <c r="B29" s="59" t="s">
        <v>160</v>
      </c>
      <c r="C29" s="122"/>
      <c r="D29" s="189"/>
      <c r="E29" s="122"/>
      <c r="F29" s="122"/>
      <c r="G29" s="586"/>
      <c r="H29" s="33">
        <f t="shared" si="2"/>
        <v>0</v>
      </c>
      <c r="I29" s="1501"/>
      <c r="J29" s="122"/>
      <c r="K29" s="1501"/>
      <c r="L29" s="1515" t="str">
        <f t="shared" si="1"/>
        <v/>
      </c>
    </row>
    <row r="30" spans="1:12" s="54" customFormat="1" ht="12.2" customHeight="1" x14ac:dyDescent="0.2">
      <c r="A30" s="58" t="s">
        <v>101</v>
      </c>
      <c r="B30" s="336" t="s">
        <v>163</v>
      </c>
      <c r="C30" s="120"/>
      <c r="D30" s="193"/>
      <c r="E30" s="120"/>
      <c r="F30" s="120"/>
      <c r="G30" s="91"/>
      <c r="H30" s="60">
        <f t="shared" si="2"/>
        <v>0</v>
      </c>
      <c r="I30" s="1502"/>
      <c r="J30" s="120"/>
      <c r="K30" s="1502"/>
      <c r="L30" s="1516" t="str">
        <f t="shared" si="1"/>
        <v/>
      </c>
    </row>
    <row r="31" spans="1:12" s="54" customFormat="1" ht="12.2" customHeight="1" thickBot="1" x14ac:dyDescent="0.25">
      <c r="A31" s="1037" t="s">
        <v>281</v>
      </c>
      <c r="B31" s="102" t="s">
        <v>165</v>
      </c>
      <c r="C31" s="92"/>
      <c r="D31" s="190"/>
      <c r="E31" s="92"/>
      <c r="F31" s="92"/>
      <c r="G31" s="593"/>
      <c r="H31" s="61">
        <f t="shared" si="2"/>
        <v>0</v>
      </c>
      <c r="I31" s="1503"/>
      <c r="J31" s="92"/>
      <c r="K31" s="1503"/>
      <c r="L31" s="1517" t="str">
        <f t="shared" si="1"/>
        <v/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+C33+C34+C35</f>
        <v>0</v>
      </c>
      <c r="D32" s="127">
        <f t="shared" ref="D32:K32" si="5">+D33+D34+D35</f>
        <v>0</v>
      </c>
      <c r="E32" s="89">
        <f t="shared" si="5"/>
        <v>0</v>
      </c>
      <c r="F32" s="89">
        <f t="shared" si="5"/>
        <v>0</v>
      </c>
      <c r="G32" s="582">
        <f t="shared" si="5"/>
        <v>0</v>
      </c>
      <c r="H32" s="48">
        <f t="shared" si="2"/>
        <v>0</v>
      </c>
      <c r="I32" s="1495">
        <f t="shared" si="5"/>
        <v>0</v>
      </c>
      <c r="J32" s="89">
        <f t="shared" si="5"/>
        <v>74000</v>
      </c>
      <c r="K32" s="1495">
        <f t="shared" si="5"/>
        <v>0</v>
      </c>
      <c r="L32" s="1509" t="str">
        <f t="shared" si="1"/>
        <v/>
      </c>
    </row>
    <row r="33" spans="1:12" s="54" customFormat="1" ht="12.2" customHeight="1" x14ac:dyDescent="0.2">
      <c r="A33" s="58" t="s">
        <v>89</v>
      </c>
      <c r="B33" s="59" t="s">
        <v>167</v>
      </c>
      <c r="C33" s="122"/>
      <c r="D33" s="189"/>
      <c r="E33" s="122"/>
      <c r="F33" s="122"/>
      <c r="G33" s="586"/>
      <c r="H33" s="33">
        <f t="shared" si="2"/>
        <v>0</v>
      </c>
      <c r="I33" s="1501"/>
      <c r="J33" s="122"/>
      <c r="K33" s="1501"/>
      <c r="L33" s="1515" t="str">
        <f t="shared" si="1"/>
        <v/>
      </c>
    </row>
    <row r="34" spans="1:12" s="54" customFormat="1" ht="12.2" customHeight="1" x14ac:dyDescent="0.2">
      <c r="A34" s="58" t="s">
        <v>102</v>
      </c>
      <c r="B34" s="336" t="s">
        <v>168</v>
      </c>
      <c r="C34" s="120"/>
      <c r="D34" s="193"/>
      <c r="E34" s="120"/>
      <c r="F34" s="120"/>
      <c r="G34" s="91"/>
      <c r="H34" s="60">
        <f t="shared" si="2"/>
        <v>0</v>
      </c>
      <c r="I34" s="1502"/>
      <c r="J34" s="120"/>
      <c r="K34" s="1502"/>
      <c r="L34" s="1516" t="str">
        <f t="shared" si="1"/>
        <v/>
      </c>
    </row>
    <row r="35" spans="1:12" s="54" customFormat="1" ht="12.2" customHeight="1" thickBot="1" x14ac:dyDescent="0.25">
      <c r="A35" s="1037" t="s">
        <v>103</v>
      </c>
      <c r="B35" s="62" t="s">
        <v>169</v>
      </c>
      <c r="C35" s="92"/>
      <c r="D35" s="190"/>
      <c r="E35" s="92"/>
      <c r="F35" s="92"/>
      <c r="G35" s="593"/>
      <c r="H35" s="61">
        <f t="shared" si="2"/>
        <v>0</v>
      </c>
      <c r="I35" s="1503"/>
      <c r="J35" s="92">
        <v>74000</v>
      </c>
      <c r="K35" s="1503"/>
      <c r="L35" s="1517" t="str">
        <f t="shared" si="1"/>
        <v/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30"/>
      <c r="D36" s="129"/>
      <c r="E36" s="130"/>
      <c r="F36" s="130"/>
      <c r="G36" s="585"/>
      <c r="H36" s="57">
        <f t="shared" si="2"/>
        <v>0</v>
      </c>
      <c r="I36" s="1500"/>
      <c r="J36" s="130"/>
      <c r="K36" s="1500"/>
      <c r="L36" s="1514" t="str">
        <f t="shared" si="1"/>
        <v/>
      </c>
    </row>
    <row r="37" spans="1:12" s="26" customFormat="1" ht="12.2" customHeight="1" thickBot="1" x14ac:dyDescent="0.25">
      <c r="A37" s="1038" t="s">
        <v>104</v>
      </c>
      <c r="B37" s="337" t="s">
        <v>165</v>
      </c>
      <c r="C37" s="1032"/>
      <c r="D37" s="823"/>
      <c r="E37" s="1032"/>
      <c r="F37" s="130"/>
      <c r="G37" s="585"/>
      <c r="H37" s="57">
        <f t="shared" si="2"/>
        <v>0</v>
      </c>
      <c r="I37" s="1500"/>
      <c r="J37" s="130"/>
      <c r="K37" s="1500"/>
      <c r="L37" s="1514" t="str">
        <f t="shared" si="1"/>
        <v/>
      </c>
    </row>
    <row r="38" spans="1:12" s="26" customFormat="1" ht="12.2" customHeight="1" thickBot="1" x14ac:dyDescent="0.25">
      <c r="A38" s="55" t="s">
        <v>18</v>
      </c>
      <c r="B38" s="56" t="s">
        <v>380</v>
      </c>
      <c r="C38" s="130">
        <f>SUM(C39:C40)</f>
        <v>0</v>
      </c>
      <c r="D38" s="129">
        <f t="shared" ref="D38:K38" si="6">SUM(D39:D40)</f>
        <v>0</v>
      </c>
      <c r="E38" s="130">
        <f t="shared" si="6"/>
        <v>0</v>
      </c>
      <c r="F38" s="130">
        <f t="shared" si="6"/>
        <v>0</v>
      </c>
      <c r="G38" s="585">
        <f t="shared" si="6"/>
        <v>0</v>
      </c>
      <c r="H38" s="57">
        <f t="shared" si="2"/>
        <v>0</v>
      </c>
      <c r="I38" s="1500">
        <f t="shared" si="6"/>
        <v>0</v>
      </c>
      <c r="J38" s="130">
        <f t="shared" si="6"/>
        <v>0</v>
      </c>
      <c r="K38" s="1500">
        <f t="shared" si="6"/>
        <v>0</v>
      </c>
      <c r="L38" s="1514" t="str">
        <f t="shared" si="1"/>
        <v/>
      </c>
    </row>
    <row r="39" spans="1:12" s="26" customFormat="1" ht="12.2" customHeight="1" x14ac:dyDescent="0.2">
      <c r="A39" s="12" t="s">
        <v>107</v>
      </c>
      <c r="B39" s="95" t="s">
        <v>212</v>
      </c>
      <c r="C39" s="131"/>
      <c r="D39" s="194"/>
      <c r="E39" s="131"/>
      <c r="F39" s="131"/>
      <c r="G39" s="589"/>
      <c r="H39" s="96">
        <f t="shared" si="2"/>
        <v>0</v>
      </c>
      <c r="I39" s="1504"/>
      <c r="J39" s="131"/>
      <c r="K39" s="1504"/>
      <c r="L39" s="1518" t="str">
        <f t="shared" si="1"/>
        <v/>
      </c>
    </row>
    <row r="40" spans="1:12" s="26" customFormat="1" ht="12.2" customHeight="1" x14ac:dyDescent="0.2">
      <c r="A40" s="1003" t="s">
        <v>108</v>
      </c>
      <c r="B40" s="346" t="s">
        <v>213</v>
      </c>
      <c r="C40" s="1033"/>
      <c r="D40" s="825"/>
      <c r="E40" s="1033"/>
      <c r="F40" s="1494"/>
      <c r="G40" s="605"/>
      <c r="H40" s="824">
        <f t="shared" si="2"/>
        <v>0</v>
      </c>
      <c r="I40" s="1505"/>
      <c r="J40" s="1508"/>
      <c r="K40" s="1505"/>
      <c r="L40" s="1519" t="str">
        <f t="shared" si="1"/>
        <v/>
      </c>
    </row>
    <row r="41" spans="1:12" s="26" customFormat="1" ht="12.2" customHeight="1" thickBot="1" x14ac:dyDescent="0.25">
      <c r="A41" s="1003" t="s">
        <v>323</v>
      </c>
      <c r="B41" s="103" t="s">
        <v>165</v>
      </c>
      <c r="C41" s="92"/>
      <c r="D41" s="190"/>
      <c r="E41" s="92"/>
      <c r="F41" s="92"/>
      <c r="G41" s="593"/>
      <c r="H41" s="61">
        <f t="shared" si="2"/>
        <v>0</v>
      </c>
      <c r="I41" s="1506"/>
      <c r="J41" s="133"/>
      <c r="K41" s="1506"/>
      <c r="L41" s="1520" t="str">
        <f t="shared" si="1"/>
        <v/>
      </c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2780200</v>
      </c>
      <c r="D42" s="127">
        <f t="shared" ref="D42:K42" si="7">+D10+D22+D27+D28+D32+D36+D38</f>
        <v>2780200</v>
      </c>
      <c r="E42" s="89">
        <f t="shared" si="7"/>
        <v>5576628</v>
      </c>
      <c r="F42" s="89">
        <f t="shared" si="7"/>
        <v>5576628</v>
      </c>
      <c r="G42" s="582">
        <f t="shared" si="7"/>
        <v>0</v>
      </c>
      <c r="H42" s="48">
        <f t="shared" si="2"/>
        <v>2796428</v>
      </c>
      <c r="I42" s="1495">
        <f t="shared" si="7"/>
        <v>0</v>
      </c>
      <c r="J42" s="89">
        <f t="shared" si="7"/>
        <v>6995494</v>
      </c>
      <c r="K42" s="1495">
        <f t="shared" si="7"/>
        <v>0</v>
      </c>
      <c r="L42" s="1509">
        <f t="shared" si="1"/>
        <v>125.44308137462281</v>
      </c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SUM(C44:C47)</f>
        <v>605121117</v>
      </c>
      <c r="D43" s="127">
        <f t="shared" ref="D43:K43" si="8">SUM(D44:D47)</f>
        <v>620989483</v>
      </c>
      <c r="E43" s="89">
        <f t="shared" si="8"/>
        <v>695056983</v>
      </c>
      <c r="F43" s="89">
        <f t="shared" si="8"/>
        <v>695056983</v>
      </c>
      <c r="G43" s="582">
        <f t="shared" si="8"/>
        <v>2285982</v>
      </c>
      <c r="H43" s="48">
        <f t="shared" si="2"/>
        <v>74067500</v>
      </c>
      <c r="I43" s="1495">
        <f t="shared" si="8"/>
        <v>2285984</v>
      </c>
      <c r="J43" s="89">
        <f t="shared" si="8"/>
        <v>475600768</v>
      </c>
      <c r="K43" s="1495">
        <f t="shared" si="8"/>
        <v>0</v>
      </c>
      <c r="L43" s="1509">
        <f t="shared" si="1"/>
        <v>68.426154924336615</v>
      </c>
    </row>
    <row r="44" spans="1:12" s="26" customFormat="1" ht="12.2" customHeight="1" x14ac:dyDescent="0.2">
      <c r="A44" s="58" t="s">
        <v>171</v>
      </c>
      <c r="B44" s="59" t="s">
        <v>131</v>
      </c>
      <c r="C44" s="122">
        <v>2285980</v>
      </c>
      <c r="D44" s="189">
        <f>2285980+2253366</f>
        <v>4539346</v>
      </c>
      <c r="E44" s="122">
        <v>4539346</v>
      </c>
      <c r="F44" s="122">
        <v>4539346</v>
      </c>
      <c r="G44" s="586"/>
      <c r="H44" s="33">
        <f t="shared" si="2"/>
        <v>0</v>
      </c>
      <c r="I44" s="1501"/>
      <c r="J44" s="122">
        <v>4539346</v>
      </c>
      <c r="K44" s="1501"/>
      <c r="L44" s="1515">
        <f t="shared" si="1"/>
        <v>100</v>
      </c>
    </row>
    <row r="45" spans="1:12" s="26" customFormat="1" ht="12.2" customHeight="1" x14ac:dyDescent="0.2">
      <c r="A45" s="71" t="s">
        <v>172</v>
      </c>
      <c r="B45" s="59" t="s">
        <v>186</v>
      </c>
      <c r="C45" s="120"/>
      <c r="D45" s="193"/>
      <c r="E45" s="120"/>
      <c r="F45" s="120"/>
      <c r="G45" s="91"/>
      <c r="H45" s="60">
        <f t="shared" si="2"/>
        <v>0</v>
      </c>
      <c r="I45" s="1502"/>
      <c r="J45" s="120"/>
      <c r="K45" s="1502"/>
      <c r="L45" s="1516" t="str">
        <f t="shared" si="1"/>
        <v/>
      </c>
    </row>
    <row r="46" spans="1:12" s="26" customFormat="1" ht="12.2" customHeight="1" x14ac:dyDescent="0.2">
      <c r="A46" s="1037" t="s">
        <v>173</v>
      </c>
      <c r="B46" s="336" t="s">
        <v>177</v>
      </c>
      <c r="C46" s="339">
        <f>C70-C42-C44-C63-C65-C68+C38+C32+C28</f>
        <v>596783973</v>
      </c>
      <c r="D46" s="323">
        <f t="shared" ref="D46:K46" si="9">D70-D42-D44-D63-D65-D68+D38+D32+D28</f>
        <v>607398973</v>
      </c>
      <c r="E46" s="323">
        <f t="shared" si="9"/>
        <v>681466473</v>
      </c>
      <c r="F46" s="339">
        <f>F70-F42-F44-F63-F65-F68+F38+F32+F28</f>
        <v>681466473</v>
      </c>
      <c r="G46" s="1489">
        <f t="shared" si="9"/>
        <v>2285982</v>
      </c>
      <c r="H46" s="324">
        <f t="shared" si="2"/>
        <v>74067500</v>
      </c>
      <c r="I46" s="1489">
        <f t="shared" si="9"/>
        <v>2285984</v>
      </c>
      <c r="J46" s="1719">
        <f>471061422-J47</f>
        <v>466360515</v>
      </c>
      <c r="K46" s="1489">
        <f t="shared" si="9"/>
        <v>0</v>
      </c>
      <c r="L46" s="1521">
        <f t="shared" si="1"/>
        <v>68.4348436023499</v>
      </c>
    </row>
    <row r="47" spans="1:12" s="54" customFormat="1" ht="12.2" customHeight="1" thickBot="1" x14ac:dyDescent="0.25">
      <c r="A47" s="58" t="s">
        <v>178</v>
      </c>
      <c r="B47" s="62" t="s">
        <v>179</v>
      </c>
      <c r="C47" s="1034">
        <f>C62-C38-C32-C45-C28</f>
        <v>6051164</v>
      </c>
      <c r="D47" s="195">
        <f t="shared" ref="D47:K47" si="10">D62-D38-D32-D45-D28</f>
        <v>9051164</v>
      </c>
      <c r="E47" s="195">
        <f t="shared" si="10"/>
        <v>9051164</v>
      </c>
      <c r="F47" s="1034">
        <f t="shared" si="10"/>
        <v>9051164</v>
      </c>
      <c r="G47" s="1490">
        <f t="shared" si="10"/>
        <v>0</v>
      </c>
      <c r="H47" s="1491">
        <f t="shared" si="2"/>
        <v>0</v>
      </c>
      <c r="I47" s="1490">
        <f t="shared" si="10"/>
        <v>0</v>
      </c>
      <c r="J47" s="1720">
        <f>J62-J38-J32-J45-J28</f>
        <v>4700907</v>
      </c>
      <c r="K47" s="1490">
        <f t="shared" si="10"/>
        <v>0</v>
      </c>
      <c r="L47" s="1522">
        <f t="shared" si="1"/>
        <v>51.937043677476183</v>
      </c>
    </row>
    <row r="48" spans="1:12" s="54" customFormat="1" ht="15" customHeight="1" thickBot="1" x14ac:dyDescent="0.25">
      <c r="A48" s="63" t="s">
        <v>21</v>
      </c>
      <c r="B48" s="497" t="s">
        <v>174</v>
      </c>
      <c r="C48" s="135">
        <f>+C42+C43</f>
        <v>607901317</v>
      </c>
      <c r="D48" s="134">
        <f t="shared" ref="D48:K48" si="11">+D42+D43</f>
        <v>623769683</v>
      </c>
      <c r="E48" s="135">
        <f t="shared" si="11"/>
        <v>700633611</v>
      </c>
      <c r="F48" s="135">
        <f t="shared" si="11"/>
        <v>700633611</v>
      </c>
      <c r="G48" s="592">
        <f t="shared" si="11"/>
        <v>2285982</v>
      </c>
      <c r="H48" s="68">
        <f t="shared" si="2"/>
        <v>76863928</v>
      </c>
      <c r="I48" s="1507">
        <f t="shared" si="11"/>
        <v>2285984</v>
      </c>
      <c r="J48" s="135">
        <f t="shared" si="11"/>
        <v>482596262</v>
      </c>
      <c r="K48" s="1507">
        <f t="shared" si="11"/>
        <v>0</v>
      </c>
      <c r="L48" s="1523">
        <f t="shared" si="1"/>
        <v>68.879975842323674</v>
      </c>
    </row>
    <row r="49" spans="1:16" s="54" customFormat="1" ht="14.45" customHeight="1" x14ac:dyDescent="0.2">
      <c r="A49" s="64"/>
      <c r="B49" s="65"/>
      <c r="C49" s="66"/>
      <c r="D49" s="125"/>
      <c r="E49" s="125"/>
      <c r="F49" s="125"/>
      <c r="G49" s="125"/>
      <c r="H49" s="125"/>
      <c r="I49" s="125"/>
      <c r="J49" s="125"/>
      <c r="K49" s="125"/>
      <c r="L49" s="138"/>
      <c r="P49" s="54" t="s">
        <v>385</v>
      </c>
    </row>
    <row r="50" spans="1:16" ht="14.45" customHeight="1" x14ac:dyDescent="0.2">
      <c r="A50" s="1804" t="s">
        <v>34</v>
      </c>
      <c r="B50" s="1804"/>
      <c r="C50" s="1804"/>
      <c r="D50" s="1804"/>
      <c r="E50" s="1804"/>
      <c r="F50" s="1804"/>
      <c r="G50" s="1804"/>
      <c r="H50" s="1804"/>
      <c r="I50" s="1804"/>
      <c r="J50" s="1804"/>
      <c r="K50" s="1804"/>
      <c r="L50" s="1804"/>
    </row>
    <row r="51" spans="1:16" ht="14.45" customHeight="1" thickBot="1" x14ac:dyDescent="0.3">
      <c r="A51" s="1805" t="s">
        <v>362</v>
      </c>
      <c r="B51" s="1805"/>
      <c r="C51" s="1805"/>
      <c r="D51" s="1805"/>
      <c r="E51" s="1805"/>
      <c r="F51" s="1805"/>
      <c r="G51" s="1805"/>
      <c r="H51" s="1805"/>
      <c r="I51" s="1805"/>
      <c r="J51" s="1805"/>
      <c r="K51" s="1805"/>
      <c r="L51" s="1805"/>
    </row>
    <row r="52" spans="1:16" s="46" customFormat="1" ht="66.75" customHeight="1" thickBot="1" x14ac:dyDescent="0.25">
      <c r="A52" s="1413" t="s">
        <v>142</v>
      </c>
      <c r="B52" s="42" t="s">
        <v>36</v>
      </c>
      <c r="C52" s="21" t="str">
        <f>'1. mell.bevétel_össz'!C8</f>
        <v>2023. évi eredeti előirányzat
2/2023. (II.14.)</v>
      </c>
      <c r="D52" s="191" t="str">
        <f>'1. mell.bevétel_össz'!D8</f>
        <v>Módosított előirányzat a 14/2023.  (VI.29.)  rendelet szerint</v>
      </c>
      <c r="E52" s="42" t="str">
        <f>'1. mell.bevétel_össz'!E8</f>
        <v>Módosított előirányzat a 18/2023. (IX.26.)  rendelet szerint</v>
      </c>
      <c r="F52" s="42" t="str">
        <f>'1. mell.bevétel_össz'!F8</f>
        <v>Módosított előirányzat 2023.09.30-án</v>
      </c>
      <c r="G52" s="42" t="str">
        <f>'1. mell.bevétel_össz'!G8</f>
        <v>Módosított előirányzat a …../2023. (II…..)  rendelet szerint</v>
      </c>
      <c r="H52" s="126" t="str">
        <f>'1. mell.bevétel_össz'!H8</f>
        <v>Változás a 14/2023. (VI.29.) rendelethez képest</v>
      </c>
      <c r="I52" s="1439" t="str">
        <f>'1. mell.bevétel_össz'!I8</f>
        <v>2023. évi teljesítés              2023.06.30-ig</v>
      </c>
      <c r="J52" s="42" t="str">
        <f>'1. mell.bevétel_össz'!J8</f>
        <v>2023. évi teljesítés              2023.09.30-ig</v>
      </c>
      <c r="K52" s="1453" t="str">
        <f>'1. mell.bevétel_össz'!K8</f>
        <v>2023. évi teljesítés              2023.12.31-ig</v>
      </c>
      <c r="L52" s="1464" t="str">
        <f>'1. mell.bevétel_össz'!L8</f>
        <v>Teljesítés %-a</v>
      </c>
      <c r="O52" s="46" t="s">
        <v>385</v>
      </c>
    </row>
    <row r="53" spans="1:16" s="31" customFormat="1" ht="12.2" customHeight="1" thickBot="1" x14ac:dyDescent="0.25">
      <c r="A53" s="197" t="s">
        <v>12</v>
      </c>
      <c r="B53" s="56" t="s">
        <v>547</v>
      </c>
      <c r="C53" s="89">
        <f>SUM(C54:C59)-C55</f>
        <v>601850153</v>
      </c>
      <c r="D53" s="127">
        <f>SUM(D54:D59)-D55</f>
        <v>614718519</v>
      </c>
      <c r="E53" s="89">
        <f>SUM(E54:E59)-E55</f>
        <v>691582447</v>
      </c>
      <c r="F53" s="89">
        <f>SUM(F54:F59)-F55</f>
        <v>691582447</v>
      </c>
      <c r="G53" s="89">
        <f>SUM(G54:G59)-G55</f>
        <v>2285982</v>
      </c>
      <c r="H53" s="175">
        <f t="shared" ref="H53:H70" si="12">+E53-D53</f>
        <v>76863928</v>
      </c>
      <c r="I53" s="1524">
        <f>SUM(I54:I59)-I55</f>
        <v>2285984</v>
      </c>
      <c r="J53" s="89">
        <f>SUM(J54:J59)-J55</f>
        <v>474431240</v>
      </c>
      <c r="K53" s="1495">
        <f>SUM(K54:K59)-K55</f>
        <v>0</v>
      </c>
      <c r="L53" s="1509">
        <f t="shared" ref="L53:L72" si="13">IF(F53=0,"",J53/F53*100)</f>
        <v>68.600821501185379</v>
      </c>
    </row>
    <row r="54" spans="1:16" ht="12.2" customHeight="1" x14ac:dyDescent="0.2">
      <c r="A54" s="653" t="s">
        <v>91</v>
      </c>
      <c r="B54" s="17" t="s">
        <v>68</v>
      </c>
      <c r="C54" s="122">
        <v>391438179</v>
      </c>
      <c r="D54" s="189">
        <f>391438179+3500000+227800</f>
        <v>395165979</v>
      </c>
      <c r="E54" s="122">
        <f>395165979+331428+10500000+16750000+37500000</f>
        <v>460247407</v>
      </c>
      <c r="F54" s="122">
        <v>460247407</v>
      </c>
      <c r="G54" s="122"/>
      <c r="H54" s="177">
        <f t="shared" si="12"/>
        <v>65081428</v>
      </c>
      <c r="I54" s="1525"/>
      <c r="J54" s="122">
        <v>324136905</v>
      </c>
      <c r="K54" s="1501"/>
      <c r="L54" s="1515">
        <f t="shared" si="13"/>
        <v>70.426666195210089</v>
      </c>
    </row>
    <row r="55" spans="1:16" ht="12.2" customHeight="1" x14ac:dyDescent="0.2">
      <c r="A55" s="653" t="s">
        <v>305</v>
      </c>
      <c r="B55" s="335" t="s">
        <v>270</v>
      </c>
      <c r="C55" s="122">
        <v>3000000</v>
      </c>
      <c r="D55" s="189">
        <f>3000000+227800</f>
        <v>3227800</v>
      </c>
      <c r="E55" s="122">
        <f>3227800+16750000</f>
        <v>19977800</v>
      </c>
      <c r="F55" s="122">
        <v>19977800</v>
      </c>
      <c r="G55" s="122"/>
      <c r="H55" s="177">
        <f t="shared" si="12"/>
        <v>16750000</v>
      </c>
      <c r="I55" s="1525"/>
      <c r="J55" s="122">
        <v>1147800</v>
      </c>
      <c r="K55" s="1501"/>
      <c r="L55" s="1515">
        <f t="shared" si="13"/>
        <v>5.7453773688794563</v>
      </c>
    </row>
    <row r="56" spans="1:16" ht="12.2" customHeight="1" x14ac:dyDescent="0.2">
      <c r="A56" s="653" t="s">
        <v>92</v>
      </c>
      <c r="B56" s="330" t="s">
        <v>87</v>
      </c>
      <c r="C56" s="339">
        <v>61678365</v>
      </c>
      <c r="D56" s="323">
        <f>61678365+980000</f>
        <v>62658365</v>
      </c>
      <c r="E56" s="339">
        <f>62658365+2940000+2177500+4200000</f>
        <v>71975865</v>
      </c>
      <c r="F56" s="339">
        <v>71975865</v>
      </c>
      <c r="G56" s="339"/>
      <c r="H56" s="503">
        <f t="shared" si="12"/>
        <v>9317500</v>
      </c>
      <c r="I56" s="1526"/>
      <c r="J56" s="339">
        <v>49792839</v>
      </c>
      <c r="K56" s="1489"/>
      <c r="L56" s="1521">
        <f t="shared" si="13"/>
        <v>69.179910515837491</v>
      </c>
    </row>
    <row r="57" spans="1:16" ht="12.2" customHeight="1" x14ac:dyDescent="0.2">
      <c r="A57" s="653" t="s">
        <v>93</v>
      </c>
      <c r="B57" s="330" t="s">
        <v>69</v>
      </c>
      <c r="C57" s="339">
        <v>146447629</v>
      </c>
      <c r="D57" s="323">
        <f>146447629+2025566+5500000+635000</f>
        <v>154608195</v>
      </c>
      <c r="E57" s="339">
        <v>157073195</v>
      </c>
      <c r="F57" s="339">
        <v>157073195</v>
      </c>
      <c r="G57" s="339"/>
      <c r="H57" s="503">
        <f t="shared" si="12"/>
        <v>2465000</v>
      </c>
      <c r="I57" s="1526"/>
      <c r="J57" s="339">
        <v>98215516</v>
      </c>
      <c r="K57" s="1489"/>
      <c r="L57" s="1521">
        <f t="shared" si="13"/>
        <v>62.528502078282678</v>
      </c>
    </row>
    <row r="58" spans="1:16" ht="12.2" customHeight="1" x14ac:dyDescent="0.2">
      <c r="A58" s="653" t="s">
        <v>90</v>
      </c>
      <c r="B58" s="330" t="s">
        <v>80</v>
      </c>
      <c r="C58" s="339"/>
      <c r="D58" s="323"/>
      <c r="E58" s="339"/>
      <c r="F58" s="339"/>
      <c r="G58" s="339"/>
      <c r="H58" s="503">
        <f t="shared" si="12"/>
        <v>0</v>
      </c>
      <c r="I58" s="1526"/>
      <c r="J58" s="339"/>
      <c r="K58" s="1489"/>
      <c r="L58" s="1521" t="str">
        <f t="shared" si="13"/>
        <v/>
      </c>
    </row>
    <row r="59" spans="1:16" ht="12.2" customHeight="1" x14ac:dyDescent="0.2">
      <c r="A59" s="653" t="s">
        <v>147</v>
      </c>
      <c r="B59" s="330" t="s">
        <v>88</v>
      </c>
      <c r="C59" s="339">
        <f>C60</f>
        <v>2285980</v>
      </c>
      <c r="D59" s="339">
        <f t="shared" ref="D59:I59" si="14">D60</f>
        <v>2285980</v>
      </c>
      <c r="E59" s="339">
        <f t="shared" si="14"/>
        <v>2285980</v>
      </c>
      <c r="F59" s="339">
        <f t="shared" si="14"/>
        <v>2285980</v>
      </c>
      <c r="G59" s="339">
        <f t="shared" si="14"/>
        <v>2285982</v>
      </c>
      <c r="H59" s="339">
        <f t="shared" si="14"/>
        <v>2285983</v>
      </c>
      <c r="I59" s="339">
        <f t="shared" si="14"/>
        <v>2285984</v>
      </c>
      <c r="J59" s="339">
        <f>J60</f>
        <v>2285980</v>
      </c>
      <c r="K59" s="1489"/>
      <c r="L59" s="1521">
        <f t="shared" si="13"/>
        <v>100</v>
      </c>
    </row>
    <row r="60" spans="1:16" ht="12.2" customHeight="1" x14ac:dyDescent="0.2">
      <c r="A60" s="653" t="s">
        <v>306</v>
      </c>
      <c r="B60" s="521" t="s">
        <v>235</v>
      </c>
      <c r="C60" s="339">
        <f>'13.támogatás'!C75</f>
        <v>2285980</v>
      </c>
      <c r="D60" s="323">
        <f>'13.támogatás'!D75</f>
        <v>2285980</v>
      </c>
      <c r="E60" s="339">
        <f>'13.támogatás'!E75</f>
        <v>2285980</v>
      </c>
      <c r="F60" s="339">
        <f>'13.támogatás'!F75</f>
        <v>2285980</v>
      </c>
      <c r="G60" s="339">
        <f>'13.támogatás'!G75</f>
        <v>2285982</v>
      </c>
      <c r="H60" s="503">
        <f>'13.támogatás'!H75</f>
        <v>2285983</v>
      </c>
      <c r="I60" s="1526">
        <f>'13.támogatás'!I75</f>
        <v>2285984</v>
      </c>
      <c r="J60" s="339">
        <f>'13.támogatás'!J75</f>
        <v>2285980</v>
      </c>
      <c r="K60" s="1489"/>
      <c r="L60" s="1521">
        <f t="shared" si="13"/>
        <v>100</v>
      </c>
    </row>
    <row r="61" spans="1:16" ht="12.2" customHeight="1" thickBot="1" x14ac:dyDescent="0.25">
      <c r="A61" s="198" t="s">
        <v>307</v>
      </c>
      <c r="B61" s="85" t="s">
        <v>234</v>
      </c>
      <c r="C61" s="92"/>
      <c r="D61" s="190"/>
      <c r="E61" s="92"/>
      <c r="F61" s="92">
        <v>0</v>
      </c>
      <c r="G61" s="92">
        <v>0</v>
      </c>
      <c r="H61" s="178">
        <f t="shared" si="12"/>
        <v>0</v>
      </c>
      <c r="I61" s="1527" t="e">
        <f>'13.támogatás'!#REF!</f>
        <v>#REF!</v>
      </c>
      <c r="J61" s="92"/>
      <c r="K61" s="1503" t="e">
        <f>'13.támogatás'!#REF!</f>
        <v>#REF!</v>
      </c>
      <c r="L61" s="1517" t="str">
        <f t="shared" si="13"/>
        <v/>
      </c>
    </row>
    <row r="62" spans="1:16" ht="12.2" customHeight="1" thickBot="1" x14ac:dyDescent="0.25">
      <c r="A62" s="197" t="s">
        <v>13</v>
      </c>
      <c r="B62" s="56" t="s">
        <v>548</v>
      </c>
      <c r="C62" s="89">
        <f>SUM(C63:C67)</f>
        <v>6051164</v>
      </c>
      <c r="D62" s="127">
        <f>SUM(D63:D67)</f>
        <v>9051164</v>
      </c>
      <c r="E62" s="89">
        <f>SUM(E63:E67)</f>
        <v>9051164</v>
      </c>
      <c r="F62" s="89">
        <f>SUM(F63:F67)</f>
        <v>9051164</v>
      </c>
      <c r="G62" s="89">
        <f>SUM(G63:G67)</f>
        <v>0</v>
      </c>
      <c r="H62" s="175">
        <f t="shared" si="12"/>
        <v>0</v>
      </c>
      <c r="I62" s="1524">
        <f>SUM(I63:I67)</f>
        <v>0</v>
      </c>
      <c r="J62" s="89">
        <f>SUM(J63:J67)</f>
        <v>4774907</v>
      </c>
      <c r="K62" s="1495">
        <f>SUM(K63:K67)</f>
        <v>0</v>
      </c>
      <c r="L62" s="1509">
        <f t="shared" si="13"/>
        <v>52.754618080061299</v>
      </c>
    </row>
    <row r="63" spans="1:16" s="31" customFormat="1" ht="12.2" customHeight="1" x14ac:dyDescent="0.2">
      <c r="A63" s="653" t="s">
        <v>94</v>
      </c>
      <c r="B63" s="17" t="s">
        <v>119</v>
      </c>
      <c r="C63" s="122">
        <v>6051164</v>
      </c>
      <c r="D63" s="189">
        <f>'15.felh.felúj.'!D40</f>
        <v>9051164</v>
      </c>
      <c r="E63" s="122">
        <f>'15.felh.felúj.'!E40</f>
        <v>9051164</v>
      </c>
      <c r="F63" s="122">
        <f>'15.felh.felúj.'!F40</f>
        <v>9051164</v>
      </c>
      <c r="G63" s="122">
        <f>'15.felh.felúj.'!G40</f>
        <v>0</v>
      </c>
      <c r="H63" s="177">
        <f t="shared" si="12"/>
        <v>0</v>
      </c>
      <c r="I63" s="1525">
        <f>'15.felh.felúj.'!I40</f>
        <v>0</v>
      </c>
      <c r="J63" s="122">
        <f>'15.felh.felúj.'!J40</f>
        <v>4774907</v>
      </c>
      <c r="K63" s="1501">
        <f>'15.felh.felúj.'!K40</f>
        <v>0</v>
      </c>
      <c r="L63" s="1515">
        <f t="shared" si="13"/>
        <v>52.754618080061299</v>
      </c>
      <c r="P63" s="31" t="s">
        <v>385</v>
      </c>
    </row>
    <row r="64" spans="1:16" s="31" customFormat="1" ht="12.2" customHeight="1" x14ac:dyDescent="0.2">
      <c r="A64" s="653" t="s">
        <v>316</v>
      </c>
      <c r="B64" s="522" t="s">
        <v>236</v>
      </c>
      <c r="C64" s="122"/>
      <c r="D64" s="189"/>
      <c r="E64" s="122"/>
      <c r="F64" s="122"/>
      <c r="G64" s="122"/>
      <c r="H64" s="177">
        <f t="shared" si="12"/>
        <v>0</v>
      </c>
      <c r="I64" s="1525"/>
      <c r="J64" s="122"/>
      <c r="K64" s="1501"/>
      <c r="L64" s="1515" t="str">
        <f t="shared" si="13"/>
        <v/>
      </c>
    </row>
    <row r="65" spans="1:14" ht="12.2" customHeight="1" x14ac:dyDescent="0.2">
      <c r="A65" s="653" t="s">
        <v>95</v>
      </c>
      <c r="B65" s="330" t="s">
        <v>2</v>
      </c>
      <c r="C65" s="339">
        <f>'15.felh.felúj.'!C47</f>
        <v>0</v>
      </c>
      <c r="D65" s="323">
        <f>'15.felh.felúj.'!D47</f>
        <v>0</v>
      </c>
      <c r="E65" s="339">
        <f>'15.felh.felúj.'!E47</f>
        <v>0</v>
      </c>
      <c r="F65" s="339">
        <f>'15.felh.felúj.'!F47</f>
        <v>0</v>
      </c>
      <c r="G65" s="339">
        <f>'15.felh.felúj.'!G47</f>
        <v>0</v>
      </c>
      <c r="H65" s="503">
        <f t="shared" si="12"/>
        <v>0</v>
      </c>
      <c r="I65" s="1526">
        <f>'15.felh.felúj.'!I47</f>
        <v>0</v>
      </c>
      <c r="J65" s="339">
        <f>'15.felh.felúj.'!J47</f>
        <v>0</v>
      </c>
      <c r="K65" s="1489">
        <f>'15.felh.felúj.'!K47</f>
        <v>0</v>
      </c>
      <c r="L65" s="1521" t="str">
        <f t="shared" si="13"/>
        <v/>
      </c>
    </row>
    <row r="66" spans="1:14" ht="12.2" customHeight="1" x14ac:dyDescent="0.2">
      <c r="A66" s="653"/>
      <c r="B66" s="523" t="s">
        <v>237</v>
      </c>
      <c r="C66" s="339"/>
      <c r="D66" s="323"/>
      <c r="E66" s="339"/>
      <c r="F66" s="339"/>
      <c r="G66" s="339"/>
      <c r="H66" s="503">
        <f t="shared" si="12"/>
        <v>0</v>
      </c>
      <c r="I66" s="1526"/>
      <c r="J66" s="339"/>
      <c r="K66" s="1489"/>
      <c r="L66" s="1521" t="str">
        <f t="shared" si="13"/>
        <v/>
      </c>
    </row>
    <row r="67" spans="1:14" ht="12.2" customHeight="1" x14ac:dyDescent="0.2">
      <c r="A67" s="653" t="s">
        <v>96</v>
      </c>
      <c r="B67" s="17" t="s">
        <v>175</v>
      </c>
      <c r="C67" s="339">
        <f>SUM(C68:C69)</f>
        <v>0</v>
      </c>
      <c r="D67" s="323">
        <f>SUM(D68:D69)</f>
        <v>0</v>
      </c>
      <c r="E67" s="339">
        <f>SUM(E68:E69)</f>
        <v>0</v>
      </c>
      <c r="F67" s="339">
        <v>0</v>
      </c>
      <c r="G67" s="339">
        <v>0</v>
      </c>
      <c r="H67" s="503">
        <f t="shared" si="12"/>
        <v>0</v>
      </c>
      <c r="I67" s="1526">
        <f>SUM(I68:I69)</f>
        <v>0</v>
      </c>
      <c r="J67" s="339">
        <f>SUM(J68:J69)</f>
        <v>0</v>
      </c>
      <c r="K67" s="1489">
        <f>SUM(K68:K69)</f>
        <v>0</v>
      </c>
      <c r="L67" s="1521" t="str">
        <f t="shared" si="13"/>
        <v/>
      </c>
    </row>
    <row r="68" spans="1:14" ht="12.2" customHeight="1" x14ac:dyDescent="0.2">
      <c r="A68" s="653" t="s">
        <v>317</v>
      </c>
      <c r="B68" s="521" t="s">
        <v>239</v>
      </c>
      <c r="C68" s="339"/>
      <c r="D68" s="323"/>
      <c r="E68" s="339"/>
      <c r="F68" s="339"/>
      <c r="G68" s="339"/>
      <c r="H68" s="503">
        <f t="shared" si="12"/>
        <v>0</v>
      </c>
      <c r="I68" s="1526"/>
      <c r="J68" s="339"/>
      <c r="K68" s="1489"/>
      <c r="L68" s="1521" t="str">
        <f t="shared" si="13"/>
        <v/>
      </c>
    </row>
    <row r="69" spans="1:14" ht="12.2" customHeight="1" thickBot="1" x14ac:dyDescent="0.25">
      <c r="A69" s="653" t="s">
        <v>318</v>
      </c>
      <c r="B69" s="521" t="s">
        <v>238</v>
      </c>
      <c r="C69" s="339"/>
      <c r="D69" s="323"/>
      <c r="E69" s="339"/>
      <c r="F69" s="339"/>
      <c r="G69" s="339"/>
      <c r="H69" s="503">
        <f t="shared" si="12"/>
        <v>0</v>
      </c>
      <c r="I69" s="1526"/>
      <c r="J69" s="339"/>
      <c r="K69" s="1489"/>
      <c r="L69" s="1521" t="str">
        <f t="shared" si="13"/>
        <v/>
      </c>
      <c r="N69" s="18"/>
    </row>
    <row r="70" spans="1:14" ht="15" customHeight="1" thickBot="1" x14ac:dyDescent="0.25">
      <c r="A70" s="197" t="s">
        <v>14</v>
      </c>
      <c r="B70" s="67" t="s">
        <v>176</v>
      </c>
      <c r="C70" s="135">
        <f>+C53+C62</f>
        <v>607901317</v>
      </c>
      <c r="D70" s="134">
        <f>+D53+D62</f>
        <v>623769683</v>
      </c>
      <c r="E70" s="135">
        <f>+E53+E62</f>
        <v>700633611</v>
      </c>
      <c r="F70" s="135">
        <f>+F53+F62</f>
        <v>700633611</v>
      </c>
      <c r="G70" s="135">
        <f>+G53+G62</f>
        <v>2285982</v>
      </c>
      <c r="H70" s="176">
        <f t="shared" si="12"/>
        <v>76863928</v>
      </c>
      <c r="I70" s="1528">
        <f>+I53+I62</f>
        <v>2285984</v>
      </c>
      <c r="J70" s="135">
        <f>+J53+J62</f>
        <v>479206147</v>
      </c>
      <c r="K70" s="1507">
        <f>+K53+K62</f>
        <v>0</v>
      </c>
      <c r="L70" s="1523">
        <f t="shared" si="13"/>
        <v>68.39611167326656</v>
      </c>
    </row>
    <row r="71" spans="1:14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139" t="str">
        <f t="shared" si="13"/>
        <v/>
      </c>
    </row>
    <row r="72" spans="1:14" s="602" customFormat="1" ht="15" customHeight="1" thickBot="1" x14ac:dyDescent="0.25">
      <c r="A72" s="1035" t="s">
        <v>290</v>
      </c>
      <c r="B72" s="1036"/>
      <c r="C72" s="598">
        <v>70</v>
      </c>
      <c r="D72" s="599">
        <v>70</v>
      </c>
      <c r="E72" s="598">
        <v>70</v>
      </c>
      <c r="F72" s="598">
        <v>70</v>
      </c>
      <c r="G72" s="598"/>
      <c r="H72" s="1020">
        <f>+E72-D72</f>
        <v>0</v>
      </c>
      <c r="I72" s="1486"/>
      <c r="J72" s="1744">
        <v>64</v>
      </c>
      <c r="K72" s="615"/>
      <c r="L72" s="1487">
        <f t="shared" si="13"/>
        <v>91.428571428571431</v>
      </c>
    </row>
    <row r="73" spans="1:14" s="602" customFormat="1" ht="14.25" hidden="1" customHeight="1" thickBot="1" x14ac:dyDescent="0.25">
      <c r="A73" s="596" t="s">
        <v>291</v>
      </c>
      <c r="B73" s="597"/>
      <c r="C73" s="654"/>
      <c r="D73" s="612"/>
      <c r="E73" s="603"/>
      <c r="F73" s="603"/>
      <c r="G73" s="603"/>
      <c r="H73" s="632"/>
      <c r="I73" s="633"/>
      <c r="J73" s="631"/>
      <c r="K73" s="633"/>
      <c r="L73" s="601"/>
    </row>
    <row r="74" spans="1:14" x14ac:dyDescent="0.2">
      <c r="H74" s="163"/>
    </row>
  </sheetData>
  <sheetProtection formatCells="0"/>
  <mergeCells count="9">
    <mergeCell ref="A9:L9"/>
    <mergeCell ref="A50:L50"/>
    <mergeCell ref="A51:L51"/>
    <mergeCell ref="A1:L1"/>
    <mergeCell ref="A3:L3"/>
    <mergeCell ref="A2:H2"/>
    <mergeCell ref="C4:L4"/>
    <mergeCell ref="C5:L5"/>
    <mergeCell ref="A6:L6"/>
  </mergeCells>
  <phoneticPr fontId="45" type="noConversion"/>
  <printOptions horizontalCentered="1"/>
  <pageMargins left="0.19685039370078741" right="0.19685039370078741" top="0.39370078740157483" bottom="0.19685039370078741" header="0.78740157480314965" footer="0.78740157480314965"/>
  <pageSetup paperSize="9" scale="70" orientation="portrait" r:id="rId1"/>
  <headerFooter alignWithMargins="0"/>
  <colBreaks count="1" manualBreakCount="1">
    <brk id="13" min="1" max="7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4"/>
  <sheetViews>
    <sheetView view="pageBreakPreview" topLeftCell="A45" zoomScale="124" zoomScaleNormal="154" zoomScaleSheetLayoutView="124" workbookViewId="0">
      <selection activeCell="N52" sqref="N52"/>
    </sheetView>
  </sheetViews>
  <sheetFormatPr defaultColWidth="9.33203125" defaultRowHeight="12.75" x14ac:dyDescent="0.2"/>
  <cols>
    <col min="1" max="1" width="13.83203125" style="1414" customWidth="1"/>
    <col min="2" max="2" width="67.5" style="25" customWidth="1"/>
    <col min="3" max="3" width="14" style="25" customWidth="1"/>
    <col min="4" max="4" width="15.83203125" style="25" hidden="1" customWidth="1"/>
    <col min="5" max="5" width="16" style="25" customWidth="1"/>
    <col min="6" max="6" width="16.1640625" style="25" customWidth="1"/>
    <col min="7" max="9" width="15.83203125" style="25" hidden="1" customWidth="1"/>
    <col min="10" max="10" width="13.6640625" style="25" customWidth="1"/>
    <col min="11" max="11" width="15.83203125" style="25" hidden="1" customWidth="1"/>
    <col min="12" max="12" width="9.1640625" style="140" customWidth="1"/>
    <col min="13" max="13" width="9.33203125" style="25" customWidth="1"/>
    <col min="14" max="14" width="14.33203125" style="25" bestFit="1" customWidth="1"/>
    <col min="15" max="16384" width="9.33203125" style="25"/>
  </cols>
  <sheetData>
    <row r="1" spans="1:12" ht="12.75" customHeight="1" x14ac:dyDescent="0.2">
      <c r="A1" s="1773" t="s">
        <v>819</v>
      </c>
      <c r="B1" s="1773"/>
      <c r="C1" s="1773"/>
      <c r="D1" s="1773"/>
      <c r="E1" s="1773"/>
      <c r="F1" s="1773"/>
      <c r="G1" s="1773"/>
      <c r="H1" s="1773"/>
      <c r="I1" s="1773"/>
      <c r="J1" s="1773"/>
      <c r="K1" s="1773"/>
      <c r="L1" s="1773"/>
    </row>
    <row r="2" spans="1:12" ht="12.75" customHeight="1" x14ac:dyDescent="0.2">
      <c r="A2" s="1773"/>
      <c r="B2" s="1773"/>
      <c r="C2" s="1773"/>
      <c r="D2" s="1773"/>
      <c r="E2" s="1773"/>
      <c r="F2" s="1773"/>
      <c r="G2" s="1773"/>
      <c r="H2" s="1773"/>
      <c r="I2" s="83"/>
      <c r="J2" s="83"/>
      <c r="K2" s="83"/>
      <c r="L2" s="142"/>
    </row>
    <row r="3" spans="1:12" s="24" customFormat="1" ht="21.2" customHeight="1" thickBot="1" x14ac:dyDescent="0.25">
      <c r="A3" s="1773"/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</row>
    <row r="4" spans="1:12" s="38" customFormat="1" ht="35.450000000000003" customHeight="1" x14ac:dyDescent="0.2">
      <c r="A4" s="36" t="s">
        <v>137</v>
      </c>
      <c r="B4" s="37" t="s">
        <v>133</v>
      </c>
      <c r="C4" s="1806" t="s">
        <v>138</v>
      </c>
      <c r="D4" s="1807"/>
      <c r="E4" s="1807"/>
      <c r="F4" s="1807"/>
      <c r="G4" s="1807"/>
      <c r="H4" s="1807"/>
      <c r="I4" s="1807"/>
      <c r="J4" s="1807"/>
      <c r="K4" s="1807"/>
      <c r="L4" s="1808"/>
    </row>
    <row r="5" spans="1:12" s="38" customFormat="1" ht="24.75" thickBot="1" x14ac:dyDescent="0.25">
      <c r="A5" s="39" t="s">
        <v>139</v>
      </c>
      <c r="B5" s="40" t="s">
        <v>140</v>
      </c>
      <c r="C5" s="1809" t="s">
        <v>141</v>
      </c>
      <c r="D5" s="1810"/>
      <c r="E5" s="1810"/>
      <c r="F5" s="1810"/>
      <c r="G5" s="1810"/>
      <c r="H5" s="1810"/>
      <c r="I5" s="1810"/>
      <c r="J5" s="1810"/>
      <c r="K5" s="1810"/>
      <c r="L5" s="1811"/>
    </row>
    <row r="6" spans="1:12" s="41" customFormat="1" ht="15.95" customHeight="1" thickBot="1" x14ac:dyDescent="0.3">
      <c r="A6" s="1812" t="s">
        <v>362</v>
      </c>
      <c r="B6" s="1812"/>
      <c r="C6" s="1812"/>
      <c r="D6" s="1812"/>
      <c r="E6" s="1812"/>
      <c r="F6" s="1812"/>
      <c r="G6" s="1812"/>
      <c r="H6" s="1812"/>
      <c r="I6" s="1812"/>
      <c r="J6" s="1812"/>
      <c r="K6" s="1812"/>
      <c r="L6" s="1812"/>
    </row>
    <row r="7" spans="1:12" ht="48.75" customHeight="1" thickBot="1" x14ac:dyDescent="0.25">
      <c r="A7" s="1413" t="s">
        <v>142</v>
      </c>
      <c r="B7" s="42" t="s">
        <v>36</v>
      </c>
      <c r="C7" s="42" t="str">
        <f>'1. mell.bevétel_össz'!C8</f>
        <v>2023. évi eredeti előirányzat
2/2023. (II.14.)</v>
      </c>
      <c r="D7" s="191" t="str">
        <f>'1. mell.bevétel_össz'!D8</f>
        <v>Módosított előirányzat a 14/2023.  (VI.29.)  rendelet szerint</v>
      </c>
      <c r="E7" s="42" t="str">
        <f>'1. mell.bevétel_össz'!E8</f>
        <v>Módosított előirányzat a 18/2023. (IX.26.)  rendelet szerint</v>
      </c>
      <c r="F7" s="42" t="str">
        <f>'1. mell.bevétel_össz'!F8</f>
        <v>Módosított előirányzat 2023.09.30-án</v>
      </c>
      <c r="G7" s="1492" t="str">
        <f>'1. mell.bevétel_össz'!G8</f>
        <v>Módosított előirányzat a …../2023. (II…..)  rendelet szerint</v>
      </c>
      <c r="H7" s="179" t="str">
        <f>'1. mell.bevétel_össz'!H8</f>
        <v>Változás a 14/2023. (VI.29.) rendelethez képest</v>
      </c>
      <c r="I7" s="1453" t="str">
        <f>'1. mell.bevétel_össz'!I8</f>
        <v>2023. évi teljesítés              2023.06.30-ig</v>
      </c>
      <c r="J7" s="42" t="str">
        <f>'1. mell.bevétel_össz'!J8</f>
        <v>2023. évi teljesítés              2023.09.30-ig</v>
      </c>
      <c r="K7" s="1453" t="str">
        <f>'1. mell.bevétel_össz'!K8</f>
        <v>2023. évi teljesítés              2023.12.31-ig</v>
      </c>
      <c r="L7" s="1464" t="str">
        <f>'1. mell.bevétel_össz'!L8</f>
        <v>Teljesítés %-a</v>
      </c>
    </row>
    <row r="8" spans="1:12" s="46" customFormat="1" ht="12.95" customHeight="1" thickBot="1" x14ac:dyDescent="0.25">
      <c r="A8" s="43" t="s">
        <v>297</v>
      </c>
      <c r="B8" s="44" t="s">
        <v>298</v>
      </c>
      <c r="C8" s="989" t="s">
        <v>299</v>
      </c>
      <c r="D8" s="182" t="s">
        <v>300</v>
      </c>
      <c r="E8" s="44" t="s">
        <v>300</v>
      </c>
      <c r="F8" s="44" t="s">
        <v>301</v>
      </c>
      <c r="G8" s="44" t="s">
        <v>424</v>
      </c>
      <c r="H8" s="180" t="s">
        <v>388</v>
      </c>
      <c r="I8" s="1415" t="s">
        <v>299</v>
      </c>
      <c r="J8" s="44" t="s">
        <v>388</v>
      </c>
      <c r="K8" s="620" t="s">
        <v>299</v>
      </c>
      <c r="L8" s="137" t="s">
        <v>424</v>
      </c>
    </row>
    <row r="9" spans="1:12" s="46" customFormat="1" ht="15.95" customHeight="1" thickBot="1" x14ac:dyDescent="0.25">
      <c r="A9" s="1801" t="s">
        <v>11</v>
      </c>
      <c r="B9" s="1802"/>
      <c r="C9" s="1802"/>
      <c r="D9" s="1802"/>
      <c r="E9" s="1802"/>
      <c r="F9" s="1802"/>
      <c r="G9" s="1802"/>
      <c r="H9" s="1802"/>
      <c r="I9" s="1802"/>
      <c r="J9" s="1802"/>
      <c r="K9" s="1802"/>
      <c r="L9" s="1802"/>
    </row>
    <row r="10" spans="1:12" s="26" customFormat="1" ht="12.2" customHeight="1" thickBot="1" x14ac:dyDescent="0.25">
      <c r="A10" s="43" t="s">
        <v>12</v>
      </c>
      <c r="B10" s="47" t="s">
        <v>277</v>
      </c>
      <c r="C10" s="89">
        <f t="shared" ref="C10:K10" si="0">SUM(C11:C21)</f>
        <v>239917672</v>
      </c>
      <c r="D10" s="127">
        <f t="shared" si="0"/>
        <v>253851672</v>
      </c>
      <c r="E10" s="89">
        <f t="shared" si="0"/>
        <v>253851672</v>
      </c>
      <c r="F10" s="89">
        <f t="shared" si="0"/>
        <v>253851672</v>
      </c>
      <c r="G10" s="582">
        <f t="shared" si="0"/>
        <v>0</v>
      </c>
      <c r="H10" s="48">
        <f>+E10-D10</f>
        <v>0</v>
      </c>
      <c r="I10" s="1495">
        <f t="shared" si="0"/>
        <v>0</v>
      </c>
      <c r="J10" s="89">
        <f t="shared" si="0"/>
        <v>259828953</v>
      </c>
      <c r="K10" s="1495">
        <f t="shared" si="0"/>
        <v>0</v>
      </c>
      <c r="L10" s="1509">
        <f t="shared" ref="L10:L48" si="1">IF(F10=0,"",J10/F10*100)</f>
        <v>102.35463526905586</v>
      </c>
    </row>
    <row r="11" spans="1:12" s="26" customFormat="1" ht="12.2" customHeight="1" x14ac:dyDescent="0.2">
      <c r="A11" s="49" t="s">
        <v>91</v>
      </c>
      <c r="B11" s="50" t="s">
        <v>143</v>
      </c>
      <c r="C11" s="128"/>
      <c r="D11" s="192"/>
      <c r="E11" s="128"/>
      <c r="F11" s="128"/>
      <c r="G11" s="583"/>
      <c r="H11" s="51">
        <f t="shared" ref="H11:H47" si="2">+E11-D11</f>
        <v>0</v>
      </c>
      <c r="I11" s="1496"/>
      <c r="J11" s="128">
        <v>4069</v>
      </c>
      <c r="K11" s="1496"/>
      <c r="L11" s="1510" t="str">
        <f t="shared" si="1"/>
        <v/>
      </c>
    </row>
    <row r="12" spans="1:12" s="26" customFormat="1" ht="12.2" customHeight="1" x14ac:dyDescent="0.2">
      <c r="A12" s="1037" t="s">
        <v>92</v>
      </c>
      <c r="B12" s="330" t="s">
        <v>144</v>
      </c>
      <c r="C12" s="331">
        <v>20379785</v>
      </c>
      <c r="D12" s="340">
        <v>20379785</v>
      </c>
      <c r="E12" s="331">
        <v>20379785</v>
      </c>
      <c r="F12" s="331">
        <v>20379785</v>
      </c>
      <c r="G12" s="88"/>
      <c r="H12" s="332">
        <f t="shared" si="2"/>
        <v>0</v>
      </c>
      <c r="I12" s="1497"/>
      <c r="J12" s="331">
        <v>35574239</v>
      </c>
      <c r="K12" s="1497"/>
      <c r="L12" s="1511">
        <f t="shared" si="1"/>
        <v>174.55649801997421</v>
      </c>
    </row>
    <row r="13" spans="1:12" s="26" customFormat="1" ht="12.2" customHeight="1" x14ac:dyDescent="0.2">
      <c r="A13" s="1037" t="s">
        <v>93</v>
      </c>
      <c r="B13" s="330" t="s">
        <v>145</v>
      </c>
      <c r="C13" s="331">
        <v>6184800</v>
      </c>
      <c r="D13" s="340">
        <v>6184800</v>
      </c>
      <c r="E13" s="331">
        <v>6184800</v>
      </c>
      <c r="F13" s="331">
        <v>6184800</v>
      </c>
      <c r="G13" s="88"/>
      <c r="H13" s="332">
        <f t="shared" si="2"/>
        <v>0</v>
      </c>
      <c r="I13" s="1497"/>
      <c r="J13" s="331">
        <v>7451047</v>
      </c>
      <c r="K13" s="1497"/>
      <c r="L13" s="1511">
        <f t="shared" si="1"/>
        <v>120.47353188462036</v>
      </c>
    </row>
    <row r="14" spans="1:12" s="26" customFormat="1" ht="12.2" customHeight="1" x14ac:dyDescent="0.2">
      <c r="A14" s="1037" t="s">
        <v>90</v>
      </c>
      <c r="B14" s="330" t="s">
        <v>146</v>
      </c>
      <c r="C14" s="331"/>
      <c r="D14" s="340"/>
      <c r="E14" s="331"/>
      <c r="F14" s="331"/>
      <c r="G14" s="88"/>
      <c r="H14" s="332">
        <f t="shared" si="2"/>
        <v>0</v>
      </c>
      <c r="I14" s="1497"/>
      <c r="J14" s="331"/>
      <c r="K14" s="1497"/>
      <c r="L14" s="1511" t="str">
        <f t="shared" si="1"/>
        <v/>
      </c>
    </row>
    <row r="15" spans="1:12" s="26" customFormat="1" ht="12.2" customHeight="1" x14ac:dyDescent="0.2">
      <c r="A15" s="1037" t="s">
        <v>147</v>
      </c>
      <c r="B15" s="330" t="s">
        <v>148</v>
      </c>
      <c r="C15" s="331">
        <v>176659740</v>
      </c>
      <c r="D15" s="340">
        <v>176659740</v>
      </c>
      <c r="E15" s="331">
        <v>176659740</v>
      </c>
      <c r="F15" s="331">
        <v>176659740</v>
      </c>
      <c r="G15" s="88"/>
      <c r="H15" s="332">
        <f t="shared" si="2"/>
        <v>0</v>
      </c>
      <c r="I15" s="1497"/>
      <c r="J15" s="331">
        <v>163778559</v>
      </c>
      <c r="K15" s="1497"/>
      <c r="L15" s="1511">
        <f t="shared" si="1"/>
        <v>92.708479589067665</v>
      </c>
    </row>
    <row r="16" spans="1:12" s="26" customFormat="1" ht="12.2" customHeight="1" x14ac:dyDescent="0.2">
      <c r="A16" s="1037" t="s">
        <v>149</v>
      </c>
      <c r="B16" s="330" t="s">
        <v>150</v>
      </c>
      <c r="C16" s="331">
        <v>36693347</v>
      </c>
      <c r="D16" s="340">
        <v>36693347</v>
      </c>
      <c r="E16" s="331">
        <v>36693347</v>
      </c>
      <c r="F16" s="331">
        <v>36693347</v>
      </c>
      <c r="G16" s="88"/>
      <c r="H16" s="332">
        <f t="shared" si="2"/>
        <v>0</v>
      </c>
      <c r="I16" s="1497"/>
      <c r="J16" s="331">
        <v>38211928</v>
      </c>
      <c r="K16" s="1497"/>
      <c r="L16" s="1511">
        <f t="shared" si="1"/>
        <v>104.13857313152708</v>
      </c>
    </row>
    <row r="17" spans="1:12" s="26" customFormat="1" ht="12.2" customHeight="1" x14ac:dyDescent="0.2">
      <c r="A17" s="1037" t="s">
        <v>151</v>
      </c>
      <c r="B17" s="52" t="s">
        <v>152</v>
      </c>
      <c r="C17" s="331"/>
      <c r="D17" s="340">
        <v>13934000</v>
      </c>
      <c r="E17" s="331">
        <v>13934000</v>
      </c>
      <c r="F17" s="331">
        <v>13934000</v>
      </c>
      <c r="G17" s="88"/>
      <c r="H17" s="332">
        <f t="shared" si="2"/>
        <v>0</v>
      </c>
      <c r="I17" s="1497"/>
      <c r="J17" s="331">
        <v>13934000</v>
      </c>
      <c r="K17" s="1497"/>
      <c r="L17" s="1511">
        <f t="shared" si="1"/>
        <v>100</v>
      </c>
    </row>
    <row r="18" spans="1:12" s="26" customFormat="1" ht="12.2" customHeight="1" x14ac:dyDescent="0.2">
      <c r="A18" s="1037" t="s">
        <v>153</v>
      </c>
      <c r="B18" s="345" t="s">
        <v>302</v>
      </c>
      <c r="C18" s="121"/>
      <c r="D18" s="188"/>
      <c r="E18" s="121"/>
      <c r="F18" s="121"/>
      <c r="G18" s="90"/>
      <c r="H18" s="53">
        <f t="shared" si="2"/>
        <v>0</v>
      </c>
      <c r="I18" s="1498"/>
      <c r="J18" s="121"/>
      <c r="K18" s="1498"/>
      <c r="L18" s="1512" t="str">
        <f t="shared" si="1"/>
        <v/>
      </c>
    </row>
    <row r="19" spans="1:12" s="54" customFormat="1" ht="12.2" customHeight="1" x14ac:dyDescent="0.2">
      <c r="A19" s="1037" t="s">
        <v>154</v>
      </c>
      <c r="B19" s="330" t="s">
        <v>155</v>
      </c>
      <c r="C19" s="331"/>
      <c r="D19" s="340"/>
      <c r="E19" s="331"/>
      <c r="F19" s="331"/>
      <c r="G19" s="88"/>
      <c r="H19" s="332">
        <f t="shared" si="2"/>
        <v>0</v>
      </c>
      <c r="I19" s="1497"/>
      <c r="J19" s="331"/>
      <c r="K19" s="1497"/>
      <c r="L19" s="1511" t="str">
        <f t="shared" si="1"/>
        <v/>
      </c>
    </row>
    <row r="20" spans="1:12" s="54" customFormat="1" ht="12.2" customHeight="1" x14ac:dyDescent="0.2">
      <c r="A20" s="1037" t="s">
        <v>156</v>
      </c>
      <c r="B20" s="345" t="s">
        <v>275</v>
      </c>
      <c r="C20" s="331"/>
      <c r="D20" s="341"/>
      <c r="E20" s="333"/>
      <c r="F20" s="1493"/>
      <c r="G20" s="1488"/>
      <c r="H20" s="334">
        <f t="shared" si="2"/>
        <v>0</v>
      </c>
      <c r="I20" s="1499"/>
      <c r="J20" s="1493">
        <v>623468</v>
      </c>
      <c r="K20" s="1499"/>
      <c r="L20" s="1513" t="str">
        <f t="shared" si="1"/>
        <v/>
      </c>
    </row>
    <row r="21" spans="1:12" s="54" customFormat="1" ht="12.2" customHeight="1" thickBot="1" x14ac:dyDescent="0.25">
      <c r="A21" s="1037" t="s">
        <v>276</v>
      </c>
      <c r="B21" s="52" t="s">
        <v>157</v>
      </c>
      <c r="C21" s="331"/>
      <c r="D21" s="341"/>
      <c r="E21" s="333"/>
      <c r="F21" s="1493"/>
      <c r="G21" s="1488"/>
      <c r="H21" s="334">
        <f t="shared" si="2"/>
        <v>0</v>
      </c>
      <c r="I21" s="1499"/>
      <c r="J21" s="1493">
        <v>251643</v>
      </c>
      <c r="K21" s="1499"/>
      <c r="L21" s="1513" t="str">
        <f t="shared" si="1"/>
        <v/>
      </c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 t="shared" ref="C22:K22" si="3">SUM(C23:C25)</f>
        <v>0</v>
      </c>
      <c r="D22" s="127">
        <f t="shared" si="3"/>
        <v>0</v>
      </c>
      <c r="E22" s="89">
        <f t="shared" si="3"/>
        <v>321071</v>
      </c>
      <c r="F22" s="89">
        <f t="shared" si="3"/>
        <v>321071</v>
      </c>
      <c r="G22" s="582">
        <f t="shared" si="3"/>
        <v>0</v>
      </c>
      <c r="H22" s="48">
        <f t="shared" si="2"/>
        <v>321071</v>
      </c>
      <c r="I22" s="1495">
        <f t="shared" si="3"/>
        <v>0</v>
      </c>
      <c r="J22" s="89">
        <f t="shared" si="3"/>
        <v>321071</v>
      </c>
      <c r="K22" s="1495">
        <f t="shared" si="3"/>
        <v>0</v>
      </c>
      <c r="L22" s="1509">
        <f t="shared" si="1"/>
        <v>100</v>
      </c>
    </row>
    <row r="23" spans="1:12" s="54" customFormat="1" ht="12.2" customHeight="1" x14ac:dyDescent="0.2">
      <c r="A23" s="1037" t="s">
        <v>94</v>
      </c>
      <c r="B23" s="17" t="s">
        <v>159</v>
      </c>
      <c r="C23" s="331"/>
      <c r="D23" s="340"/>
      <c r="E23" s="331"/>
      <c r="F23" s="331"/>
      <c r="G23" s="88"/>
      <c r="H23" s="332">
        <f t="shared" si="2"/>
        <v>0</v>
      </c>
      <c r="I23" s="1497"/>
      <c r="J23" s="331"/>
      <c r="K23" s="1497"/>
      <c r="L23" s="1511" t="str">
        <f t="shared" si="1"/>
        <v/>
      </c>
    </row>
    <row r="24" spans="1:12" s="54" customFormat="1" ht="12.2" customHeight="1" x14ac:dyDescent="0.2">
      <c r="A24" s="1037" t="s">
        <v>95</v>
      </c>
      <c r="B24" s="330" t="s">
        <v>160</v>
      </c>
      <c r="C24" s="331"/>
      <c r="D24" s="340"/>
      <c r="E24" s="331"/>
      <c r="F24" s="331"/>
      <c r="G24" s="88"/>
      <c r="H24" s="332">
        <f t="shared" si="2"/>
        <v>0</v>
      </c>
      <c r="I24" s="1497"/>
      <c r="J24" s="331"/>
      <c r="K24" s="1497"/>
      <c r="L24" s="1511" t="str">
        <f t="shared" si="1"/>
        <v/>
      </c>
    </row>
    <row r="25" spans="1:12" s="54" customFormat="1" ht="12.2" customHeight="1" x14ac:dyDescent="0.2">
      <c r="A25" s="1037" t="s">
        <v>96</v>
      </c>
      <c r="B25" s="330" t="s">
        <v>161</v>
      </c>
      <c r="C25" s="331"/>
      <c r="D25" s="340"/>
      <c r="E25" s="331">
        <v>321071</v>
      </c>
      <c r="F25" s="331">
        <v>321071</v>
      </c>
      <c r="G25" s="88"/>
      <c r="H25" s="332">
        <f t="shared" si="2"/>
        <v>321071</v>
      </c>
      <c r="I25" s="1497"/>
      <c r="J25" s="331">
        <v>321071</v>
      </c>
      <c r="K25" s="1497"/>
      <c r="L25" s="1511">
        <f t="shared" si="1"/>
        <v>100</v>
      </c>
    </row>
    <row r="26" spans="1:12" s="54" customFormat="1" ht="12.2" customHeight="1" thickBot="1" x14ac:dyDescent="0.25">
      <c r="A26" s="1037" t="s">
        <v>317</v>
      </c>
      <c r="B26" s="335" t="s">
        <v>233</v>
      </c>
      <c r="C26" s="331"/>
      <c r="D26" s="340"/>
      <c r="E26" s="331"/>
      <c r="F26" s="331"/>
      <c r="G26" s="88"/>
      <c r="H26" s="332">
        <f t="shared" si="2"/>
        <v>0</v>
      </c>
      <c r="I26" s="1497"/>
      <c r="J26" s="331"/>
      <c r="K26" s="1497"/>
      <c r="L26" s="1511" t="str">
        <f t="shared" si="1"/>
        <v/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30"/>
      <c r="D27" s="129"/>
      <c r="E27" s="130"/>
      <c r="F27" s="130"/>
      <c r="G27" s="585"/>
      <c r="H27" s="57">
        <f t="shared" si="2"/>
        <v>0</v>
      </c>
      <c r="I27" s="1500"/>
      <c r="J27" s="130"/>
      <c r="K27" s="1500"/>
      <c r="L27" s="1514" t="str">
        <f t="shared" si="1"/>
        <v/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 t="shared" ref="C28:K28" si="4">+C29+C30</f>
        <v>0</v>
      </c>
      <c r="D28" s="127">
        <f t="shared" si="4"/>
        <v>0</v>
      </c>
      <c r="E28" s="89">
        <f t="shared" si="4"/>
        <v>0</v>
      </c>
      <c r="F28" s="89">
        <f t="shared" si="4"/>
        <v>0</v>
      </c>
      <c r="G28" s="582">
        <f t="shared" si="4"/>
        <v>0</v>
      </c>
      <c r="H28" s="48">
        <f t="shared" si="2"/>
        <v>0</v>
      </c>
      <c r="I28" s="1495">
        <f t="shared" si="4"/>
        <v>0</v>
      </c>
      <c r="J28" s="89">
        <f t="shared" si="4"/>
        <v>0</v>
      </c>
      <c r="K28" s="1495">
        <f t="shared" si="4"/>
        <v>0</v>
      </c>
      <c r="L28" s="1509" t="str">
        <f t="shared" si="1"/>
        <v/>
      </c>
    </row>
    <row r="29" spans="1:12" s="54" customFormat="1" ht="12.2" customHeight="1" x14ac:dyDescent="0.2">
      <c r="A29" s="58" t="s">
        <v>100</v>
      </c>
      <c r="B29" s="59" t="s">
        <v>160</v>
      </c>
      <c r="C29" s="122"/>
      <c r="D29" s="189"/>
      <c r="E29" s="122"/>
      <c r="F29" s="122"/>
      <c r="G29" s="586"/>
      <c r="H29" s="33">
        <f t="shared" si="2"/>
        <v>0</v>
      </c>
      <c r="I29" s="1501"/>
      <c r="J29" s="122"/>
      <c r="K29" s="1501"/>
      <c r="L29" s="1515" t="str">
        <f t="shared" si="1"/>
        <v/>
      </c>
    </row>
    <row r="30" spans="1:12" s="54" customFormat="1" ht="12.2" customHeight="1" x14ac:dyDescent="0.2">
      <c r="A30" s="58" t="s">
        <v>101</v>
      </c>
      <c r="B30" s="336" t="s">
        <v>163</v>
      </c>
      <c r="C30" s="120"/>
      <c r="D30" s="193"/>
      <c r="E30" s="120"/>
      <c r="F30" s="120"/>
      <c r="G30" s="91"/>
      <c r="H30" s="60">
        <f t="shared" si="2"/>
        <v>0</v>
      </c>
      <c r="I30" s="1502"/>
      <c r="J30" s="120"/>
      <c r="K30" s="1502"/>
      <c r="L30" s="1516" t="str">
        <f t="shared" si="1"/>
        <v/>
      </c>
    </row>
    <row r="31" spans="1:12" s="54" customFormat="1" ht="12.2" customHeight="1" thickBot="1" x14ac:dyDescent="0.25">
      <c r="A31" s="1037" t="s">
        <v>281</v>
      </c>
      <c r="B31" s="102" t="s">
        <v>165</v>
      </c>
      <c r="C31" s="92"/>
      <c r="D31" s="190"/>
      <c r="E31" s="92"/>
      <c r="F31" s="92"/>
      <c r="G31" s="593"/>
      <c r="H31" s="61">
        <f t="shared" si="2"/>
        <v>0</v>
      </c>
      <c r="I31" s="1503"/>
      <c r="J31" s="92"/>
      <c r="K31" s="1503"/>
      <c r="L31" s="1517" t="str">
        <f t="shared" si="1"/>
        <v/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 t="shared" ref="C32:K32" si="5">+C33+C34+C35</f>
        <v>0</v>
      </c>
      <c r="D32" s="127">
        <f t="shared" si="5"/>
        <v>0</v>
      </c>
      <c r="E32" s="89">
        <f t="shared" si="5"/>
        <v>0</v>
      </c>
      <c r="F32" s="89">
        <f t="shared" si="5"/>
        <v>0</v>
      </c>
      <c r="G32" s="582">
        <f t="shared" si="5"/>
        <v>0</v>
      </c>
      <c r="H32" s="48">
        <f t="shared" si="2"/>
        <v>0</v>
      </c>
      <c r="I32" s="1495">
        <f t="shared" si="5"/>
        <v>0</v>
      </c>
      <c r="J32" s="89">
        <f t="shared" si="5"/>
        <v>52008</v>
      </c>
      <c r="K32" s="1495">
        <f t="shared" si="5"/>
        <v>0</v>
      </c>
      <c r="L32" s="1509" t="str">
        <f t="shared" si="1"/>
        <v/>
      </c>
    </row>
    <row r="33" spans="1:12" s="54" customFormat="1" ht="12.2" customHeight="1" x14ac:dyDescent="0.2">
      <c r="A33" s="58" t="s">
        <v>89</v>
      </c>
      <c r="B33" s="59" t="s">
        <v>167</v>
      </c>
      <c r="C33" s="122"/>
      <c r="D33" s="189"/>
      <c r="E33" s="122"/>
      <c r="F33" s="122"/>
      <c r="G33" s="586"/>
      <c r="H33" s="33">
        <f t="shared" si="2"/>
        <v>0</v>
      </c>
      <c r="I33" s="1501"/>
      <c r="J33" s="122"/>
      <c r="K33" s="1501"/>
      <c r="L33" s="1515" t="str">
        <f t="shared" si="1"/>
        <v/>
      </c>
    </row>
    <row r="34" spans="1:12" s="54" customFormat="1" ht="12.2" customHeight="1" x14ac:dyDescent="0.2">
      <c r="A34" s="58" t="s">
        <v>102</v>
      </c>
      <c r="B34" s="336" t="s">
        <v>168</v>
      </c>
      <c r="C34" s="120"/>
      <c r="D34" s="193"/>
      <c r="E34" s="120"/>
      <c r="F34" s="120"/>
      <c r="G34" s="91"/>
      <c r="H34" s="60">
        <f t="shared" si="2"/>
        <v>0</v>
      </c>
      <c r="I34" s="1502"/>
      <c r="J34" s="120"/>
      <c r="K34" s="1502"/>
      <c r="L34" s="1516" t="str">
        <f t="shared" si="1"/>
        <v/>
      </c>
    </row>
    <row r="35" spans="1:12" s="54" customFormat="1" ht="12.2" customHeight="1" thickBot="1" x14ac:dyDescent="0.25">
      <c r="A35" s="1037" t="s">
        <v>103</v>
      </c>
      <c r="B35" s="62" t="s">
        <v>169</v>
      </c>
      <c r="C35" s="92"/>
      <c r="D35" s="190"/>
      <c r="E35" s="92"/>
      <c r="F35" s="92"/>
      <c r="G35" s="593"/>
      <c r="H35" s="61">
        <f t="shared" si="2"/>
        <v>0</v>
      </c>
      <c r="I35" s="1503"/>
      <c r="J35" s="92">
        <v>52008</v>
      </c>
      <c r="K35" s="1503"/>
      <c r="L35" s="1517" t="str">
        <f t="shared" si="1"/>
        <v/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30"/>
      <c r="D36" s="129"/>
      <c r="E36" s="130"/>
      <c r="F36" s="130"/>
      <c r="G36" s="585"/>
      <c r="H36" s="57">
        <f t="shared" si="2"/>
        <v>0</v>
      </c>
      <c r="I36" s="1500"/>
      <c r="J36" s="130"/>
      <c r="K36" s="1500"/>
      <c r="L36" s="1514" t="str">
        <f t="shared" si="1"/>
        <v/>
      </c>
    </row>
    <row r="37" spans="1:12" s="26" customFormat="1" ht="12.2" customHeight="1" thickBot="1" x14ac:dyDescent="0.25">
      <c r="A37" s="1038" t="s">
        <v>104</v>
      </c>
      <c r="B37" s="337" t="s">
        <v>165</v>
      </c>
      <c r="C37" s="1032"/>
      <c r="D37" s="823"/>
      <c r="E37" s="1032"/>
      <c r="F37" s="130"/>
      <c r="G37" s="585"/>
      <c r="H37" s="57">
        <f t="shared" si="2"/>
        <v>0</v>
      </c>
      <c r="I37" s="1500"/>
      <c r="J37" s="130"/>
      <c r="K37" s="1500"/>
      <c r="L37" s="1514" t="str">
        <f t="shared" si="1"/>
        <v/>
      </c>
    </row>
    <row r="38" spans="1:12" s="26" customFormat="1" ht="12.2" customHeight="1" thickBot="1" x14ac:dyDescent="0.25">
      <c r="A38" s="55" t="s">
        <v>18</v>
      </c>
      <c r="B38" s="56" t="s">
        <v>380</v>
      </c>
      <c r="C38" s="130"/>
      <c r="D38" s="129"/>
      <c r="E38" s="130"/>
      <c r="F38" s="130"/>
      <c r="G38" s="585"/>
      <c r="H38" s="57">
        <f t="shared" si="2"/>
        <v>0</v>
      </c>
      <c r="I38" s="1500"/>
      <c r="J38" s="130"/>
      <c r="K38" s="1500"/>
      <c r="L38" s="1514" t="str">
        <f t="shared" si="1"/>
        <v/>
      </c>
    </row>
    <row r="39" spans="1:12" s="26" customFormat="1" ht="12.2" customHeight="1" x14ac:dyDescent="0.2">
      <c r="A39" s="12" t="s">
        <v>107</v>
      </c>
      <c r="B39" s="95" t="s">
        <v>212</v>
      </c>
      <c r="C39" s="131"/>
      <c r="D39" s="194"/>
      <c r="E39" s="131"/>
      <c r="F39" s="131"/>
      <c r="G39" s="589"/>
      <c r="H39" s="96">
        <f t="shared" si="2"/>
        <v>0</v>
      </c>
      <c r="I39" s="1504"/>
      <c r="J39" s="131"/>
      <c r="K39" s="1504"/>
      <c r="L39" s="1518" t="str">
        <f t="shared" si="1"/>
        <v/>
      </c>
    </row>
    <row r="40" spans="1:12" s="26" customFormat="1" ht="12.2" customHeight="1" x14ac:dyDescent="0.2">
      <c r="A40" s="1003" t="s">
        <v>108</v>
      </c>
      <c r="B40" s="346" t="s">
        <v>213</v>
      </c>
      <c r="C40" s="1033"/>
      <c r="D40" s="825"/>
      <c r="E40" s="1033"/>
      <c r="F40" s="1494"/>
      <c r="G40" s="605"/>
      <c r="H40" s="824">
        <f t="shared" si="2"/>
        <v>0</v>
      </c>
      <c r="I40" s="1505"/>
      <c r="J40" s="1508"/>
      <c r="K40" s="1505"/>
      <c r="L40" s="1519" t="str">
        <f t="shared" si="1"/>
        <v/>
      </c>
    </row>
    <row r="41" spans="1:12" s="26" customFormat="1" ht="12.2" customHeight="1" thickBot="1" x14ac:dyDescent="0.25">
      <c r="A41" s="1003" t="s">
        <v>323</v>
      </c>
      <c r="B41" s="103" t="s">
        <v>165</v>
      </c>
      <c r="C41" s="92"/>
      <c r="D41" s="190"/>
      <c r="E41" s="92"/>
      <c r="F41" s="92"/>
      <c r="G41" s="593"/>
      <c r="H41" s="61">
        <f t="shared" si="2"/>
        <v>0</v>
      </c>
      <c r="I41" s="1506"/>
      <c r="J41" s="133"/>
      <c r="K41" s="1506"/>
      <c r="L41" s="1520" t="str">
        <f t="shared" si="1"/>
        <v/>
      </c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239917672</v>
      </c>
      <c r="D42" s="127">
        <f t="shared" ref="D42:K42" si="6">+D10+D22+D27+D28+D32+D36+D38</f>
        <v>253851672</v>
      </c>
      <c r="E42" s="89">
        <f t="shared" si="6"/>
        <v>254172743</v>
      </c>
      <c r="F42" s="89">
        <f t="shared" si="6"/>
        <v>254172743</v>
      </c>
      <c r="G42" s="582">
        <f t="shared" si="6"/>
        <v>0</v>
      </c>
      <c r="H42" s="48">
        <f t="shared" si="2"/>
        <v>321071</v>
      </c>
      <c r="I42" s="1495">
        <f t="shared" si="6"/>
        <v>0</v>
      </c>
      <c r="J42" s="89">
        <f t="shared" si="6"/>
        <v>260202032</v>
      </c>
      <c r="K42" s="1495">
        <f t="shared" si="6"/>
        <v>0</v>
      </c>
      <c r="L42" s="1509">
        <f t="shared" si="1"/>
        <v>102.37212256862649</v>
      </c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SUM(C44:C47)</f>
        <v>1105072328</v>
      </c>
      <c r="D43" s="127">
        <f t="shared" ref="D43:K43" si="7">SUM(D44:D47)</f>
        <v>1125451275</v>
      </c>
      <c r="E43" s="89">
        <f t="shared" si="7"/>
        <v>1296372475</v>
      </c>
      <c r="F43" s="89">
        <f t="shared" si="7"/>
        <v>1296372475</v>
      </c>
      <c r="G43" s="582">
        <f t="shared" si="7"/>
        <v>0</v>
      </c>
      <c r="H43" s="48">
        <f t="shared" si="2"/>
        <v>170921200</v>
      </c>
      <c r="I43" s="1495">
        <f t="shared" si="7"/>
        <v>6045366</v>
      </c>
      <c r="J43" s="89">
        <f t="shared" si="7"/>
        <v>856274320</v>
      </c>
      <c r="K43" s="1495" t="e">
        <f t="shared" si="7"/>
        <v>#VALUE!</v>
      </c>
      <c r="L43" s="1509">
        <f t="shared" si="1"/>
        <v>66.051565928225983</v>
      </c>
    </row>
    <row r="44" spans="1:12" s="26" customFormat="1" ht="12.2" customHeight="1" x14ac:dyDescent="0.2">
      <c r="A44" s="58" t="s">
        <v>171</v>
      </c>
      <c r="B44" s="59" t="s">
        <v>131</v>
      </c>
      <c r="C44" s="122"/>
      <c r="D44" s="189">
        <f>4290947+9155564</f>
        <v>13446511</v>
      </c>
      <c r="E44" s="122">
        <v>13446511</v>
      </c>
      <c r="F44" s="122">
        <v>13446511</v>
      </c>
      <c r="G44" s="586"/>
      <c r="H44" s="33">
        <f t="shared" si="2"/>
        <v>0</v>
      </c>
      <c r="I44" s="1501"/>
      <c r="J44" s="122">
        <v>13446511</v>
      </c>
      <c r="K44" s="1501"/>
      <c r="L44" s="1515">
        <f t="shared" si="1"/>
        <v>100</v>
      </c>
    </row>
    <row r="45" spans="1:12" s="26" customFormat="1" ht="12.2" customHeight="1" x14ac:dyDescent="0.2">
      <c r="A45" s="71" t="s">
        <v>172</v>
      </c>
      <c r="B45" s="59" t="s">
        <v>186</v>
      </c>
      <c r="C45" s="120"/>
      <c r="D45" s="193"/>
      <c r="E45" s="120"/>
      <c r="F45" s="120"/>
      <c r="G45" s="91"/>
      <c r="H45" s="60">
        <f t="shared" si="2"/>
        <v>0</v>
      </c>
      <c r="I45" s="1502"/>
      <c r="J45" s="120"/>
      <c r="K45" s="1502"/>
      <c r="L45" s="1516" t="str">
        <f t="shared" si="1"/>
        <v/>
      </c>
    </row>
    <row r="46" spans="1:12" s="26" customFormat="1" ht="12.2" customHeight="1" x14ac:dyDescent="0.2">
      <c r="A46" s="1037" t="s">
        <v>173</v>
      </c>
      <c r="B46" s="336" t="s">
        <v>177</v>
      </c>
      <c r="C46" s="339">
        <f t="shared" ref="C46:K46" si="8">C70-C42-C44-C63-C65-C68+C38+C32+C28</f>
        <v>1100072328</v>
      </c>
      <c r="D46" s="323">
        <f>D70-D42-D44-D63-D65-D68+D38+D32+D28</f>
        <v>1098824448</v>
      </c>
      <c r="E46" s="323">
        <f t="shared" si="8"/>
        <v>1264585244</v>
      </c>
      <c r="F46" s="339">
        <f t="shared" si="8"/>
        <v>1264585244</v>
      </c>
      <c r="G46" s="1489">
        <f t="shared" si="8"/>
        <v>0</v>
      </c>
      <c r="H46" s="324">
        <f t="shared" si="2"/>
        <v>165760796</v>
      </c>
      <c r="I46" s="1489">
        <f t="shared" si="8"/>
        <v>0</v>
      </c>
      <c r="J46" s="1719">
        <f>842827809-J47</f>
        <v>836834451</v>
      </c>
      <c r="K46" s="1489" t="e">
        <f t="shared" si="8"/>
        <v>#VALUE!</v>
      </c>
      <c r="L46" s="1521">
        <f t="shared" si="1"/>
        <v>66.174617723121244</v>
      </c>
    </row>
    <row r="47" spans="1:12" s="54" customFormat="1" ht="12.2" customHeight="1" thickBot="1" x14ac:dyDescent="0.25">
      <c r="A47" s="58" t="s">
        <v>178</v>
      </c>
      <c r="B47" s="62" t="s">
        <v>179</v>
      </c>
      <c r="C47" s="1034">
        <f t="shared" ref="C47:K47" si="9">C62-C38-C32-C45-C28</f>
        <v>5000000</v>
      </c>
      <c r="D47" s="195">
        <f t="shared" si="9"/>
        <v>13180316</v>
      </c>
      <c r="E47" s="195">
        <f t="shared" si="9"/>
        <v>18340720</v>
      </c>
      <c r="F47" s="1034">
        <f t="shared" si="9"/>
        <v>18340720</v>
      </c>
      <c r="G47" s="1490">
        <f t="shared" si="9"/>
        <v>0</v>
      </c>
      <c r="H47" s="1491">
        <f t="shared" si="2"/>
        <v>5160404</v>
      </c>
      <c r="I47" s="1490">
        <f t="shared" si="9"/>
        <v>6045366</v>
      </c>
      <c r="J47" s="1720">
        <f>+J63-J35</f>
        <v>5993358</v>
      </c>
      <c r="K47" s="1490">
        <f t="shared" si="9"/>
        <v>32.961443171260449</v>
      </c>
      <c r="L47" s="1522">
        <f t="shared" si="1"/>
        <v>32.67787742247851</v>
      </c>
    </row>
    <row r="48" spans="1:12" s="54" customFormat="1" ht="15" customHeight="1" thickBot="1" x14ac:dyDescent="0.25">
      <c r="A48" s="63" t="s">
        <v>21</v>
      </c>
      <c r="B48" s="497" t="s">
        <v>174</v>
      </c>
      <c r="C48" s="135">
        <f t="shared" ref="C48:K48" si="10">+C42+C43</f>
        <v>1344990000</v>
      </c>
      <c r="D48" s="134">
        <f t="shared" si="10"/>
        <v>1379302947</v>
      </c>
      <c r="E48" s="135">
        <f t="shared" si="10"/>
        <v>1550545218</v>
      </c>
      <c r="F48" s="135">
        <f t="shared" si="10"/>
        <v>1550545218</v>
      </c>
      <c r="G48" s="592">
        <f t="shared" si="10"/>
        <v>0</v>
      </c>
      <c r="H48" s="68">
        <f>+E48-D48</f>
        <v>171242271</v>
      </c>
      <c r="I48" s="1507">
        <f t="shared" si="10"/>
        <v>6045366</v>
      </c>
      <c r="J48" s="135">
        <f t="shared" si="10"/>
        <v>1116476352</v>
      </c>
      <c r="K48" s="1507" t="e">
        <f t="shared" si="10"/>
        <v>#VALUE!</v>
      </c>
      <c r="L48" s="1523">
        <f t="shared" si="1"/>
        <v>72.005404230655586</v>
      </c>
    </row>
    <row r="49" spans="1:12" s="54" customFormat="1" ht="14.45" customHeight="1" x14ac:dyDescent="0.2">
      <c r="A49" s="64"/>
      <c r="B49" s="65"/>
      <c r="C49" s="66"/>
      <c r="D49" s="125"/>
      <c r="E49" s="125"/>
      <c r="F49" s="125"/>
      <c r="G49" s="125"/>
      <c r="H49" s="125"/>
      <c r="I49" s="125"/>
      <c r="J49" s="125"/>
      <c r="K49" s="125"/>
      <c r="L49" s="138"/>
    </row>
    <row r="50" spans="1:12" ht="14.45" customHeight="1" x14ac:dyDescent="0.2">
      <c r="A50" s="1804" t="s">
        <v>34</v>
      </c>
      <c r="B50" s="1804"/>
      <c r="C50" s="1804"/>
      <c r="D50" s="1804"/>
      <c r="E50" s="1804"/>
      <c r="F50" s="1804"/>
      <c r="G50" s="1804"/>
      <c r="H50" s="1804"/>
      <c r="I50" s="1804"/>
      <c r="J50" s="1804"/>
      <c r="K50" s="1804"/>
      <c r="L50" s="1804"/>
    </row>
    <row r="51" spans="1:12" ht="14.45" customHeight="1" thickBot="1" x14ac:dyDescent="0.3">
      <c r="A51" s="1805" t="s">
        <v>362</v>
      </c>
      <c r="B51" s="1805"/>
      <c r="C51" s="1805"/>
      <c r="D51" s="1805"/>
      <c r="E51" s="1805"/>
      <c r="F51" s="1805"/>
      <c r="G51" s="1805"/>
      <c r="H51" s="1805"/>
      <c r="I51" s="1805"/>
      <c r="J51" s="1805"/>
      <c r="K51" s="1805"/>
      <c r="L51" s="1805"/>
    </row>
    <row r="52" spans="1:12" s="46" customFormat="1" ht="66.75" customHeight="1" thickBot="1" x14ac:dyDescent="0.25">
      <c r="A52" s="1413" t="s">
        <v>142</v>
      </c>
      <c r="B52" s="42" t="s">
        <v>36</v>
      </c>
      <c r="C52" s="21" t="str">
        <f>'1. mell.bevétel_össz'!C8</f>
        <v>2023. évi eredeti előirányzat
2/2023. (II.14.)</v>
      </c>
      <c r="D52" s="191" t="str">
        <f>'1. mell.bevétel_össz'!D8</f>
        <v>Módosított előirányzat a 14/2023.  (VI.29.)  rendelet szerint</v>
      </c>
      <c r="E52" s="42" t="str">
        <f>'1. mell.bevétel_össz'!E8</f>
        <v>Módosított előirányzat a 18/2023. (IX.26.)  rendelet szerint</v>
      </c>
      <c r="F52" s="42" t="str">
        <f>'1. mell.bevétel_össz'!F8</f>
        <v>Módosított előirányzat 2023.09.30-án</v>
      </c>
      <c r="G52" s="42" t="str">
        <f>'1. mell.bevétel_össz'!G8</f>
        <v>Módosított előirányzat a …../2023. (II…..)  rendelet szerint</v>
      </c>
      <c r="H52" s="126" t="str">
        <f>'1. mell.bevétel_össz'!H8</f>
        <v>Változás a 14/2023. (VI.29.) rendelethez képest</v>
      </c>
      <c r="I52" s="1439" t="str">
        <f>'1. mell.bevétel_össz'!I8</f>
        <v>2023. évi teljesítés              2023.06.30-ig</v>
      </c>
      <c r="J52" s="42" t="str">
        <f>'1. mell.bevétel_össz'!J8</f>
        <v>2023. évi teljesítés              2023.09.30-ig</v>
      </c>
      <c r="K52" s="1453" t="str">
        <f>'1. mell.bevétel_össz'!K8</f>
        <v>2023. évi teljesítés              2023.12.31-ig</v>
      </c>
      <c r="L52" s="1464" t="str">
        <f>'1. mell.bevétel_össz'!L8</f>
        <v>Teljesítés %-a</v>
      </c>
    </row>
    <row r="53" spans="1:12" s="31" customFormat="1" ht="12.2" customHeight="1" thickBot="1" x14ac:dyDescent="0.25">
      <c r="A53" s="197" t="s">
        <v>12</v>
      </c>
      <c r="B53" s="56" t="s">
        <v>547</v>
      </c>
      <c r="C53" s="89">
        <f t="shared" ref="C53:K53" si="11">SUM(C54:C59)-C55</f>
        <v>1339990000</v>
      </c>
      <c r="D53" s="127">
        <f t="shared" si="11"/>
        <v>1366122631</v>
      </c>
      <c r="E53" s="89">
        <f t="shared" si="11"/>
        <v>1532204498</v>
      </c>
      <c r="F53" s="89">
        <f t="shared" si="11"/>
        <v>1532204498</v>
      </c>
      <c r="G53" s="89">
        <f t="shared" si="11"/>
        <v>0</v>
      </c>
      <c r="H53" s="175">
        <f t="shared" ref="H53:H69" si="12">+E53-D53</f>
        <v>166081867</v>
      </c>
      <c r="I53" s="1524">
        <f t="shared" si="11"/>
        <v>0</v>
      </c>
      <c r="J53" s="89">
        <f>SUM(J54:J59)-J55</f>
        <v>1100221866</v>
      </c>
      <c r="K53" s="1495">
        <f t="shared" si="11"/>
        <v>0</v>
      </c>
      <c r="L53" s="1509">
        <f t="shared" ref="L53:L72" si="13">IF(F53=0,"",J53/F53*100)</f>
        <v>71.806463656524272</v>
      </c>
    </row>
    <row r="54" spans="1:12" ht="12.2" customHeight="1" x14ac:dyDescent="0.2">
      <c r="A54" s="653" t="s">
        <v>91</v>
      </c>
      <c r="B54" s="17" t="s">
        <v>68</v>
      </c>
      <c r="C54" s="122">
        <v>473600000</v>
      </c>
      <c r="D54" s="189">
        <f>473600000+7100000</f>
        <v>480700000</v>
      </c>
      <c r="E54" s="122">
        <f>480700000+321071+21300000+22600000+68800000</f>
        <v>593721071</v>
      </c>
      <c r="F54" s="122">
        <v>593721071</v>
      </c>
      <c r="G54" s="122"/>
      <c r="H54" s="177">
        <f t="shared" si="12"/>
        <v>113021071</v>
      </c>
      <c r="I54" s="1525"/>
      <c r="J54" s="122">
        <v>410633133</v>
      </c>
      <c r="K54" s="1501"/>
      <c r="L54" s="1515">
        <f t="shared" si="13"/>
        <v>69.162634283532114</v>
      </c>
    </row>
    <row r="55" spans="1:12" ht="12.2" customHeight="1" x14ac:dyDescent="0.2">
      <c r="A55" s="653" t="s">
        <v>305</v>
      </c>
      <c r="B55" s="335" t="s">
        <v>270</v>
      </c>
      <c r="C55" s="122"/>
      <c r="D55" s="189"/>
      <c r="E55" s="122">
        <v>22600000</v>
      </c>
      <c r="F55" s="122">
        <v>22600000</v>
      </c>
      <c r="G55" s="122"/>
      <c r="H55" s="177">
        <f t="shared" si="12"/>
        <v>22600000</v>
      </c>
      <c r="I55" s="1525"/>
      <c r="J55" s="122">
        <v>0</v>
      </c>
      <c r="K55" s="1501"/>
      <c r="L55" s="1515">
        <f t="shared" si="13"/>
        <v>0</v>
      </c>
    </row>
    <row r="56" spans="1:12" ht="12.2" customHeight="1" x14ac:dyDescent="0.2">
      <c r="A56" s="653" t="s">
        <v>92</v>
      </c>
      <c r="B56" s="330" t="s">
        <v>87</v>
      </c>
      <c r="C56" s="339">
        <v>76890000</v>
      </c>
      <c r="D56" s="323">
        <f>76890000+1988000</f>
        <v>78878000</v>
      </c>
      <c r="E56" s="339">
        <f>78878000+5964000+2938000+3100000</f>
        <v>90880000</v>
      </c>
      <c r="F56" s="339">
        <v>90880000</v>
      </c>
      <c r="G56" s="339"/>
      <c r="H56" s="503">
        <f t="shared" si="12"/>
        <v>12002000</v>
      </c>
      <c r="I56" s="1526"/>
      <c r="J56" s="339">
        <v>59516895</v>
      </c>
      <c r="K56" s="1489"/>
      <c r="L56" s="1521">
        <f t="shared" si="13"/>
        <v>65.489541153169014</v>
      </c>
    </row>
    <row r="57" spans="1:12" ht="12.2" customHeight="1" x14ac:dyDescent="0.2">
      <c r="A57" s="653" t="s">
        <v>93</v>
      </c>
      <c r="B57" s="330" t="s">
        <v>69</v>
      </c>
      <c r="C57" s="339">
        <v>789500000</v>
      </c>
      <c r="D57" s="323">
        <f>789500000+1693189+4290947+504695+13934000-3378200</f>
        <v>806544631</v>
      </c>
      <c r="E57" s="339">
        <f>806544631+458796+3000000+37600000</f>
        <v>847603427</v>
      </c>
      <c r="F57" s="339">
        <v>847603427</v>
      </c>
      <c r="G57" s="339"/>
      <c r="H57" s="503">
        <f t="shared" si="12"/>
        <v>41058796</v>
      </c>
      <c r="I57" s="1526"/>
      <c r="J57" s="339">
        <v>630071838</v>
      </c>
      <c r="K57" s="1489"/>
      <c r="L57" s="1521">
        <f t="shared" si="13"/>
        <v>74.335687885320453</v>
      </c>
    </row>
    <row r="58" spans="1:12" ht="12.2" customHeight="1" x14ac:dyDescent="0.2">
      <c r="A58" s="653" t="s">
        <v>90</v>
      </c>
      <c r="B58" s="330" t="s">
        <v>80</v>
      </c>
      <c r="C58" s="339"/>
      <c r="D58" s="323"/>
      <c r="E58" s="339"/>
      <c r="F58" s="339"/>
      <c r="G58" s="339"/>
      <c r="H58" s="503">
        <f t="shared" si="12"/>
        <v>0</v>
      </c>
      <c r="I58" s="1526"/>
      <c r="J58" s="339"/>
      <c r="K58" s="1489"/>
      <c r="L58" s="1521" t="str">
        <f t="shared" si="13"/>
        <v/>
      </c>
    </row>
    <row r="59" spans="1:12" ht="12.2" customHeight="1" x14ac:dyDescent="0.2">
      <c r="A59" s="653" t="s">
        <v>147</v>
      </c>
      <c r="B59" s="330" t="s">
        <v>88</v>
      </c>
      <c r="C59" s="339"/>
      <c r="D59" s="323">
        <f t="shared" ref="D59:K59" si="14">SUM(D60:D61)</f>
        <v>0</v>
      </c>
      <c r="E59" s="339">
        <f t="shared" si="14"/>
        <v>0</v>
      </c>
      <c r="F59" s="339">
        <f t="shared" si="14"/>
        <v>0</v>
      </c>
      <c r="G59" s="339">
        <f t="shared" si="14"/>
        <v>0</v>
      </c>
      <c r="H59" s="503">
        <f t="shared" si="12"/>
        <v>0</v>
      </c>
      <c r="I59" s="1526">
        <f t="shared" si="14"/>
        <v>0</v>
      </c>
      <c r="J59" s="339">
        <f t="shared" si="14"/>
        <v>0</v>
      </c>
      <c r="K59" s="1489">
        <f t="shared" si="14"/>
        <v>0</v>
      </c>
      <c r="L59" s="1521" t="str">
        <f t="shared" si="13"/>
        <v/>
      </c>
    </row>
    <row r="60" spans="1:12" ht="12.2" customHeight="1" x14ac:dyDescent="0.2">
      <c r="A60" s="653" t="s">
        <v>306</v>
      </c>
      <c r="B60" s="521" t="s">
        <v>235</v>
      </c>
      <c r="C60" s="339"/>
      <c r="D60" s="323"/>
      <c r="E60" s="339"/>
      <c r="F60" s="339"/>
      <c r="G60" s="339"/>
      <c r="H60" s="503">
        <f t="shared" si="12"/>
        <v>0</v>
      </c>
      <c r="I60" s="1526"/>
      <c r="J60" s="339"/>
      <c r="K60" s="1489"/>
      <c r="L60" s="1521" t="str">
        <f t="shared" si="13"/>
        <v/>
      </c>
    </row>
    <row r="61" spans="1:12" ht="12.2" customHeight="1" thickBot="1" x14ac:dyDescent="0.25">
      <c r="A61" s="198" t="s">
        <v>307</v>
      </c>
      <c r="B61" s="85" t="s">
        <v>234</v>
      </c>
      <c r="C61" s="92"/>
      <c r="D61" s="190"/>
      <c r="E61" s="92"/>
      <c r="F61" s="92"/>
      <c r="G61" s="92"/>
      <c r="H61" s="178">
        <f t="shared" si="12"/>
        <v>0</v>
      </c>
      <c r="I61" s="1527"/>
      <c r="J61" s="92"/>
      <c r="K61" s="1503"/>
      <c r="L61" s="1517" t="str">
        <f t="shared" si="13"/>
        <v/>
      </c>
    </row>
    <row r="62" spans="1:12" ht="12.2" customHeight="1" thickBot="1" x14ac:dyDescent="0.25">
      <c r="A62" s="197" t="s">
        <v>13</v>
      </c>
      <c r="B62" s="56" t="s">
        <v>548</v>
      </c>
      <c r="C62" s="89">
        <f>SUM(C63:C67)</f>
        <v>5000000</v>
      </c>
      <c r="D62" s="127">
        <f t="shared" ref="D62:K62" si="15">SUM(D63:D67)</f>
        <v>13180316</v>
      </c>
      <c r="E62" s="89">
        <f t="shared" si="15"/>
        <v>18340720</v>
      </c>
      <c r="F62" s="89">
        <f t="shared" si="15"/>
        <v>18340720</v>
      </c>
      <c r="G62" s="89">
        <f t="shared" si="15"/>
        <v>0</v>
      </c>
      <c r="H62" s="175">
        <f t="shared" si="12"/>
        <v>5160404</v>
      </c>
      <c r="I62" s="1524">
        <f t="shared" si="15"/>
        <v>6045366</v>
      </c>
      <c r="J62" s="89">
        <f t="shared" si="15"/>
        <v>6045366</v>
      </c>
      <c r="K62" s="1495">
        <f t="shared" si="15"/>
        <v>32.961443171260449</v>
      </c>
      <c r="L62" s="1509">
        <f t="shared" si="13"/>
        <v>32.961443171260449</v>
      </c>
    </row>
    <row r="63" spans="1:12" s="31" customFormat="1" ht="12.2" customHeight="1" x14ac:dyDescent="0.2">
      <c r="A63" s="653" t="s">
        <v>94</v>
      </c>
      <c r="B63" s="17" t="s">
        <v>119</v>
      </c>
      <c r="C63" s="122">
        <f>'15.felh.felúj.'!C52</f>
        <v>5000000</v>
      </c>
      <c r="D63" s="189">
        <f>'15.felh.felúj.'!D52</f>
        <v>13180316</v>
      </c>
      <c r="E63" s="122">
        <f>'15.felh.felúj.'!E52</f>
        <v>18340720</v>
      </c>
      <c r="F63" s="122">
        <f>'15.felh.felúj.'!F52</f>
        <v>18340720</v>
      </c>
      <c r="G63" s="122">
        <f>'15.felh.felúj.'!G52</f>
        <v>0</v>
      </c>
      <c r="H63" s="177">
        <f t="shared" si="12"/>
        <v>5160404</v>
      </c>
      <c r="I63" s="1525">
        <f>'15.felh.felúj.'!J52</f>
        <v>6045366</v>
      </c>
      <c r="J63" s="122">
        <f>'15.felh.felúj.'!J52</f>
        <v>6045366</v>
      </c>
      <c r="K63" s="1501">
        <f>'15.felh.felúj.'!L52</f>
        <v>32.961443171260449</v>
      </c>
      <c r="L63" s="1515">
        <f t="shared" si="13"/>
        <v>32.961443171260449</v>
      </c>
    </row>
    <row r="64" spans="1:12" s="31" customFormat="1" ht="12.2" customHeight="1" x14ac:dyDescent="0.2">
      <c r="A64" s="653" t="s">
        <v>316</v>
      </c>
      <c r="B64" s="522" t="s">
        <v>236</v>
      </c>
      <c r="C64" s="122"/>
      <c r="D64" s="189"/>
      <c r="E64" s="122"/>
      <c r="F64" s="122"/>
      <c r="G64" s="122"/>
      <c r="H64" s="177">
        <f t="shared" si="12"/>
        <v>0</v>
      </c>
      <c r="I64" s="1525"/>
      <c r="J64" s="122"/>
      <c r="K64" s="1501"/>
      <c r="L64" s="1515" t="str">
        <f t="shared" si="13"/>
        <v/>
      </c>
    </row>
    <row r="65" spans="1:14" ht="12.2" customHeight="1" x14ac:dyDescent="0.2">
      <c r="A65" s="653" t="s">
        <v>95</v>
      </c>
      <c r="B65" s="330" t="s">
        <v>2</v>
      </c>
      <c r="C65" s="339">
        <f>'15.felh.felúj.'!C61</f>
        <v>0</v>
      </c>
      <c r="D65" s="323">
        <f>'15.felh.felúj.'!D61</f>
        <v>0</v>
      </c>
      <c r="E65" s="339">
        <f>'15.felh.felúj.'!E61</f>
        <v>0</v>
      </c>
      <c r="F65" s="339">
        <f>'15.felh.felúj.'!F61</f>
        <v>0</v>
      </c>
      <c r="G65" s="339">
        <f>'15.felh.felúj.'!G61</f>
        <v>0</v>
      </c>
      <c r="H65" s="503">
        <f t="shared" si="12"/>
        <v>0</v>
      </c>
      <c r="I65" s="1526">
        <f>'15.felh.felúj.'!J61</f>
        <v>0</v>
      </c>
      <c r="J65" s="339">
        <f>'15.felh.felúj.'!J61</f>
        <v>0</v>
      </c>
      <c r="K65" s="1489" t="str">
        <f>'15.felh.felúj.'!L61</f>
        <v/>
      </c>
      <c r="L65" s="1521" t="str">
        <f t="shared" si="13"/>
        <v/>
      </c>
    </row>
    <row r="66" spans="1:14" ht="12.2" customHeight="1" x14ac:dyDescent="0.2">
      <c r="A66" s="653" t="s">
        <v>342</v>
      </c>
      <c r="B66" s="523" t="s">
        <v>237</v>
      </c>
      <c r="C66" s="339"/>
      <c r="D66" s="323"/>
      <c r="E66" s="339"/>
      <c r="F66" s="339"/>
      <c r="G66" s="339"/>
      <c r="H66" s="503">
        <f t="shared" si="12"/>
        <v>0</v>
      </c>
      <c r="I66" s="1526"/>
      <c r="J66" s="339"/>
      <c r="K66" s="1489"/>
      <c r="L66" s="1521" t="str">
        <f t="shared" si="13"/>
        <v/>
      </c>
    </row>
    <row r="67" spans="1:14" ht="12.2" customHeight="1" x14ac:dyDescent="0.2">
      <c r="A67" s="653" t="s">
        <v>96</v>
      </c>
      <c r="B67" s="17" t="s">
        <v>175</v>
      </c>
      <c r="C67" s="339"/>
      <c r="D67" s="323"/>
      <c r="E67" s="339"/>
      <c r="F67" s="339"/>
      <c r="G67" s="339"/>
      <c r="H67" s="503">
        <f t="shared" si="12"/>
        <v>0</v>
      </c>
      <c r="I67" s="1526"/>
      <c r="J67" s="339"/>
      <c r="K67" s="1489"/>
      <c r="L67" s="1521" t="str">
        <f t="shared" si="13"/>
        <v/>
      </c>
    </row>
    <row r="68" spans="1:14" ht="12.2" customHeight="1" x14ac:dyDescent="0.2">
      <c r="A68" s="653" t="s">
        <v>317</v>
      </c>
      <c r="B68" s="521" t="s">
        <v>239</v>
      </c>
      <c r="C68" s="339"/>
      <c r="D68" s="323"/>
      <c r="E68" s="339"/>
      <c r="F68" s="339"/>
      <c r="G68" s="339"/>
      <c r="H68" s="503">
        <f t="shared" si="12"/>
        <v>0</v>
      </c>
      <c r="I68" s="1526"/>
      <c r="J68" s="339"/>
      <c r="K68" s="1489"/>
      <c r="L68" s="1521" t="str">
        <f t="shared" si="13"/>
        <v/>
      </c>
    </row>
    <row r="69" spans="1:14" ht="12.2" customHeight="1" thickBot="1" x14ac:dyDescent="0.25">
      <c r="A69" s="653" t="s">
        <v>318</v>
      </c>
      <c r="B69" s="521" t="s">
        <v>238</v>
      </c>
      <c r="C69" s="339"/>
      <c r="D69" s="323"/>
      <c r="E69" s="339"/>
      <c r="F69" s="339"/>
      <c r="G69" s="339"/>
      <c r="H69" s="503">
        <f t="shared" si="12"/>
        <v>0</v>
      </c>
      <c r="I69" s="1526"/>
      <c r="J69" s="339"/>
      <c r="K69" s="1489"/>
      <c r="L69" s="1521" t="str">
        <f t="shared" si="13"/>
        <v/>
      </c>
      <c r="N69" s="18"/>
    </row>
    <row r="70" spans="1:14" ht="15" customHeight="1" thickBot="1" x14ac:dyDescent="0.25">
      <c r="A70" s="197" t="s">
        <v>14</v>
      </c>
      <c r="B70" s="67" t="s">
        <v>176</v>
      </c>
      <c r="C70" s="135">
        <f t="shared" ref="C70:K70" si="16">+C53+C62</f>
        <v>1344990000</v>
      </c>
      <c r="D70" s="134">
        <f t="shared" si="16"/>
        <v>1379302947</v>
      </c>
      <c r="E70" s="135">
        <f t="shared" si="16"/>
        <v>1550545218</v>
      </c>
      <c r="F70" s="135">
        <f t="shared" si="16"/>
        <v>1550545218</v>
      </c>
      <c r="G70" s="135">
        <f t="shared" si="16"/>
        <v>0</v>
      </c>
      <c r="H70" s="176">
        <f>+E70-D70</f>
        <v>171242271</v>
      </c>
      <c r="I70" s="1528">
        <f t="shared" si="16"/>
        <v>6045366</v>
      </c>
      <c r="J70" s="135">
        <f>+J53+J62</f>
        <v>1106267232</v>
      </c>
      <c r="K70" s="1507">
        <f t="shared" si="16"/>
        <v>32.961443171260449</v>
      </c>
      <c r="L70" s="1523">
        <f t="shared" si="13"/>
        <v>71.346982929458818</v>
      </c>
    </row>
    <row r="71" spans="1:14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139" t="str">
        <f t="shared" si="13"/>
        <v/>
      </c>
    </row>
    <row r="72" spans="1:14" s="602" customFormat="1" ht="15" customHeight="1" thickBot="1" x14ac:dyDescent="0.25">
      <c r="A72" s="1035" t="s">
        <v>290</v>
      </c>
      <c r="B72" s="1036"/>
      <c r="C72" s="598">
        <v>142</v>
      </c>
      <c r="D72" s="599">
        <v>142</v>
      </c>
      <c r="E72" s="598">
        <v>142</v>
      </c>
      <c r="F72" s="598">
        <v>142</v>
      </c>
      <c r="G72" s="598"/>
      <c r="H72" s="1020">
        <f>+E72-D72</f>
        <v>0</v>
      </c>
      <c r="I72" s="1486"/>
      <c r="J72" s="1744">
        <v>136</v>
      </c>
      <c r="K72" s="615"/>
      <c r="L72" s="1487">
        <f t="shared" si="13"/>
        <v>95.774647887323937</v>
      </c>
    </row>
    <row r="73" spans="1:14" s="602" customFormat="1" ht="14.25" hidden="1" customHeight="1" thickBot="1" x14ac:dyDescent="0.25">
      <c r="A73" s="596" t="s">
        <v>291</v>
      </c>
      <c r="B73" s="597"/>
      <c r="C73" s="654"/>
      <c r="D73" s="612"/>
      <c r="E73" s="603"/>
      <c r="F73" s="603"/>
      <c r="G73" s="603"/>
      <c r="H73" s="632"/>
      <c r="I73" s="633"/>
      <c r="J73" s="631"/>
      <c r="K73" s="633"/>
      <c r="L73" s="601" t="e">
        <f>I73/D73*100</f>
        <v>#DIV/0!</v>
      </c>
    </row>
    <row r="74" spans="1:14" x14ac:dyDescent="0.2">
      <c r="H74" s="163"/>
    </row>
  </sheetData>
  <sheetProtection formatCells="0"/>
  <mergeCells count="9">
    <mergeCell ref="A50:L50"/>
    <mergeCell ref="A51:L51"/>
    <mergeCell ref="A3:L3"/>
    <mergeCell ref="A2:H2"/>
    <mergeCell ref="A1:L1"/>
    <mergeCell ref="C4:L4"/>
    <mergeCell ref="C5:L5"/>
    <mergeCell ref="A6:L6"/>
    <mergeCell ref="A9:L9"/>
  </mergeCells>
  <phoneticPr fontId="45" type="noConversion"/>
  <printOptions horizontalCentered="1"/>
  <pageMargins left="0.19685039370078741" right="0.19685039370078741" top="0.39370078740157483" bottom="0.19685039370078741" header="0.78740157480314965" footer="0.78740157480314965"/>
  <pageSetup paperSize="9" scale="7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4"/>
  <sheetViews>
    <sheetView view="pageBreakPreview" topLeftCell="A37" zoomScale="130" zoomScaleNormal="154" zoomScaleSheetLayoutView="130" workbookViewId="0">
      <selection activeCell="J63" sqref="J63"/>
    </sheetView>
  </sheetViews>
  <sheetFormatPr defaultColWidth="9.33203125" defaultRowHeight="12.75" x14ac:dyDescent="0.2"/>
  <cols>
    <col min="1" max="1" width="13.83203125" style="1414" customWidth="1"/>
    <col min="2" max="2" width="67.5" style="25" customWidth="1"/>
    <col min="3" max="3" width="14.83203125" style="25" customWidth="1"/>
    <col min="4" max="4" width="15.83203125" style="25" hidden="1" customWidth="1"/>
    <col min="5" max="5" width="15.33203125" style="25" customWidth="1"/>
    <col min="6" max="6" width="14" style="25" customWidth="1"/>
    <col min="7" max="9" width="15.83203125" style="25" hidden="1" customWidth="1"/>
    <col min="10" max="10" width="12.83203125" style="25" customWidth="1"/>
    <col min="11" max="11" width="15.83203125" style="25" hidden="1" customWidth="1"/>
    <col min="12" max="12" width="9.1640625" style="140" customWidth="1"/>
    <col min="13" max="13" width="9.33203125" style="25" customWidth="1"/>
    <col min="14" max="14" width="14.33203125" style="25" bestFit="1" customWidth="1"/>
    <col min="15" max="16384" width="9.33203125" style="25"/>
  </cols>
  <sheetData>
    <row r="1" spans="1:13" ht="12.75" customHeight="1" x14ac:dyDescent="0.2">
      <c r="A1" s="1773" t="s">
        <v>820</v>
      </c>
      <c r="B1" s="1773"/>
      <c r="C1" s="1773"/>
      <c r="D1" s="1773"/>
      <c r="E1" s="1773"/>
      <c r="F1" s="1773"/>
      <c r="G1" s="1773"/>
      <c r="H1" s="1773"/>
      <c r="I1" s="1773"/>
      <c r="J1" s="1773"/>
      <c r="K1" s="1773"/>
      <c r="L1" s="1773"/>
    </row>
    <row r="2" spans="1:13" ht="12.75" customHeight="1" x14ac:dyDescent="0.2">
      <c r="A2" s="1773"/>
      <c r="B2" s="1773"/>
      <c r="C2" s="1773"/>
      <c r="D2" s="1773"/>
      <c r="E2" s="1773"/>
      <c r="F2" s="1773"/>
      <c r="G2" s="1773"/>
      <c r="H2" s="1773"/>
      <c r="I2" s="83"/>
      <c r="J2" s="83"/>
      <c r="K2" s="83"/>
      <c r="L2" s="142"/>
    </row>
    <row r="3" spans="1:13" s="24" customFormat="1" ht="21.2" customHeight="1" thickBot="1" x14ac:dyDescent="0.25">
      <c r="A3" s="1773"/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</row>
    <row r="4" spans="1:13" s="38" customFormat="1" ht="35.450000000000003" customHeight="1" x14ac:dyDescent="0.2">
      <c r="A4" s="36" t="s">
        <v>137</v>
      </c>
      <c r="B4" s="37" t="s">
        <v>85</v>
      </c>
      <c r="C4" s="1806" t="s">
        <v>184</v>
      </c>
      <c r="D4" s="1807"/>
      <c r="E4" s="1807"/>
      <c r="F4" s="1807"/>
      <c r="G4" s="1807"/>
      <c r="H4" s="1807"/>
      <c r="I4" s="1807"/>
      <c r="J4" s="1807"/>
      <c r="K4" s="1807"/>
      <c r="L4" s="1808"/>
    </row>
    <row r="5" spans="1:13" s="38" customFormat="1" ht="24.75" thickBot="1" x14ac:dyDescent="0.25">
      <c r="A5" s="39" t="s">
        <v>139</v>
      </c>
      <c r="B5" s="40" t="s">
        <v>140</v>
      </c>
      <c r="C5" s="1809" t="s">
        <v>141</v>
      </c>
      <c r="D5" s="1810"/>
      <c r="E5" s="1810"/>
      <c r="F5" s="1810"/>
      <c r="G5" s="1810"/>
      <c r="H5" s="1810"/>
      <c r="I5" s="1810"/>
      <c r="J5" s="1810"/>
      <c r="K5" s="1810"/>
      <c r="L5" s="1811"/>
    </row>
    <row r="6" spans="1:13" s="41" customFormat="1" ht="15.95" customHeight="1" thickBot="1" x14ac:dyDescent="0.3">
      <c r="A6" s="1812" t="s">
        <v>362</v>
      </c>
      <c r="B6" s="1812"/>
      <c r="C6" s="1812"/>
      <c r="D6" s="1812"/>
      <c r="E6" s="1812"/>
      <c r="F6" s="1812"/>
      <c r="G6" s="1812"/>
      <c r="H6" s="1812"/>
      <c r="I6" s="1812"/>
      <c r="J6" s="1812"/>
      <c r="K6" s="1812"/>
      <c r="L6" s="1812"/>
      <c r="M6" s="41" t="s">
        <v>385</v>
      </c>
    </row>
    <row r="7" spans="1:13" ht="48.75" customHeight="1" thickBot="1" x14ac:dyDescent="0.25">
      <c r="A7" s="1413" t="s">
        <v>142</v>
      </c>
      <c r="B7" s="42" t="s">
        <v>36</v>
      </c>
      <c r="C7" s="42" t="str">
        <f>'1. mell.bevétel_össz'!C8</f>
        <v>2023. évi eredeti előirányzat
2/2023. (II.14.)</v>
      </c>
      <c r="D7" s="191" t="str">
        <f>'1. mell.bevétel_össz'!D8</f>
        <v>Módosított előirányzat a 14/2023.  (VI.29.)  rendelet szerint</v>
      </c>
      <c r="E7" s="42" t="str">
        <f>'1. mell.bevétel_össz'!E8</f>
        <v>Módosított előirányzat a 18/2023. (IX.26.)  rendelet szerint</v>
      </c>
      <c r="F7" s="42" t="str">
        <f>'1. mell.bevétel_össz'!F8</f>
        <v>Módosított előirányzat 2023.09.30-án</v>
      </c>
      <c r="G7" s="1492" t="str">
        <f>'1. mell.bevétel_össz'!G8</f>
        <v>Módosított előirányzat a …../2023. (II…..)  rendelet szerint</v>
      </c>
      <c r="H7" s="179" t="str">
        <f>'1. mell.bevétel_össz'!H8</f>
        <v>Változás a 14/2023. (VI.29.) rendelethez képest</v>
      </c>
      <c r="I7" s="1453" t="str">
        <f>'1. mell.bevétel_össz'!I8</f>
        <v>2023. évi teljesítés              2023.06.30-ig</v>
      </c>
      <c r="J7" s="42" t="str">
        <f>'1. mell.bevétel_össz'!J8</f>
        <v>2023. évi teljesítés              2023.09.30-ig</v>
      </c>
      <c r="K7" s="1453" t="str">
        <f>'1. mell.bevétel_össz'!K8</f>
        <v>2023. évi teljesítés              2023.12.31-ig</v>
      </c>
      <c r="L7" s="1464" t="str">
        <f>'1. mell.bevétel_össz'!L8</f>
        <v>Teljesítés %-a</v>
      </c>
    </row>
    <row r="8" spans="1:13" s="46" customFormat="1" ht="12.95" customHeight="1" thickBot="1" x14ac:dyDescent="0.25">
      <c r="A8" s="43" t="s">
        <v>297</v>
      </c>
      <c r="B8" s="44" t="s">
        <v>298</v>
      </c>
      <c r="C8" s="989" t="s">
        <v>299</v>
      </c>
      <c r="D8" s="182" t="s">
        <v>300</v>
      </c>
      <c r="E8" s="44" t="s">
        <v>300</v>
      </c>
      <c r="F8" s="44" t="s">
        <v>301</v>
      </c>
      <c r="G8" s="44" t="s">
        <v>424</v>
      </c>
      <c r="H8" s="180" t="s">
        <v>388</v>
      </c>
      <c r="I8" s="1415" t="s">
        <v>299</v>
      </c>
      <c r="J8" s="44" t="s">
        <v>388</v>
      </c>
      <c r="K8" s="620" t="s">
        <v>299</v>
      </c>
      <c r="L8" s="137" t="s">
        <v>424</v>
      </c>
    </row>
    <row r="9" spans="1:13" s="46" customFormat="1" ht="15.95" customHeight="1" thickBot="1" x14ac:dyDescent="0.25">
      <c r="A9" s="1801" t="s">
        <v>11</v>
      </c>
      <c r="B9" s="1802"/>
      <c r="C9" s="1802"/>
      <c r="D9" s="1802"/>
      <c r="E9" s="1802"/>
      <c r="F9" s="1802"/>
      <c r="G9" s="1802"/>
      <c r="H9" s="1802"/>
      <c r="I9" s="1802"/>
      <c r="J9" s="1802"/>
      <c r="K9" s="1802"/>
      <c r="L9" s="1802"/>
    </row>
    <row r="10" spans="1:13" s="26" customFormat="1" ht="12.2" customHeight="1" thickBot="1" x14ac:dyDescent="0.25">
      <c r="A10" s="43" t="s">
        <v>12</v>
      </c>
      <c r="B10" s="47" t="s">
        <v>277</v>
      </c>
      <c r="C10" s="89">
        <f>SUM(C11:C21)</f>
        <v>11396470</v>
      </c>
      <c r="D10" s="127">
        <f t="shared" ref="D10:K10" si="0">SUM(D11:D21)</f>
        <v>11396470</v>
      </c>
      <c r="E10" s="89">
        <f t="shared" si="0"/>
        <v>11396470</v>
      </c>
      <c r="F10" s="89">
        <f t="shared" si="0"/>
        <v>11396470</v>
      </c>
      <c r="G10" s="582">
        <f t="shared" si="0"/>
        <v>0</v>
      </c>
      <c r="H10" s="48">
        <f>+E10-D10</f>
        <v>0</v>
      </c>
      <c r="I10" s="1495">
        <f t="shared" si="0"/>
        <v>0</v>
      </c>
      <c r="J10" s="89">
        <f t="shared" si="0"/>
        <v>10501500</v>
      </c>
      <c r="K10" s="1495">
        <f t="shared" si="0"/>
        <v>0</v>
      </c>
      <c r="L10" s="1509">
        <f t="shared" ref="L10:L48" si="1">IF(F10=0,"",J10/F10*100)</f>
        <v>92.146954276192545</v>
      </c>
    </row>
    <row r="11" spans="1:13" s="26" customFormat="1" ht="12.2" customHeight="1" x14ac:dyDescent="0.2">
      <c r="A11" s="49" t="s">
        <v>91</v>
      </c>
      <c r="B11" s="50" t="s">
        <v>143</v>
      </c>
      <c r="C11" s="128"/>
      <c r="D11" s="192"/>
      <c r="E11" s="128"/>
      <c r="F11" s="128"/>
      <c r="G11" s="583"/>
      <c r="H11" s="51">
        <f t="shared" ref="H11:H48" si="2">+E11-D11</f>
        <v>0</v>
      </c>
      <c r="I11" s="1496"/>
      <c r="J11" s="128"/>
      <c r="K11" s="1496"/>
      <c r="L11" s="1510" t="str">
        <f t="shared" si="1"/>
        <v/>
      </c>
    </row>
    <row r="12" spans="1:13" s="26" customFormat="1" ht="12.2" customHeight="1" x14ac:dyDescent="0.2">
      <c r="A12" s="1037" t="s">
        <v>92</v>
      </c>
      <c r="B12" s="330" t="s">
        <v>144</v>
      </c>
      <c r="C12" s="331">
        <v>811280</v>
      </c>
      <c r="D12" s="340">
        <v>811280</v>
      </c>
      <c r="E12" s="331">
        <v>811280</v>
      </c>
      <c r="F12" s="331">
        <v>811280</v>
      </c>
      <c r="G12" s="88"/>
      <c r="H12" s="332">
        <f t="shared" si="2"/>
        <v>0</v>
      </c>
      <c r="I12" s="1497"/>
      <c r="J12" s="331">
        <v>1197258</v>
      </c>
      <c r="K12" s="1497"/>
      <c r="L12" s="1511">
        <f t="shared" si="1"/>
        <v>147.57642244354599</v>
      </c>
    </row>
    <row r="13" spans="1:13" s="26" customFormat="1" ht="12.2" customHeight="1" x14ac:dyDescent="0.2">
      <c r="A13" s="1037" t="s">
        <v>93</v>
      </c>
      <c r="B13" s="330" t="s">
        <v>145</v>
      </c>
      <c r="C13" s="331"/>
      <c r="D13" s="340"/>
      <c r="E13" s="331"/>
      <c r="F13" s="331"/>
      <c r="G13" s="88"/>
      <c r="H13" s="332">
        <f t="shared" si="2"/>
        <v>0</v>
      </c>
      <c r="I13" s="1497"/>
      <c r="J13" s="331"/>
      <c r="K13" s="1497"/>
      <c r="L13" s="1511" t="str">
        <f t="shared" si="1"/>
        <v/>
      </c>
    </row>
    <row r="14" spans="1:13" s="26" customFormat="1" ht="12.2" customHeight="1" x14ac:dyDescent="0.2">
      <c r="A14" s="1037" t="s">
        <v>90</v>
      </c>
      <c r="B14" s="330" t="s">
        <v>146</v>
      </c>
      <c r="C14" s="331"/>
      <c r="D14" s="340"/>
      <c r="E14" s="331"/>
      <c r="F14" s="331"/>
      <c r="G14" s="88"/>
      <c r="H14" s="332">
        <f t="shared" si="2"/>
        <v>0</v>
      </c>
      <c r="I14" s="1497"/>
      <c r="J14" s="331"/>
      <c r="K14" s="1497"/>
      <c r="L14" s="1511" t="str">
        <f t="shared" si="1"/>
        <v/>
      </c>
    </row>
    <row r="15" spans="1:13" s="26" customFormat="1" ht="12.2" customHeight="1" x14ac:dyDescent="0.2">
      <c r="A15" s="1037" t="s">
        <v>147</v>
      </c>
      <c r="B15" s="330" t="s">
        <v>148</v>
      </c>
      <c r="C15" s="331"/>
      <c r="D15" s="340"/>
      <c r="E15" s="331"/>
      <c r="F15" s="331"/>
      <c r="G15" s="88"/>
      <c r="H15" s="332">
        <f t="shared" si="2"/>
        <v>0</v>
      </c>
      <c r="I15" s="1497"/>
      <c r="J15" s="331"/>
      <c r="K15" s="1497"/>
      <c r="L15" s="1511" t="str">
        <f t="shared" si="1"/>
        <v/>
      </c>
    </row>
    <row r="16" spans="1:13" s="26" customFormat="1" ht="12.2" customHeight="1" x14ac:dyDescent="0.2">
      <c r="A16" s="1037" t="s">
        <v>149</v>
      </c>
      <c r="B16" s="330" t="s">
        <v>150</v>
      </c>
      <c r="C16" s="331">
        <v>218720</v>
      </c>
      <c r="D16" s="340">
        <v>218720</v>
      </c>
      <c r="E16" s="331">
        <v>218720</v>
      </c>
      <c r="F16" s="331">
        <v>218720</v>
      </c>
      <c r="G16" s="88"/>
      <c r="H16" s="332">
        <f t="shared" si="2"/>
        <v>0</v>
      </c>
      <c r="I16" s="1497"/>
      <c r="J16" s="331">
        <v>323242</v>
      </c>
      <c r="K16" s="1497"/>
      <c r="L16" s="1511">
        <f t="shared" si="1"/>
        <v>147.78803950256034</v>
      </c>
    </row>
    <row r="17" spans="1:12" s="26" customFormat="1" ht="12.2" customHeight="1" x14ac:dyDescent="0.2">
      <c r="A17" s="1037" t="s">
        <v>151</v>
      </c>
      <c r="B17" s="52" t="s">
        <v>152</v>
      </c>
      <c r="C17" s="331"/>
      <c r="D17" s="340"/>
      <c r="E17" s="331"/>
      <c r="F17" s="331"/>
      <c r="G17" s="88"/>
      <c r="H17" s="332">
        <f t="shared" si="2"/>
        <v>0</v>
      </c>
      <c r="I17" s="1497"/>
      <c r="J17" s="331"/>
      <c r="K17" s="1497"/>
      <c r="L17" s="1511" t="str">
        <f t="shared" si="1"/>
        <v/>
      </c>
    </row>
    <row r="18" spans="1:12" s="26" customFormat="1" ht="12.2" customHeight="1" x14ac:dyDescent="0.2">
      <c r="A18" s="1037" t="s">
        <v>153</v>
      </c>
      <c r="B18" s="345" t="s">
        <v>302</v>
      </c>
      <c r="C18" s="121"/>
      <c r="D18" s="188"/>
      <c r="E18" s="121"/>
      <c r="F18" s="121"/>
      <c r="G18" s="90"/>
      <c r="H18" s="53">
        <f t="shared" si="2"/>
        <v>0</v>
      </c>
      <c r="I18" s="1498"/>
      <c r="J18" s="121"/>
      <c r="K18" s="1498"/>
      <c r="L18" s="1512" t="str">
        <f t="shared" si="1"/>
        <v/>
      </c>
    </row>
    <row r="19" spans="1:12" s="54" customFormat="1" ht="12.2" customHeight="1" x14ac:dyDescent="0.2">
      <c r="A19" s="1037" t="s">
        <v>154</v>
      </c>
      <c r="B19" s="330" t="s">
        <v>155</v>
      </c>
      <c r="C19" s="331"/>
      <c r="D19" s="340"/>
      <c r="E19" s="331"/>
      <c r="F19" s="331"/>
      <c r="G19" s="88"/>
      <c r="H19" s="332">
        <f t="shared" si="2"/>
        <v>0</v>
      </c>
      <c r="I19" s="1497"/>
      <c r="J19" s="331"/>
      <c r="K19" s="1497"/>
      <c r="L19" s="1511" t="str">
        <f t="shared" si="1"/>
        <v/>
      </c>
    </row>
    <row r="20" spans="1:12" s="54" customFormat="1" ht="12.2" customHeight="1" x14ac:dyDescent="0.2">
      <c r="A20" s="1037" t="s">
        <v>156</v>
      </c>
      <c r="B20" s="345" t="s">
        <v>275</v>
      </c>
      <c r="C20" s="331"/>
      <c r="D20" s="341"/>
      <c r="E20" s="333"/>
      <c r="F20" s="1493"/>
      <c r="G20" s="1488"/>
      <c r="H20" s="334">
        <f t="shared" si="2"/>
        <v>0</v>
      </c>
      <c r="I20" s="1499"/>
      <c r="J20" s="1493"/>
      <c r="K20" s="1499"/>
      <c r="L20" s="1513" t="str">
        <f t="shared" si="1"/>
        <v/>
      </c>
    </row>
    <row r="21" spans="1:12" s="54" customFormat="1" ht="12.2" customHeight="1" thickBot="1" x14ac:dyDescent="0.25">
      <c r="A21" s="1037" t="s">
        <v>276</v>
      </c>
      <c r="B21" s="52" t="s">
        <v>157</v>
      </c>
      <c r="C21" s="331">
        <v>10366470</v>
      </c>
      <c r="D21" s="341">
        <v>10366470</v>
      </c>
      <c r="E21" s="333">
        <v>10366470</v>
      </c>
      <c r="F21" s="1493">
        <v>10366470</v>
      </c>
      <c r="G21" s="1488"/>
      <c r="H21" s="334">
        <f t="shared" si="2"/>
        <v>0</v>
      </c>
      <c r="I21" s="1499"/>
      <c r="J21" s="1493">
        <v>8981000</v>
      </c>
      <c r="K21" s="1499"/>
      <c r="L21" s="1513">
        <f t="shared" si="1"/>
        <v>86.635084073942238</v>
      </c>
    </row>
    <row r="22" spans="1:12" s="26" customFormat="1" ht="12.2" customHeight="1" thickBot="1" x14ac:dyDescent="0.25">
      <c r="A22" s="43" t="s">
        <v>13</v>
      </c>
      <c r="B22" s="47" t="s">
        <v>158</v>
      </c>
      <c r="C22" s="89">
        <f>SUM(C23:C25)</f>
        <v>1203000</v>
      </c>
      <c r="D22" s="127">
        <f t="shared" ref="D22:K22" si="3">SUM(D23:D25)</f>
        <v>1203000</v>
      </c>
      <c r="E22" s="89">
        <f t="shared" si="3"/>
        <v>1617285</v>
      </c>
      <c r="F22" s="89">
        <f t="shared" si="3"/>
        <v>1617285</v>
      </c>
      <c r="G22" s="582">
        <f t="shared" si="3"/>
        <v>0</v>
      </c>
      <c r="H22" s="48">
        <f t="shared" si="2"/>
        <v>414285</v>
      </c>
      <c r="I22" s="1495">
        <f t="shared" si="3"/>
        <v>0</v>
      </c>
      <c r="J22" s="89">
        <f t="shared" si="3"/>
        <v>1617285</v>
      </c>
      <c r="K22" s="1495">
        <f t="shared" si="3"/>
        <v>0</v>
      </c>
      <c r="L22" s="1509">
        <f t="shared" si="1"/>
        <v>100</v>
      </c>
    </row>
    <row r="23" spans="1:12" s="54" customFormat="1" ht="12.2" customHeight="1" x14ac:dyDescent="0.2">
      <c r="A23" s="1037" t="s">
        <v>94</v>
      </c>
      <c r="B23" s="17" t="s">
        <v>159</v>
      </c>
      <c r="C23" s="331"/>
      <c r="D23" s="340"/>
      <c r="E23" s="331"/>
      <c r="F23" s="331"/>
      <c r="G23" s="88"/>
      <c r="H23" s="332">
        <f t="shared" si="2"/>
        <v>0</v>
      </c>
      <c r="I23" s="1497"/>
      <c r="J23" s="331"/>
      <c r="K23" s="1497"/>
      <c r="L23" s="1511" t="str">
        <f t="shared" si="1"/>
        <v/>
      </c>
    </row>
    <row r="24" spans="1:12" s="54" customFormat="1" ht="12.2" customHeight="1" x14ac:dyDescent="0.2">
      <c r="A24" s="1037" t="s">
        <v>95</v>
      </c>
      <c r="B24" s="330" t="s">
        <v>160</v>
      </c>
      <c r="C24" s="331"/>
      <c r="D24" s="340"/>
      <c r="E24" s="331"/>
      <c r="F24" s="331"/>
      <c r="G24" s="88"/>
      <c r="H24" s="332">
        <f t="shared" si="2"/>
        <v>0</v>
      </c>
      <c r="I24" s="1497"/>
      <c r="J24" s="331"/>
      <c r="K24" s="1497"/>
      <c r="L24" s="1511" t="str">
        <f t="shared" si="1"/>
        <v/>
      </c>
    </row>
    <row r="25" spans="1:12" s="54" customFormat="1" ht="12.2" customHeight="1" x14ac:dyDescent="0.2">
      <c r="A25" s="1037" t="s">
        <v>96</v>
      </c>
      <c r="B25" s="330" t="s">
        <v>161</v>
      </c>
      <c r="C25" s="331">
        <v>1203000</v>
      </c>
      <c r="D25" s="340">
        <v>1203000</v>
      </c>
      <c r="E25" s="331">
        <f>1203000+414285</f>
        <v>1617285</v>
      </c>
      <c r="F25" s="331">
        <v>1617285</v>
      </c>
      <c r="G25" s="88"/>
      <c r="H25" s="332">
        <f t="shared" si="2"/>
        <v>414285</v>
      </c>
      <c r="I25" s="1497"/>
      <c r="J25" s="331">
        <v>1617285</v>
      </c>
      <c r="K25" s="1497"/>
      <c r="L25" s="1511">
        <f t="shared" si="1"/>
        <v>100</v>
      </c>
    </row>
    <row r="26" spans="1:12" s="54" customFormat="1" ht="12.2" customHeight="1" thickBot="1" x14ac:dyDescent="0.25">
      <c r="A26" s="1037" t="s">
        <v>317</v>
      </c>
      <c r="B26" s="335" t="s">
        <v>233</v>
      </c>
      <c r="C26" s="331"/>
      <c r="D26" s="340"/>
      <c r="E26" s="331"/>
      <c r="F26" s="331"/>
      <c r="G26" s="88"/>
      <c r="H26" s="332">
        <f t="shared" si="2"/>
        <v>0</v>
      </c>
      <c r="I26" s="1497"/>
      <c r="J26" s="331"/>
      <c r="K26" s="1497"/>
      <c r="L26" s="1511" t="str">
        <f t="shared" si="1"/>
        <v/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30"/>
      <c r="D27" s="129"/>
      <c r="E27" s="130"/>
      <c r="F27" s="130"/>
      <c r="G27" s="585"/>
      <c r="H27" s="57">
        <f t="shared" si="2"/>
        <v>0</v>
      </c>
      <c r="I27" s="1500"/>
      <c r="J27" s="130"/>
      <c r="K27" s="1500"/>
      <c r="L27" s="1514" t="str">
        <f t="shared" si="1"/>
        <v/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9">
        <f>+C29+C30</f>
        <v>0</v>
      </c>
      <c r="D28" s="127">
        <f t="shared" ref="D28:K28" si="4">+D29+D30</f>
        <v>0</v>
      </c>
      <c r="E28" s="89">
        <f t="shared" si="4"/>
        <v>0</v>
      </c>
      <c r="F28" s="89">
        <f t="shared" si="4"/>
        <v>0</v>
      </c>
      <c r="G28" s="582">
        <f t="shared" si="4"/>
        <v>0</v>
      </c>
      <c r="H28" s="48">
        <f t="shared" si="2"/>
        <v>0</v>
      </c>
      <c r="I28" s="1495">
        <f t="shared" si="4"/>
        <v>0</v>
      </c>
      <c r="J28" s="89">
        <f t="shared" si="4"/>
        <v>0</v>
      </c>
      <c r="K28" s="1495">
        <f t="shared" si="4"/>
        <v>0</v>
      </c>
      <c r="L28" s="1509" t="str">
        <f t="shared" si="1"/>
        <v/>
      </c>
    </row>
    <row r="29" spans="1:12" s="54" customFormat="1" ht="12.2" customHeight="1" x14ac:dyDescent="0.2">
      <c r="A29" s="58" t="s">
        <v>100</v>
      </c>
      <c r="B29" s="59" t="s">
        <v>160</v>
      </c>
      <c r="C29" s="122"/>
      <c r="D29" s="189"/>
      <c r="E29" s="122"/>
      <c r="F29" s="122"/>
      <c r="G29" s="586"/>
      <c r="H29" s="33">
        <f t="shared" si="2"/>
        <v>0</v>
      </c>
      <c r="I29" s="1501"/>
      <c r="J29" s="122"/>
      <c r="K29" s="1501"/>
      <c r="L29" s="1515" t="str">
        <f t="shared" si="1"/>
        <v/>
      </c>
    </row>
    <row r="30" spans="1:12" s="54" customFormat="1" ht="12.2" customHeight="1" x14ac:dyDescent="0.2">
      <c r="A30" s="58" t="s">
        <v>101</v>
      </c>
      <c r="B30" s="336" t="s">
        <v>163</v>
      </c>
      <c r="C30" s="120"/>
      <c r="D30" s="193"/>
      <c r="E30" s="120"/>
      <c r="F30" s="120"/>
      <c r="G30" s="91"/>
      <c r="H30" s="60">
        <f t="shared" si="2"/>
        <v>0</v>
      </c>
      <c r="I30" s="1502"/>
      <c r="J30" s="120"/>
      <c r="K30" s="1502"/>
      <c r="L30" s="1516" t="str">
        <f t="shared" si="1"/>
        <v/>
      </c>
    </row>
    <row r="31" spans="1:12" s="54" customFormat="1" ht="12.2" customHeight="1" thickBot="1" x14ac:dyDescent="0.25">
      <c r="A31" s="1037" t="s">
        <v>281</v>
      </c>
      <c r="B31" s="102" t="s">
        <v>165</v>
      </c>
      <c r="C31" s="92"/>
      <c r="D31" s="190"/>
      <c r="E31" s="92"/>
      <c r="F31" s="92"/>
      <c r="G31" s="593"/>
      <c r="H31" s="61">
        <f t="shared" si="2"/>
        <v>0</v>
      </c>
      <c r="I31" s="1503"/>
      <c r="J31" s="92"/>
      <c r="K31" s="1503"/>
      <c r="L31" s="1517" t="str">
        <f t="shared" si="1"/>
        <v/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9">
        <f>+C33+C34+C35</f>
        <v>0</v>
      </c>
      <c r="D32" s="127">
        <f t="shared" ref="D32:K32" si="5">+D33+D34+D35</f>
        <v>0</v>
      </c>
      <c r="E32" s="89">
        <f t="shared" si="5"/>
        <v>0</v>
      </c>
      <c r="F32" s="89">
        <f t="shared" si="5"/>
        <v>0</v>
      </c>
      <c r="G32" s="582">
        <f t="shared" si="5"/>
        <v>0</v>
      </c>
      <c r="H32" s="48">
        <f t="shared" si="2"/>
        <v>0</v>
      </c>
      <c r="I32" s="1495">
        <f t="shared" si="5"/>
        <v>0</v>
      </c>
      <c r="J32" s="89">
        <f t="shared" si="5"/>
        <v>0</v>
      </c>
      <c r="K32" s="1495">
        <f t="shared" si="5"/>
        <v>0</v>
      </c>
      <c r="L32" s="1509" t="str">
        <f t="shared" si="1"/>
        <v/>
      </c>
    </row>
    <row r="33" spans="1:12" s="54" customFormat="1" ht="12.2" customHeight="1" x14ac:dyDescent="0.2">
      <c r="A33" s="58" t="s">
        <v>89</v>
      </c>
      <c r="B33" s="59" t="s">
        <v>167</v>
      </c>
      <c r="C33" s="122"/>
      <c r="D33" s="189"/>
      <c r="E33" s="122"/>
      <c r="F33" s="122"/>
      <c r="G33" s="586"/>
      <c r="H33" s="33">
        <f t="shared" si="2"/>
        <v>0</v>
      </c>
      <c r="I33" s="1501"/>
      <c r="J33" s="122"/>
      <c r="K33" s="1501"/>
      <c r="L33" s="1515" t="str">
        <f t="shared" si="1"/>
        <v/>
      </c>
    </row>
    <row r="34" spans="1:12" s="54" customFormat="1" ht="12.2" customHeight="1" x14ac:dyDescent="0.2">
      <c r="A34" s="58" t="s">
        <v>102</v>
      </c>
      <c r="B34" s="336" t="s">
        <v>168</v>
      </c>
      <c r="C34" s="120"/>
      <c r="D34" s="193"/>
      <c r="E34" s="120"/>
      <c r="F34" s="120"/>
      <c r="G34" s="91"/>
      <c r="H34" s="60">
        <f t="shared" si="2"/>
        <v>0</v>
      </c>
      <c r="I34" s="1502"/>
      <c r="J34" s="120"/>
      <c r="K34" s="1502"/>
      <c r="L34" s="1516" t="str">
        <f t="shared" si="1"/>
        <v/>
      </c>
    </row>
    <row r="35" spans="1:12" s="54" customFormat="1" ht="12.2" customHeight="1" thickBot="1" x14ac:dyDescent="0.25">
      <c r="A35" s="1037" t="s">
        <v>103</v>
      </c>
      <c r="B35" s="62" t="s">
        <v>169</v>
      </c>
      <c r="C35" s="92"/>
      <c r="D35" s="190"/>
      <c r="E35" s="92"/>
      <c r="F35" s="92"/>
      <c r="G35" s="593"/>
      <c r="H35" s="61">
        <f t="shared" si="2"/>
        <v>0</v>
      </c>
      <c r="I35" s="1503"/>
      <c r="J35" s="92"/>
      <c r="K35" s="1503"/>
      <c r="L35" s="1517" t="str">
        <f t="shared" si="1"/>
        <v/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30"/>
      <c r="D36" s="129"/>
      <c r="E36" s="130"/>
      <c r="F36" s="130"/>
      <c r="G36" s="585"/>
      <c r="H36" s="57">
        <f t="shared" si="2"/>
        <v>0</v>
      </c>
      <c r="I36" s="1500"/>
      <c r="J36" s="130"/>
      <c r="K36" s="1500"/>
      <c r="L36" s="1514" t="str">
        <f t="shared" si="1"/>
        <v/>
      </c>
    </row>
    <row r="37" spans="1:12" s="26" customFormat="1" ht="12.2" customHeight="1" thickBot="1" x14ac:dyDescent="0.25">
      <c r="A37" s="1038" t="s">
        <v>104</v>
      </c>
      <c r="B37" s="337" t="s">
        <v>165</v>
      </c>
      <c r="C37" s="1032"/>
      <c r="D37" s="823"/>
      <c r="E37" s="1032"/>
      <c r="F37" s="130"/>
      <c r="G37" s="585"/>
      <c r="H37" s="57">
        <f t="shared" si="2"/>
        <v>0</v>
      </c>
      <c r="I37" s="1500"/>
      <c r="J37" s="130"/>
      <c r="K37" s="1500"/>
      <c r="L37" s="1514" t="str">
        <f t="shared" si="1"/>
        <v/>
      </c>
    </row>
    <row r="38" spans="1:12" s="26" customFormat="1" ht="12.2" customHeight="1" thickBot="1" x14ac:dyDescent="0.25">
      <c r="A38" s="55" t="s">
        <v>18</v>
      </c>
      <c r="B38" s="56" t="s">
        <v>380</v>
      </c>
      <c r="C38" s="130"/>
      <c r="D38" s="129"/>
      <c r="E38" s="130"/>
      <c r="F38" s="130"/>
      <c r="G38" s="585"/>
      <c r="H38" s="57">
        <f t="shared" si="2"/>
        <v>0</v>
      </c>
      <c r="I38" s="1500"/>
      <c r="J38" s="130"/>
      <c r="K38" s="1500"/>
      <c r="L38" s="1514" t="str">
        <f t="shared" si="1"/>
        <v/>
      </c>
    </row>
    <row r="39" spans="1:12" s="26" customFormat="1" ht="12.2" customHeight="1" x14ac:dyDescent="0.2">
      <c r="A39" s="12" t="s">
        <v>107</v>
      </c>
      <c r="B39" s="95" t="s">
        <v>212</v>
      </c>
      <c r="C39" s="131"/>
      <c r="D39" s="194"/>
      <c r="E39" s="131"/>
      <c r="F39" s="131"/>
      <c r="G39" s="589"/>
      <c r="H39" s="96">
        <f t="shared" si="2"/>
        <v>0</v>
      </c>
      <c r="I39" s="1504"/>
      <c r="J39" s="131"/>
      <c r="K39" s="1504"/>
      <c r="L39" s="1518" t="str">
        <f t="shared" si="1"/>
        <v/>
      </c>
    </row>
    <row r="40" spans="1:12" s="26" customFormat="1" ht="12.2" customHeight="1" x14ac:dyDescent="0.2">
      <c r="A40" s="1003" t="s">
        <v>108</v>
      </c>
      <c r="B40" s="346" t="s">
        <v>213</v>
      </c>
      <c r="C40" s="1033"/>
      <c r="D40" s="825"/>
      <c r="E40" s="1033"/>
      <c r="F40" s="1494"/>
      <c r="G40" s="605"/>
      <c r="H40" s="824">
        <f t="shared" si="2"/>
        <v>0</v>
      </c>
      <c r="I40" s="1505"/>
      <c r="J40" s="1508"/>
      <c r="K40" s="1505"/>
      <c r="L40" s="1519" t="str">
        <f t="shared" si="1"/>
        <v/>
      </c>
    </row>
    <row r="41" spans="1:12" s="26" customFormat="1" ht="12.2" customHeight="1" thickBot="1" x14ac:dyDescent="0.25">
      <c r="A41" s="1003" t="s">
        <v>323</v>
      </c>
      <c r="B41" s="103" t="s">
        <v>165</v>
      </c>
      <c r="C41" s="92"/>
      <c r="D41" s="190"/>
      <c r="E41" s="92"/>
      <c r="F41" s="92"/>
      <c r="G41" s="593"/>
      <c r="H41" s="61">
        <f t="shared" si="2"/>
        <v>0</v>
      </c>
      <c r="I41" s="1506"/>
      <c r="J41" s="133"/>
      <c r="K41" s="1506"/>
      <c r="L41" s="1520" t="str">
        <f t="shared" si="1"/>
        <v/>
      </c>
    </row>
    <row r="42" spans="1:12" s="26" customFormat="1" ht="12.2" customHeight="1" thickBot="1" x14ac:dyDescent="0.25">
      <c r="A42" s="43" t="s">
        <v>19</v>
      </c>
      <c r="B42" s="56" t="s">
        <v>546</v>
      </c>
      <c r="C42" s="89">
        <f>+C10+C22+C27+C28+C32+C36+C38</f>
        <v>12599470</v>
      </c>
      <c r="D42" s="127">
        <f t="shared" ref="D42:K42" si="6">+D10+D22+D27+D28+D32+D36+D38</f>
        <v>12599470</v>
      </c>
      <c r="E42" s="89">
        <f t="shared" si="6"/>
        <v>13013755</v>
      </c>
      <c r="F42" s="89">
        <f t="shared" si="6"/>
        <v>13013755</v>
      </c>
      <c r="G42" s="582">
        <f t="shared" si="6"/>
        <v>0</v>
      </c>
      <c r="H42" s="48">
        <f t="shared" si="2"/>
        <v>414285</v>
      </c>
      <c r="I42" s="1495">
        <f t="shared" si="6"/>
        <v>0</v>
      </c>
      <c r="J42" s="89">
        <f t="shared" si="6"/>
        <v>12118785</v>
      </c>
      <c r="K42" s="1495">
        <f t="shared" si="6"/>
        <v>0</v>
      </c>
      <c r="L42" s="1509">
        <f t="shared" si="1"/>
        <v>93.122891893999849</v>
      </c>
    </row>
    <row r="43" spans="1:12" s="26" customFormat="1" ht="12.2" customHeight="1" thickBot="1" x14ac:dyDescent="0.25">
      <c r="A43" s="63" t="s">
        <v>20</v>
      </c>
      <c r="B43" s="56" t="s">
        <v>180</v>
      </c>
      <c r="C43" s="89">
        <f>SUM(C44:C47)</f>
        <v>608170530</v>
      </c>
      <c r="D43" s="127">
        <f t="shared" ref="D43:K43" si="7">SUM(D44:D47)</f>
        <v>616367635</v>
      </c>
      <c r="E43" s="89">
        <f t="shared" si="7"/>
        <v>779551635</v>
      </c>
      <c r="F43" s="89">
        <f t="shared" si="7"/>
        <v>779551635</v>
      </c>
      <c r="G43" s="582">
        <f t="shared" si="7"/>
        <v>0</v>
      </c>
      <c r="H43" s="48">
        <f t="shared" si="2"/>
        <v>163184000</v>
      </c>
      <c r="I43" s="1495">
        <f t="shared" si="7"/>
        <v>332580</v>
      </c>
      <c r="J43" s="89">
        <f t="shared" si="7"/>
        <v>532078292</v>
      </c>
      <c r="K43" s="1495" t="e">
        <f t="shared" si="7"/>
        <v>#VALUE!</v>
      </c>
      <c r="L43" s="1509">
        <f t="shared" si="1"/>
        <v>68.254400107826086</v>
      </c>
    </row>
    <row r="44" spans="1:12" s="26" customFormat="1" ht="12.2" customHeight="1" x14ac:dyDescent="0.2">
      <c r="A44" s="58" t="s">
        <v>171</v>
      </c>
      <c r="B44" s="59" t="s">
        <v>131</v>
      </c>
      <c r="C44" s="122"/>
      <c r="D44" s="189">
        <v>6117361</v>
      </c>
      <c r="E44" s="122">
        <v>6117361</v>
      </c>
      <c r="F44" s="122">
        <v>6117361</v>
      </c>
      <c r="G44" s="586"/>
      <c r="H44" s="33">
        <f t="shared" si="2"/>
        <v>0</v>
      </c>
      <c r="I44" s="1501"/>
      <c r="J44" s="122">
        <v>6117361</v>
      </c>
      <c r="K44" s="1501"/>
      <c r="L44" s="1515">
        <f t="shared" si="1"/>
        <v>100</v>
      </c>
    </row>
    <row r="45" spans="1:12" s="26" customFormat="1" ht="12.2" customHeight="1" x14ac:dyDescent="0.2">
      <c r="A45" s="71" t="s">
        <v>172</v>
      </c>
      <c r="B45" s="59" t="s">
        <v>186</v>
      </c>
      <c r="C45" s="120"/>
      <c r="D45" s="193"/>
      <c r="E45" s="120"/>
      <c r="F45" s="120"/>
      <c r="G45" s="91"/>
      <c r="H45" s="60">
        <f t="shared" si="2"/>
        <v>0</v>
      </c>
      <c r="I45" s="1502"/>
      <c r="J45" s="120"/>
      <c r="K45" s="1502"/>
      <c r="L45" s="1516" t="str">
        <f t="shared" si="1"/>
        <v/>
      </c>
    </row>
    <row r="46" spans="1:12" s="26" customFormat="1" ht="12.2" customHeight="1" x14ac:dyDescent="0.2">
      <c r="A46" s="1037" t="s">
        <v>173</v>
      </c>
      <c r="B46" s="336" t="s">
        <v>177</v>
      </c>
      <c r="C46" s="339">
        <f>C70-C42-C44-C63-C65-C68+C38+C32+C28</f>
        <v>606670530</v>
      </c>
      <c r="D46" s="323">
        <f t="shared" ref="D46:K46" si="8">D70-D42-D44-D63-D65-D68+D38+D32+D28</f>
        <v>608750274</v>
      </c>
      <c r="E46" s="323">
        <f t="shared" si="8"/>
        <v>771934274</v>
      </c>
      <c r="F46" s="339">
        <f t="shared" si="8"/>
        <v>771934274</v>
      </c>
      <c r="G46" s="1489">
        <f t="shared" si="8"/>
        <v>0</v>
      </c>
      <c r="H46" s="324">
        <f t="shared" si="2"/>
        <v>163184000</v>
      </c>
      <c r="I46" s="1489">
        <f t="shared" si="8"/>
        <v>0</v>
      </c>
      <c r="J46" s="1719">
        <f>525960931-J47</f>
        <v>525628351</v>
      </c>
      <c r="K46" s="1489" t="e">
        <f t="shared" si="8"/>
        <v>#VALUE!</v>
      </c>
      <c r="L46" s="1521">
        <f t="shared" si="1"/>
        <v>68.092371164750219</v>
      </c>
    </row>
    <row r="47" spans="1:12" s="54" customFormat="1" ht="12.2" customHeight="1" thickBot="1" x14ac:dyDescent="0.25">
      <c r="A47" s="58" t="s">
        <v>178</v>
      </c>
      <c r="B47" s="62" t="s">
        <v>179</v>
      </c>
      <c r="C47" s="1034">
        <f>C62-C38-C32-C45-C28</f>
        <v>1500000</v>
      </c>
      <c r="D47" s="195">
        <f t="shared" ref="D47:K47" si="9">D62-D38-D32-D45-D28</f>
        <v>1500000</v>
      </c>
      <c r="E47" s="195">
        <f t="shared" si="9"/>
        <v>1500000</v>
      </c>
      <c r="F47" s="1034">
        <f t="shared" si="9"/>
        <v>1500000</v>
      </c>
      <c r="G47" s="1490">
        <f t="shared" si="9"/>
        <v>0</v>
      </c>
      <c r="H47" s="1491">
        <f t="shared" si="2"/>
        <v>0</v>
      </c>
      <c r="I47" s="1490">
        <f t="shared" si="9"/>
        <v>332580</v>
      </c>
      <c r="J47" s="1720">
        <f>+J63</f>
        <v>332580</v>
      </c>
      <c r="K47" s="1490">
        <f t="shared" si="9"/>
        <v>22.172000000000001</v>
      </c>
      <c r="L47" s="1522">
        <f t="shared" si="1"/>
        <v>22.172000000000001</v>
      </c>
    </row>
    <row r="48" spans="1:12" s="54" customFormat="1" ht="15" customHeight="1" thickBot="1" x14ac:dyDescent="0.25">
      <c r="A48" s="63" t="s">
        <v>21</v>
      </c>
      <c r="B48" s="497" t="s">
        <v>174</v>
      </c>
      <c r="C48" s="135">
        <f>+C42+C43</f>
        <v>620770000</v>
      </c>
      <c r="D48" s="134">
        <f t="shared" ref="D48:K48" si="10">+D42+D43</f>
        <v>628967105</v>
      </c>
      <c r="E48" s="135">
        <f t="shared" si="10"/>
        <v>792565390</v>
      </c>
      <c r="F48" s="135">
        <f t="shared" si="10"/>
        <v>792565390</v>
      </c>
      <c r="G48" s="592">
        <f t="shared" si="10"/>
        <v>0</v>
      </c>
      <c r="H48" s="68">
        <f t="shared" si="2"/>
        <v>163598285</v>
      </c>
      <c r="I48" s="1507">
        <f t="shared" si="10"/>
        <v>332580</v>
      </c>
      <c r="J48" s="135">
        <f t="shared" si="10"/>
        <v>544197077</v>
      </c>
      <c r="K48" s="1507" t="e">
        <f t="shared" si="10"/>
        <v>#VALUE!</v>
      </c>
      <c r="L48" s="1523">
        <f t="shared" si="1"/>
        <v>68.662735449500261</v>
      </c>
    </row>
    <row r="49" spans="1:12" s="54" customFormat="1" ht="14.45" customHeight="1" x14ac:dyDescent="0.2">
      <c r="A49" s="64"/>
      <c r="B49" s="65"/>
      <c r="C49" s="66"/>
      <c r="D49" s="125"/>
      <c r="E49" s="125"/>
      <c r="F49" s="125"/>
      <c r="G49" s="125"/>
      <c r="H49" s="125"/>
      <c r="I49" s="125"/>
      <c r="J49" s="125"/>
      <c r="K49" s="125"/>
      <c r="L49" s="138"/>
    </row>
    <row r="50" spans="1:12" ht="14.45" customHeight="1" x14ac:dyDescent="0.2">
      <c r="A50" s="1804" t="s">
        <v>34</v>
      </c>
      <c r="B50" s="1804"/>
      <c r="C50" s="1804"/>
      <c r="D50" s="1804"/>
      <c r="E50" s="1804"/>
      <c r="F50" s="1804"/>
      <c r="G50" s="1804"/>
      <c r="H50" s="1804"/>
      <c r="I50" s="1804"/>
      <c r="J50" s="1804"/>
      <c r="K50" s="1804"/>
      <c r="L50" s="1804"/>
    </row>
    <row r="51" spans="1:12" ht="14.45" customHeight="1" thickBot="1" x14ac:dyDescent="0.3">
      <c r="A51" s="1805" t="s">
        <v>362</v>
      </c>
      <c r="B51" s="1805"/>
      <c r="C51" s="1805"/>
      <c r="D51" s="1805"/>
      <c r="E51" s="1805"/>
      <c r="F51" s="1805"/>
      <c r="G51" s="1805"/>
      <c r="H51" s="1805"/>
      <c r="I51" s="1805"/>
      <c r="J51" s="1805"/>
      <c r="K51" s="1805"/>
      <c r="L51" s="1805"/>
    </row>
    <row r="52" spans="1:12" s="46" customFormat="1" ht="66.75" customHeight="1" thickBot="1" x14ac:dyDescent="0.25">
      <c r="A52" s="1413" t="s">
        <v>142</v>
      </c>
      <c r="B52" s="42" t="s">
        <v>36</v>
      </c>
      <c r="C52" s="21" t="str">
        <f>'1. mell.bevétel_össz'!C8</f>
        <v>2023. évi eredeti előirányzat
2/2023. (II.14.)</v>
      </c>
      <c r="D52" s="191" t="str">
        <f>'1. mell.bevétel_össz'!D8</f>
        <v>Módosított előirányzat a 14/2023.  (VI.29.)  rendelet szerint</v>
      </c>
      <c r="E52" s="42" t="str">
        <f>'1. mell.bevétel_össz'!E8</f>
        <v>Módosított előirányzat a 18/2023. (IX.26.)  rendelet szerint</v>
      </c>
      <c r="F52" s="42" t="str">
        <f>'1. mell.bevétel_össz'!F8</f>
        <v>Módosított előirányzat 2023.09.30-án</v>
      </c>
      <c r="G52" s="42" t="str">
        <f>'1. mell.bevétel_össz'!G8</f>
        <v>Módosított előirányzat a …../2023. (II…..)  rendelet szerint</v>
      </c>
      <c r="H52" s="126" t="str">
        <f>'1. mell.bevétel_össz'!H8</f>
        <v>Változás a 14/2023. (VI.29.) rendelethez képest</v>
      </c>
      <c r="I52" s="1439" t="str">
        <f>'1. mell.bevétel_össz'!I8</f>
        <v>2023. évi teljesítés              2023.06.30-ig</v>
      </c>
      <c r="J52" s="42" t="str">
        <f>'1. mell.bevétel_össz'!J8</f>
        <v>2023. évi teljesítés              2023.09.30-ig</v>
      </c>
      <c r="K52" s="1453" t="str">
        <f>'1. mell.bevétel_össz'!K8</f>
        <v>2023. évi teljesítés              2023.12.31-ig</v>
      </c>
      <c r="L52" s="1464" t="str">
        <f>'1. mell.bevétel_össz'!L8</f>
        <v>Teljesítés %-a</v>
      </c>
    </row>
    <row r="53" spans="1:12" s="31" customFormat="1" ht="12.2" customHeight="1" thickBot="1" x14ac:dyDescent="0.25">
      <c r="A53" s="197" t="s">
        <v>12</v>
      </c>
      <c r="B53" s="56" t="s">
        <v>547</v>
      </c>
      <c r="C53" s="89">
        <f>SUM(C54:C59)-C55</f>
        <v>619270000</v>
      </c>
      <c r="D53" s="127">
        <f t="shared" ref="D53:K53" si="11">SUM(D54:D59)-D55</f>
        <v>627467105</v>
      </c>
      <c r="E53" s="89">
        <f t="shared" si="11"/>
        <v>791065390</v>
      </c>
      <c r="F53" s="89">
        <f t="shared" si="11"/>
        <v>791065390</v>
      </c>
      <c r="G53" s="89">
        <f t="shared" si="11"/>
        <v>0</v>
      </c>
      <c r="H53" s="175">
        <f t="shared" ref="H53:H72" si="12">+E53-D53</f>
        <v>163598285</v>
      </c>
      <c r="I53" s="1524">
        <f t="shared" si="11"/>
        <v>0</v>
      </c>
      <c r="J53" s="89">
        <f t="shared" si="11"/>
        <v>535726968</v>
      </c>
      <c r="K53" s="1495">
        <f t="shared" si="11"/>
        <v>0</v>
      </c>
      <c r="L53" s="1509">
        <f t="shared" ref="L53:L72" si="13">IF(F53=0,"",J53/F53*100)</f>
        <v>67.722210423085244</v>
      </c>
    </row>
    <row r="54" spans="1:12" ht="12.2" customHeight="1" x14ac:dyDescent="0.2">
      <c r="A54" s="653" t="s">
        <v>91</v>
      </c>
      <c r="B54" s="17" t="s">
        <v>68</v>
      </c>
      <c r="C54" s="122">
        <v>477900000</v>
      </c>
      <c r="D54" s="189">
        <f>477900000+4850000</f>
        <v>482750000</v>
      </c>
      <c r="E54" s="122">
        <f>482750000+150000+414285+14550000+22000000+99000000</f>
        <v>618864285</v>
      </c>
      <c r="F54" s="122">
        <v>618864285</v>
      </c>
      <c r="G54" s="122"/>
      <c r="H54" s="177">
        <f t="shared" si="12"/>
        <v>136114285</v>
      </c>
      <c r="I54" s="1525"/>
      <c r="J54" s="122">
        <v>425963655</v>
      </c>
      <c r="K54" s="1501"/>
      <c r="L54" s="1515">
        <f t="shared" si="13"/>
        <v>68.829897818388403</v>
      </c>
    </row>
    <row r="55" spans="1:12" ht="12.2" customHeight="1" x14ac:dyDescent="0.2">
      <c r="A55" s="653" t="s">
        <v>305</v>
      </c>
      <c r="B55" s="335" t="s">
        <v>270</v>
      </c>
      <c r="C55" s="122"/>
      <c r="D55" s="189"/>
      <c r="E55" s="122">
        <v>22000000</v>
      </c>
      <c r="F55" s="122">
        <v>22000000</v>
      </c>
      <c r="G55" s="122"/>
      <c r="H55" s="177">
        <f t="shared" si="12"/>
        <v>22000000</v>
      </c>
      <c r="I55" s="1525"/>
      <c r="J55" s="122"/>
      <c r="K55" s="1501"/>
      <c r="L55" s="1515">
        <f t="shared" si="13"/>
        <v>0</v>
      </c>
    </row>
    <row r="56" spans="1:12" ht="12.2" customHeight="1" x14ac:dyDescent="0.2">
      <c r="A56" s="653" t="s">
        <v>92</v>
      </c>
      <c r="B56" s="330" t="s">
        <v>87</v>
      </c>
      <c r="C56" s="339">
        <v>70160000</v>
      </c>
      <c r="D56" s="323">
        <f>70160000+1358000</f>
        <v>71518000</v>
      </c>
      <c r="E56" s="339">
        <f>71518000+4074000+2860000+20400000</f>
        <v>98852000</v>
      </c>
      <c r="F56" s="339">
        <v>98852000</v>
      </c>
      <c r="G56" s="339"/>
      <c r="H56" s="503">
        <f t="shared" si="12"/>
        <v>27334000</v>
      </c>
      <c r="I56" s="1526"/>
      <c r="J56" s="339">
        <v>68074224</v>
      </c>
      <c r="K56" s="1489"/>
      <c r="L56" s="1521">
        <f t="shared" si="13"/>
        <v>68.864791809978556</v>
      </c>
    </row>
    <row r="57" spans="1:12" ht="12.2" customHeight="1" x14ac:dyDescent="0.2">
      <c r="A57" s="653" t="s">
        <v>93</v>
      </c>
      <c r="B57" s="330" t="s">
        <v>69</v>
      </c>
      <c r="C57" s="339">
        <v>71210000</v>
      </c>
      <c r="D57" s="323">
        <f>71210000+1100000+889105</f>
        <v>73199105</v>
      </c>
      <c r="E57" s="339">
        <f>73199105+150000</f>
        <v>73349105</v>
      </c>
      <c r="F57" s="339">
        <v>73349105</v>
      </c>
      <c r="G57" s="339"/>
      <c r="H57" s="503">
        <f t="shared" si="12"/>
        <v>150000</v>
      </c>
      <c r="I57" s="1526"/>
      <c r="J57" s="339">
        <v>41689089</v>
      </c>
      <c r="K57" s="1489"/>
      <c r="L57" s="1521">
        <f t="shared" si="13"/>
        <v>56.836533997245098</v>
      </c>
    </row>
    <row r="58" spans="1:12" ht="12.2" customHeight="1" x14ac:dyDescent="0.2">
      <c r="A58" s="653" t="s">
        <v>90</v>
      </c>
      <c r="B58" s="330" t="s">
        <v>80</v>
      </c>
      <c r="C58" s="339"/>
      <c r="D58" s="323"/>
      <c r="E58" s="339"/>
      <c r="F58" s="339"/>
      <c r="G58" s="339"/>
      <c r="H58" s="503">
        <f t="shared" si="12"/>
        <v>0</v>
      </c>
      <c r="I58" s="1526"/>
      <c r="J58" s="339"/>
      <c r="K58" s="1489"/>
      <c r="L58" s="1521" t="str">
        <f t="shared" si="13"/>
        <v/>
      </c>
    </row>
    <row r="59" spans="1:12" ht="12.2" customHeight="1" x14ac:dyDescent="0.2">
      <c r="A59" s="653" t="s">
        <v>147</v>
      </c>
      <c r="B59" s="330" t="s">
        <v>88</v>
      </c>
      <c r="C59" s="339"/>
      <c r="D59" s="323"/>
      <c r="E59" s="339"/>
      <c r="F59" s="339"/>
      <c r="G59" s="339"/>
      <c r="H59" s="503">
        <f t="shared" si="12"/>
        <v>0</v>
      </c>
      <c r="I59" s="1526"/>
      <c r="J59" s="339"/>
      <c r="K59" s="1489"/>
      <c r="L59" s="1521" t="str">
        <f t="shared" si="13"/>
        <v/>
      </c>
    </row>
    <row r="60" spans="1:12" ht="12.2" customHeight="1" x14ac:dyDescent="0.2">
      <c r="A60" s="653" t="s">
        <v>306</v>
      </c>
      <c r="B60" s="521" t="s">
        <v>235</v>
      </c>
      <c r="C60" s="339"/>
      <c r="D60" s="323"/>
      <c r="E60" s="339"/>
      <c r="F60" s="339"/>
      <c r="G60" s="339"/>
      <c r="H60" s="503">
        <f t="shared" si="12"/>
        <v>0</v>
      </c>
      <c r="I60" s="1526"/>
      <c r="J60" s="339"/>
      <c r="K60" s="1489"/>
      <c r="L60" s="1521" t="str">
        <f t="shared" si="13"/>
        <v/>
      </c>
    </row>
    <row r="61" spans="1:12" ht="12.2" customHeight="1" thickBot="1" x14ac:dyDescent="0.25">
      <c r="A61" s="198" t="s">
        <v>307</v>
      </c>
      <c r="B61" s="85" t="s">
        <v>234</v>
      </c>
      <c r="C61" s="92"/>
      <c r="D61" s="190"/>
      <c r="E61" s="92"/>
      <c r="F61" s="92"/>
      <c r="G61" s="92"/>
      <c r="H61" s="178">
        <f t="shared" si="12"/>
        <v>0</v>
      </c>
      <c r="I61" s="1527"/>
      <c r="J61" s="92"/>
      <c r="K61" s="1503"/>
      <c r="L61" s="1517" t="str">
        <f t="shared" si="13"/>
        <v/>
      </c>
    </row>
    <row r="62" spans="1:12" ht="12.2" customHeight="1" thickBot="1" x14ac:dyDescent="0.25">
      <c r="A62" s="197" t="s">
        <v>13</v>
      </c>
      <c r="B62" s="56" t="s">
        <v>548</v>
      </c>
      <c r="C62" s="89">
        <f>SUM(C63:C67)</f>
        <v>1500000</v>
      </c>
      <c r="D62" s="127">
        <f t="shared" ref="D62:K62" si="14">SUM(D63:D67)</f>
        <v>1500000</v>
      </c>
      <c r="E62" s="89">
        <f t="shared" si="14"/>
        <v>1500000</v>
      </c>
      <c r="F62" s="89">
        <f t="shared" si="14"/>
        <v>1500000</v>
      </c>
      <c r="G62" s="89">
        <f t="shared" si="14"/>
        <v>0</v>
      </c>
      <c r="H62" s="175">
        <f t="shared" si="12"/>
        <v>0</v>
      </c>
      <c r="I62" s="1524">
        <f t="shared" si="14"/>
        <v>332580</v>
      </c>
      <c r="J62" s="89">
        <f t="shared" si="14"/>
        <v>332580</v>
      </c>
      <c r="K62" s="1495">
        <f t="shared" si="14"/>
        <v>22.172000000000001</v>
      </c>
      <c r="L62" s="1509">
        <f t="shared" si="13"/>
        <v>22.172000000000001</v>
      </c>
    </row>
    <row r="63" spans="1:12" s="31" customFormat="1" ht="12.2" customHeight="1" x14ac:dyDescent="0.2">
      <c r="A63" s="653" t="s">
        <v>94</v>
      </c>
      <c r="B63" s="17" t="s">
        <v>119</v>
      </c>
      <c r="C63" s="122">
        <f>'15.felh.felúj.'!C67</f>
        <v>1500000</v>
      </c>
      <c r="D63" s="189">
        <f>'15.felh.felúj.'!D67</f>
        <v>1500000</v>
      </c>
      <c r="E63" s="122">
        <f>'15.felh.felúj.'!E67</f>
        <v>1500000</v>
      </c>
      <c r="F63" s="122">
        <f>'15.felh.felúj.'!F67</f>
        <v>1500000</v>
      </c>
      <c r="G63" s="122">
        <f>'15.felh.felúj.'!G67</f>
        <v>0</v>
      </c>
      <c r="H63" s="177">
        <f t="shared" si="12"/>
        <v>0</v>
      </c>
      <c r="I63" s="1525">
        <f>'15.felh.felúj.'!J67</f>
        <v>332580</v>
      </c>
      <c r="J63" s="122">
        <f>'15.felh.felúj.'!J67</f>
        <v>332580</v>
      </c>
      <c r="K63" s="1501">
        <f>'15.felh.felúj.'!L67</f>
        <v>22.172000000000001</v>
      </c>
      <c r="L63" s="1515">
        <f t="shared" si="13"/>
        <v>22.172000000000001</v>
      </c>
    </row>
    <row r="64" spans="1:12" s="31" customFormat="1" ht="12.2" customHeight="1" x14ac:dyDescent="0.2">
      <c r="A64" s="653" t="s">
        <v>316</v>
      </c>
      <c r="B64" s="522" t="s">
        <v>236</v>
      </c>
      <c r="C64" s="122"/>
      <c r="D64" s="189"/>
      <c r="E64" s="122"/>
      <c r="F64" s="122"/>
      <c r="G64" s="122"/>
      <c r="H64" s="177">
        <f t="shared" si="12"/>
        <v>0</v>
      </c>
      <c r="I64" s="1525"/>
      <c r="J64" s="122"/>
      <c r="K64" s="1501"/>
      <c r="L64" s="1515" t="str">
        <f t="shared" si="13"/>
        <v/>
      </c>
    </row>
    <row r="65" spans="1:14" ht="12.2" customHeight="1" x14ac:dyDescent="0.2">
      <c r="A65" s="653" t="s">
        <v>95</v>
      </c>
      <c r="B65" s="330" t="s">
        <v>2</v>
      </c>
      <c r="C65" s="339">
        <f>'15.felh.felúj.'!C73</f>
        <v>0</v>
      </c>
      <c r="D65" s="323">
        <f>'15.felh.felúj.'!D73</f>
        <v>0</v>
      </c>
      <c r="E65" s="339">
        <f>'15.felh.felúj.'!E73</f>
        <v>0</v>
      </c>
      <c r="F65" s="339">
        <f>'15.felh.felúj.'!F73</f>
        <v>0</v>
      </c>
      <c r="G65" s="339">
        <f>'15.felh.felúj.'!G73</f>
        <v>0</v>
      </c>
      <c r="H65" s="503">
        <f t="shared" si="12"/>
        <v>0</v>
      </c>
      <c r="I65" s="1526">
        <f>'15.felh.felúj.'!J73</f>
        <v>0</v>
      </c>
      <c r="J65" s="339">
        <f>'15.felh.felúj.'!J73</f>
        <v>0</v>
      </c>
      <c r="K65" s="1489" t="str">
        <f>'15.felh.felúj.'!L73</f>
        <v/>
      </c>
      <c r="L65" s="1521" t="str">
        <f t="shared" si="13"/>
        <v/>
      </c>
    </row>
    <row r="66" spans="1:14" ht="12.2" customHeight="1" x14ac:dyDescent="0.2">
      <c r="A66" s="653" t="s">
        <v>342</v>
      </c>
      <c r="B66" s="523" t="s">
        <v>237</v>
      </c>
      <c r="C66" s="339">
        <v>0</v>
      </c>
      <c r="D66" s="323">
        <v>0</v>
      </c>
      <c r="E66" s="339">
        <v>0</v>
      </c>
      <c r="F66" s="339">
        <v>0</v>
      </c>
      <c r="G66" s="339">
        <v>0</v>
      </c>
      <c r="H66" s="503">
        <f t="shared" si="12"/>
        <v>0</v>
      </c>
      <c r="I66" s="1526">
        <v>0</v>
      </c>
      <c r="J66" s="339">
        <v>0</v>
      </c>
      <c r="K66" s="1489">
        <v>0</v>
      </c>
      <c r="L66" s="1521" t="str">
        <f t="shared" si="13"/>
        <v/>
      </c>
    </row>
    <row r="67" spans="1:14" ht="12.2" customHeight="1" x14ac:dyDescent="0.2">
      <c r="A67" s="653" t="s">
        <v>96</v>
      </c>
      <c r="B67" s="17" t="s">
        <v>175</v>
      </c>
      <c r="C67" s="339"/>
      <c r="D67" s="323"/>
      <c r="E67" s="339"/>
      <c r="F67" s="339"/>
      <c r="G67" s="339"/>
      <c r="H67" s="503">
        <f t="shared" si="12"/>
        <v>0</v>
      </c>
      <c r="I67" s="1526"/>
      <c r="J67" s="339"/>
      <c r="K67" s="1489"/>
      <c r="L67" s="1521" t="str">
        <f t="shared" si="13"/>
        <v/>
      </c>
    </row>
    <row r="68" spans="1:14" ht="12.2" customHeight="1" x14ac:dyDescent="0.2">
      <c r="A68" s="653" t="s">
        <v>317</v>
      </c>
      <c r="B68" s="521" t="s">
        <v>239</v>
      </c>
      <c r="C68" s="339"/>
      <c r="D68" s="323"/>
      <c r="E68" s="339"/>
      <c r="F68" s="339"/>
      <c r="G68" s="339"/>
      <c r="H68" s="503">
        <f t="shared" si="12"/>
        <v>0</v>
      </c>
      <c r="I68" s="1526"/>
      <c r="J68" s="339"/>
      <c r="K68" s="1489"/>
      <c r="L68" s="1521" t="str">
        <f t="shared" si="13"/>
        <v/>
      </c>
    </row>
    <row r="69" spans="1:14" ht="12.2" customHeight="1" thickBot="1" x14ac:dyDescent="0.25">
      <c r="A69" s="653" t="s">
        <v>318</v>
      </c>
      <c r="B69" s="521" t="s">
        <v>238</v>
      </c>
      <c r="C69" s="339"/>
      <c r="D69" s="323"/>
      <c r="E69" s="339"/>
      <c r="F69" s="339"/>
      <c r="G69" s="339"/>
      <c r="H69" s="503">
        <f t="shared" si="12"/>
        <v>0</v>
      </c>
      <c r="I69" s="1526"/>
      <c r="J69" s="339"/>
      <c r="K69" s="1489"/>
      <c r="L69" s="1521" t="str">
        <f t="shared" si="13"/>
        <v/>
      </c>
      <c r="N69" s="18"/>
    </row>
    <row r="70" spans="1:14" ht="15" customHeight="1" thickBot="1" x14ac:dyDescent="0.25">
      <c r="A70" s="197" t="s">
        <v>14</v>
      </c>
      <c r="B70" s="67" t="s">
        <v>176</v>
      </c>
      <c r="C70" s="135">
        <f>+C53+C62</f>
        <v>620770000</v>
      </c>
      <c r="D70" s="134">
        <f t="shared" ref="D70:K70" si="15">+D53+D62</f>
        <v>628967105</v>
      </c>
      <c r="E70" s="135">
        <f t="shared" si="15"/>
        <v>792565390</v>
      </c>
      <c r="F70" s="135">
        <f t="shared" si="15"/>
        <v>792565390</v>
      </c>
      <c r="G70" s="135">
        <f t="shared" si="15"/>
        <v>0</v>
      </c>
      <c r="H70" s="176">
        <f t="shared" si="12"/>
        <v>163598285</v>
      </c>
      <c r="I70" s="1528">
        <f t="shared" si="15"/>
        <v>332580</v>
      </c>
      <c r="J70" s="135">
        <f t="shared" si="15"/>
        <v>536059548</v>
      </c>
      <c r="K70" s="1507">
        <f t="shared" si="15"/>
        <v>22.172000000000001</v>
      </c>
      <c r="L70" s="1523">
        <f t="shared" si="13"/>
        <v>67.636002626862123</v>
      </c>
    </row>
    <row r="71" spans="1:14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139" t="str">
        <f t="shared" si="13"/>
        <v/>
      </c>
    </row>
    <row r="72" spans="1:14" s="602" customFormat="1" ht="15" customHeight="1" thickBot="1" x14ac:dyDescent="0.25">
      <c r="A72" s="1035" t="s">
        <v>290</v>
      </c>
      <c r="B72" s="1036"/>
      <c r="C72" s="598">
        <v>97</v>
      </c>
      <c r="D72" s="599">
        <v>97</v>
      </c>
      <c r="E72" s="598">
        <v>97</v>
      </c>
      <c r="F72" s="598">
        <v>97</v>
      </c>
      <c r="G72" s="598"/>
      <c r="H72" s="1020">
        <f t="shared" si="12"/>
        <v>0</v>
      </c>
      <c r="I72" s="1486"/>
      <c r="J72" s="1744">
        <v>93</v>
      </c>
      <c r="K72" s="615"/>
      <c r="L72" s="1487">
        <f t="shared" si="13"/>
        <v>95.876288659793815</v>
      </c>
    </row>
    <row r="73" spans="1:14" s="602" customFormat="1" ht="14.25" hidden="1" customHeight="1" thickBot="1" x14ac:dyDescent="0.25">
      <c r="A73" s="596" t="s">
        <v>291</v>
      </c>
      <c r="B73" s="597"/>
      <c r="C73" s="654"/>
      <c r="D73" s="612"/>
      <c r="E73" s="603"/>
      <c r="F73" s="603"/>
      <c r="G73" s="603"/>
      <c r="H73" s="632"/>
      <c r="I73" s="633"/>
      <c r="J73" s="631"/>
      <c r="K73" s="633"/>
      <c r="L73" s="601" t="e">
        <f>I73/D73*100</f>
        <v>#DIV/0!</v>
      </c>
    </row>
    <row r="74" spans="1:14" x14ac:dyDescent="0.2">
      <c r="H74" s="163"/>
    </row>
  </sheetData>
  <sheetProtection formatCells="0"/>
  <mergeCells count="9">
    <mergeCell ref="A50:L50"/>
    <mergeCell ref="A51:L51"/>
    <mergeCell ref="A3:L3"/>
    <mergeCell ref="A2:H2"/>
    <mergeCell ref="A1:L1"/>
    <mergeCell ref="C4:L4"/>
    <mergeCell ref="C5:L5"/>
    <mergeCell ref="A6:L6"/>
    <mergeCell ref="A9:L9"/>
  </mergeCells>
  <phoneticPr fontId="45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0" orientation="portrait" r:id="rId1"/>
  <headerFooter alignWithMargins="0"/>
  <colBreaks count="1" manualBreakCount="1">
    <brk id="1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61</vt:i4>
      </vt:variant>
      <vt:variant>
        <vt:lpstr>Névvel ellátott tartományok</vt:lpstr>
      </vt:variant>
      <vt:variant>
        <vt:i4>95</vt:i4>
      </vt:variant>
    </vt:vector>
  </HeadingPairs>
  <TitlesOfParts>
    <vt:vector size="156" baseType="lpstr">
      <vt:lpstr>1. mell.bevétel_össz</vt:lpstr>
      <vt:lpstr>1.mell.kiadás_össz</vt:lpstr>
      <vt:lpstr>2.mell.működés  </vt:lpstr>
      <vt:lpstr>3.mell.felhalm </vt:lpstr>
      <vt:lpstr>4. mell.Önkorm</vt:lpstr>
      <vt:lpstr>5.Int.össz</vt:lpstr>
      <vt:lpstr>6.Polg_Hivatal</vt:lpstr>
      <vt:lpstr>7.TIK</vt:lpstr>
      <vt:lpstr>8.Humán</vt:lpstr>
      <vt:lpstr>9.Óvoda</vt:lpstr>
      <vt:lpstr>10.TMKK</vt:lpstr>
      <vt:lpstr>11.Rendelő</vt:lpstr>
      <vt:lpstr>12.Városüzemeltetés</vt:lpstr>
      <vt:lpstr>13.támogatás</vt:lpstr>
      <vt:lpstr>14.Szoc. </vt:lpstr>
      <vt:lpstr>15.felh.felúj.</vt:lpstr>
      <vt:lpstr>16.beruh.</vt:lpstr>
      <vt:lpstr>17.felúj.</vt:lpstr>
      <vt:lpstr>18.adósság</vt:lpstr>
      <vt:lpstr>19.sajátbev.</vt:lpstr>
      <vt:lpstr>20. fejl.célok</vt:lpstr>
      <vt:lpstr>21.elism.tart</vt:lpstr>
      <vt:lpstr>18. vezetői pótlék</vt:lpstr>
      <vt:lpstr>19.int.pótlékok  </vt:lpstr>
      <vt:lpstr>24.címpótl. </vt:lpstr>
      <vt:lpstr>25.EU_projekt. </vt:lpstr>
      <vt:lpstr>26._köt_össz_bev</vt:lpstr>
      <vt:lpstr>26._köt_össz_kiad</vt:lpstr>
      <vt:lpstr>26._önként_össz_bev</vt:lpstr>
      <vt:lpstr>26._önként_össz_kiad</vt:lpstr>
      <vt:lpstr>26._államig_össz_bev</vt:lpstr>
      <vt:lpstr>26._államig_össz_kiad</vt:lpstr>
      <vt:lpstr>27._önkorm_köt</vt:lpstr>
      <vt:lpstr>27._önkorm_önként</vt:lpstr>
      <vt:lpstr>27._önkorm_államig</vt:lpstr>
      <vt:lpstr>28._Int össz_köt</vt:lpstr>
      <vt:lpstr>28._Int össz_önk</vt:lpstr>
      <vt:lpstr>28._Int.össz_államig</vt:lpstr>
      <vt:lpstr>29._Hivatal_köt</vt:lpstr>
      <vt:lpstr>29._Hivatal_önként</vt:lpstr>
      <vt:lpstr>29._Hivatal_államig</vt:lpstr>
      <vt:lpstr>30._TIK_köt</vt:lpstr>
      <vt:lpstr>30._TIK_önként</vt:lpstr>
      <vt:lpstr>30._TIK_államig</vt:lpstr>
      <vt:lpstr>31._Humán_köt</vt:lpstr>
      <vt:lpstr>31._Humán_önként</vt:lpstr>
      <vt:lpstr>31._Humán_államig</vt:lpstr>
      <vt:lpstr>32._Óvoda_köt</vt:lpstr>
      <vt:lpstr>32._Óvoda_önként</vt:lpstr>
      <vt:lpstr>32._Óvoda_államig</vt:lpstr>
      <vt:lpstr>33._TMKK_köt</vt:lpstr>
      <vt:lpstr>33._TMKK_önként</vt:lpstr>
      <vt:lpstr>33._TMKK_államig</vt:lpstr>
      <vt:lpstr>34._Rendelő_köt</vt:lpstr>
      <vt:lpstr>34._Rendelő_önként</vt:lpstr>
      <vt:lpstr>34._Rendelő_államig</vt:lpstr>
      <vt:lpstr>Munka4</vt:lpstr>
      <vt:lpstr>Munka3</vt:lpstr>
      <vt:lpstr>Munka1</vt:lpstr>
      <vt:lpstr>Munka5</vt:lpstr>
      <vt:lpstr>Munka2</vt:lpstr>
      <vt:lpstr>'1. mell.bevétel_össz'!Nyomtatási_cím</vt:lpstr>
      <vt:lpstr>'1.mell.kiadás_össz'!Nyomtatási_cím</vt:lpstr>
      <vt:lpstr>'10.TMKK'!Nyomtatási_cím</vt:lpstr>
      <vt:lpstr>'11.Rendelő'!Nyomtatási_cím</vt:lpstr>
      <vt:lpstr>'13.támogatás'!Nyomtatási_cím</vt:lpstr>
      <vt:lpstr>'15.felh.felúj.'!Nyomtatási_cím</vt:lpstr>
      <vt:lpstr>'16.beruh.'!Nyomtatási_cím</vt:lpstr>
      <vt:lpstr>'17.felúj.'!Nyomtatási_cím</vt:lpstr>
      <vt:lpstr>'25.EU_projekt. '!Nyomtatási_cím</vt:lpstr>
      <vt:lpstr>'26._államig_össz_bev'!Nyomtatási_cím</vt:lpstr>
      <vt:lpstr>'26._államig_össz_kiad'!Nyomtatási_cím</vt:lpstr>
      <vt:lpstr>'26._köt_össz_bev'!Nyomtatási_cím</vt:lpstr>
      <vt:lpstr>'26._köt_össz_kiad'!Nyomtatási_cím</vt:lpstr>
      <vt:lpstr>'26._önként_össz_bev'!Nyomtatási_cím</vt:lpstr>
      <vt:lpstr>'26._önként_össz_kiad'!Nyomtatási_cím</vt:lpstr>
      <vt:lpstr>'27._önkorm_államig'!Nyomtatási_cím</vt:lpstr>
      <vt:lpstr>'27._önkorm_köt'!Nyomtatási_cím</vt:lpstr>
      <vt:lpstr>'27._önkorm_önként'!Nyomtatási_cím</vt:lpstr>
      <vt:lpstr>'28._Int össz_köt'!Nyomtatási_cím</vt:lpstr>
      <vt:lpstr>'29._Hivatal_államig'!Nyomtatási_cím</vt:lpstr>
      <vt:lpstr>'29._Hivatal_köt'!Nyomtatási_cím</vt:lpstr>
      <vt:lpstr>'29._Hivatal_önként'!Nyomtatási_cím</vt:lpstr>
      <vt:lpstr>'30._TIK_államig'!Nyomtatási_cím</vt:lpstr>
      <vt:lpstr>'30._TIK_köt'!Nyomtatási_cím</vt:lpstr>
      <vt:lpstr>'30._TIK_önként'!Nyomtatási_cím</vt:lpstr>
      <vt:lpstr>'31._Humán_államig'!Nyomtatási_cím</vt:lpstr>
      <vt:lpstr>'31._Humán_köt'!Nyomtatási_cím</vt:lpstr>
      <vt:lpstr>'31._Humán_önként'!Nyomtatási_cím</vt:lpstr>
      <vt:lpstr>'32._Óvoda_államig'!Nyomtatási_cím</vt:lpstr>
      <vt:lpstr>'32._Óvoda_köt'!Nyomtatási_cím</vt:lpstr>
      <vt:lpstr>'32._Óvoda_önként'!Nyomtatási_cím</vt:lpstr>
      <vt:lpstr>'33._TMKK_államig'!Nyomtatási_cím</vt:lpstr>
      <vt:lpstr>'33._TMKK_köt'!Nyomtatási_cím</vt:lpstr>
      <vt:lpstr>'33._TMKK_önként'!Nyomtatási_cím</vt:lpstr>
      <vt:lpstr>'34._Rendelő_államig'!Nyomtatási_cím</vt:lpstr>
      <vt:lpstr>'34._Rendelő_köt'!Nyomtatási_cím</vt:lpstr>
      <vt:lpstr>'34._Rendelő_önként'!Nyomtatási_cím</vt:lpstr>
      <vt:lpstr>'4. mell.Önkorm'!Nyomtatási_cím</vt:lpstr>
      <vt:lpstr>'5.Int.össz'!Nyomtatási_cím</vt:lpstr>
      <vt:lpstr>'6.Polg_Hivatal'!Nyomtatási_cím</vt:lpstr>
      <vt:lpstr>'7.TIK'!Nyomtatási_cím</vt:lpstr>
      <vt:lpstr>'8.Humán'!Nyomtatási_cím</vt:lpstr>
      <vt:lpstr>'9.Óvoda'!Nyomtatási_cím</vt:lpstr>
      <vt:lpstr>'1. mell.bevétel_össz'!Nyomtatási_terület</vt:lpstr>
      <vt:lpstr>'1.mell.kiadás_össz'!Nyomtatási_terület</vt:lpstr>
      <vt:lpstr>'10.TMKK'!Nyomtatási_terület</vt:lpstr>
      <vt:lpstr>'11.Rendelő'!Nyomtatási_terület</vt:lpstr>
      <vt:lpstr>'12.Városüzemeltetés'!Nyomtatási_terület</vt:lpstr>
      <vt:lpstr>'13.támogatás'!Nyomtatási_terület</vt:lpstr>
      <vt:lpstr>'14.Szoc. '!Nyomtatási_terület</vt:lpstr>
      <vt:lpstr>'15.felh.felúj.'!Nyomtatási_terület</vt:lpstr>
      <vt:lpstr>'16.beruh.'!Nyomtatási_terület</vt:lpstr>
      <vt:lpstr>'17.felúj.'!Nyomtatási_terület</vt:lpstr>
      <vt:lpstr>'18. vezetői pótlék'!Nyomtatási_terület</vt:lpstr>
      <vt:lpstr>'18.adósság'!Nyomtatási_terület</vt:lpstr>
      <vt:lpstr>'19.int.pótlékok  '!Nyomtatási_terület</vt:lpstr>
      <vt:lpstr>'19.sajátbev.'!Nyomtatási_terület</vt:lpstr>
      <vt:lpstr>'2.mell.működés  '!Nyomtatási_terület</vt:lpstr>
      <vt:lpstr>'25.EU_projekt. '!Nyomtatási_terület</vt:lpstr>
      <vt:lpstr>'26._államig_össz_kiad'!Nyomtatási_terület</vt:lpstr>
      <vt:lpstr>'26._köt_össz_bev'!Nyomtatási_terület</vt:lpstr>
      <vt:lpstr>'26._köt_össz_kiad'!Nyomtatási_terület</vt:lpstr>
      <vt:lpstr>'26._önként_össz_bev'!Nyomtatási_terület</vt:lpstr>
      <vt:lpstr>'26._önként_össz_kiad'!Nyomtatási_terület</vt:lpstr>
      <vt:lpstr>'27._önkorm_államig'!Nyomtatási_terület</vt:lpstr>
      <vt:lpstr>'27._önkorm_köt'!Nyomtatási_terület</vt:lpstr>
      <vt:lpstr>'27._önkorm_önként'!Nyomtatási_terület</vt:lpstr>
      <vt:lpstr>'28._Int össz_köt'!Nyomtatási_terület</vt:lpstr>
      <vt:lpstr>'28._Int össz_önk'!Nyomtatási_terület</vt:lpstr>
      <vt:lpstr>'28._Int.össz_államig'!Nyomtatási_terület</vt:lpstr>
      <vt:lpstr>'29._Hivatal_államig'!Nyomtatási_terület</vt:lpstr>
      <vt:lpstr>'29._Hivatal_köt'!Nyomtatási_terület</vt:lpstr>
      <vt:lpstr>'29._Hivatal_önként'!Nyomtatási_terület</vt:lpstr>
      <vt:lpstr>'3.mell.felhalm '!Nyomtatási_terület</vt:lpstr>
      <vt:lpstr>'30._TIK_államig'!Nyomtatási_terület</vt:lpstr>
      <vt:lpstr>'30._TIK_köt'!Nyomtatási_terület</vt:lpstr>
      <vt:lpstr>'30._TIK_önként'!Nyomtatási_terület</vt:lpstr>
      <vt:lpstr>'31._Humán_államig'!Nyomtatási_terület</vt:lpstr>
      <vt:lpstr>'31._Humán_köt'!Nyomtatási_terület</vt:lpstr>
      <vt:lpstr>'31._Humán_önként'!Nyomtatási_terület</vt:lpstr>
      <vt:lpstr>'32._Óvoda_államig'!Nyomtatási_terület</vt:lpstr>
      <vt:lpstr>'32._Óvoda_köt'!Nyomtatási_terület</vt:lpstr>
      <vt:lpstr>'32._Óvoda_önként'!Nyomtatási_terület</vt:lpstr>
      <vt:lpstr>'33._TMKK_államig'!Nyomtatási_terület</vt:lpstr>
      <vt:lpstr>'33._TMKK_köt'!Nyomtatási_terület</vt:lpstr>
      <vt:lpstr>'33._TMKK_önként'!Nyomtatási_terület</vt:lpstr>
      <vt:lpstr>'34._Rendelő_államig'!Nyomtatási_terület</vt:lpstr>
      <vt:lpstr>'34._Rendelő_köt'!Nyomtatási_terület</vt:lpstr>
      <vt:lpstr>'34._Rendelő_önként'!Nyomtatási_terület</vt:lpstr>
      <vt:lpstr>'4. mell.Önkorm'!Nyomtatási_terület</vt:lpstr>
      <vt:lpstr>'5.Int.össz'!Nyomtatási_terület</vt:lpstr>
      <vt:lpstr>'6.Polg_Hivatal'!Nyomtatási_terület</vt:lpstr>
      <vt:lpstr>'7.TIK'!Nyomtatási_terület</vt:lpstr>
      <vt:lpstr>'8.Humán'!Nyomtatási_terület</vt:lpstr>
      <vt:lpstr>'9.Óvoda'!Nyomtatási_terület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Makranczi László</dc:creator>
  <cp:lastModifiedBy>User2</cp:lastModifiedBy>
  <cp:lastPrinted>2023-11-13T09:23:53Z</cp:lastPrinted>
  <dcterms:created xsi:type="dcterms:W3CDTF">1999-10-30T10:30:45Z</dcterms:created>
  <dcterms:modified xsi:type="dcterms:W3CDTF">2023-11-13T09:34:43Z</dcterms:modified>
</cp:coreProperties>
</file>