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15" windowHeight="12180" tabRatio="878" activeTab="7"/>
  </bookViews>
  <sheets>
    <sheet name="1.1. mell.bevétel_össz " sheetId="1" r:id="rId1"/>
    <sheet name="1.2. mell.kiadás_össz " sheetId="2" r:id="rId2"/>
    <sheet name="2.többéves kötváll" sheetId="3" r:id="rId3"/>
    <sheet name="3.nyújott_hitel" sheetId="4" r:id="rId4"/>
    <sheet name="4.tám_közvetett" sheetId="5" r:id="rId5"/>
    <sheet name="5.adósságállomány" sheetId="6" r:id="rId6"/>
    <sheet name="6.táj_részesedések" sheetId="7" r:id="rId7"/>
    <sheet name="7.táj_pénzeszk. vált" sheetId="8" r:id="rId8"/>
    <sheet name="9. tájékoztató tábla (2)" sheetId="9" state="hidden" r:id="rId9"/>
    <sheet name="8.táj_mérleg" sheetId="10" r:id="rId10"/>
  </sheets>
  <externalReferences>
    <externalReference r:id="rId13"/>
  </externalReferences>
  <definedNames>
    <definedName name="_xlfn.IFERROR" hidden="1">#NAME?</definedName>
    <definedName name="_xlnm.Print_Titles" localSheetId="0">'1.1. mell.bevétel_össz '!$1:$3</definedName>
    <definedName name="_xlnm.Print_Titles" localSheetId="2">'2.többéves kötváll'!$2:$5</definedName>
    <definedName name="_xlnm.Print_Titles" localSheetId="9">'8.táj_mérleg'!$1:$2</definedName>
    <definedName name="_xlnm.Print_Area" localSheetId="0">'1.1. mell.bevétel_össz '!$A$1:$E$78</definedName>
    <definedName name="_xlnm.Print_Area" localSheetId="1">'1.2. mell.kiadás_össz '!$A$1:$E$49</definedName>
    <definedName name="_xlnm.Print_Area" localSheetId="2">'2.többéves kötváll'!$A$2:$J$240</definedName>
    <definedName name="_xlnm.Print_Area" localSheetId="3">'3.nyújott_hitel'!$A$1:$H$19</definedName>
    <definedName name="_xlnm.Print_Area" localSheetId="5">'5.adósságállomány'!$A$1:$I$19</definedName>
    <definedName name="_xlnm.Print_Area" localSheetId="6">'6.táj_részesedések'!$A$1:$E$18</definedName>
    <definedName name="_xlnm.Print_Area" localSheetId="7">'7.táj_pénzeszk. vált'!$A$1:$C$16</definedName>
    <definedName name="_xlnm.Print_Area" localSheetId="9">'8.táj_mérleg'!$A$1:$E$255</definedName>
    <definedName name="Száz" localSheetId="4">#REF!</definedName>
    <definedName name="Száz">#REF!</definedName>
    <definedName name="Z_1CB64754_D272_49BD_8990_3343FF2BEFD9_.wvu.PrintTitles" localSheetId="2" hidden="1">'2.többéves kötváll'!$2:$5</definedName>
    <definedName name="Z_71FF2DB2_DF9A_4FD3_969C_32E4200688A8_.wvu.PrintTitles" localSheetId="2" hidden="1">'2.többéves kötváll'!$2:$5</definedName>
    <definedName name="Z_EFAD9D99_759D_493B_A1C7_E70FA00B90E4_.wvu.PrintTitles" localSheetId="2" hidden="1">'2.többéves kötváll'!$2:$5</definedName>
    <definedName name="Z_F1F1E2FA_4080_4C9D_8031_9A96E9D6B0BC_.wvu.PrintTitles" localSheetId="2" hidden="1">'2.többéves kötváll'!$2:$5</definedName>
    <definedName name="Z_FD6B2BBA_E448_4A18_98E7_B4606FB6A82E_.wvu.PrintTitles" localSheetId="2" hidden="1">'2.többéves kötváll'!$2:$5</definedName>
  </definedNames>
  <calcPr fullCalcOnLoad="1"/>
</workbook>
</file>

<file path=xl/comments6.xml><?xml version="1.0" encoding="utf-8"?>
<comments xmlns="http://schemas.openxmlformats.org/spreadsheetml/2006/main">
  <authors>
    <author>User2</author>
  </authors>
  <commentList>
    <comment ref="C11" authorId="0">
      <text>
        <r>
          <rPr>
            <b/>
            <sz val="9"/>
            <rFont val="Segoe UI"/>
            <family val="2"/>
          </rPr>
          <t>TIK: 23.913.070 Ft
Rendelő: 1.044.233 Ft
Önk: 41.617.588 Ft
Phiv.: 8.281.825 Ft</t>
        </r>
      </text>
    </comment>
  </commentList>
</comments>
</file>

<file path=xl/sharedStrings.xml><?xml version="1.0" encoding="utf-8"?>
<sst xmlns="http://schemas.openxmlformats.org/spreadsheetml/2006/main" count="1620" uniqueCount="1175">
  <si>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</si>
  <si>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</si>
  <si>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</si>
  <si>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</si>
  <si>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</si>
  <si>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</si>
  <si>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</si>
  <si>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</si>
  <si>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</si>
  <si>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</si>
  <si>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</si>
  <si>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</si>
  <si>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</si>
  <si>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</si>
  <si>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</si>
  <si>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</si>
  <si>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</si>
  <si>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</si>
  <si>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</si>
  <si>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</si>
  <si>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</si>
  <si>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</si>
  <si>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</si>
  <si>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</si>
  <si>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</si>
  <si>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</si>
  <si>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</si>
  <si>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Megnevezés</t>
  </si>
  <si>
    <t>Sor-
szám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</si>
  <si>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</si>
  <si>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</si>
  <si>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</si>
  <si>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</si>
  <si>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Teljesítés</t>
  </si>
  <si>
    <t>Kötelezettségek a következő években</t>
  </si>
  <si>
    <t>Még fennálló kötelezettség</t>
  </si>
  <si>
    <t>Beruházás feladatonként</t>
  </si>
  <si>
    <t>Felújítás célonként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</si>
  <si>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</si>
  <si>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</si>
  <si>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</si>
  <si>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</si>
  <si>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</si>
  <si>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</si>
  <si>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</si>
  <si>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</si>
  <si>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</si>
  <si>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</si>
  <si>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</si>
  <si>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</si>
  <si>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</si>
  <si>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</si>
  <si>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</si>
  <si>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</si>
  <si>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</si>
  <si>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</si>
  <si>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Sorszám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</si>
  <si>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</si>
  <si>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</si>
  <si>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</si>
  <si>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</si>
  <si>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A</t>
  </si>
  <si>
    <t>B</t>
  </si>
  <si>
    <t>C</t>
  </si>
  <si>
    <t>D</t>
  </si>
  <si>
    <t>E</t>
  </si>
  <si>
    <t>F</t>
  </si>
  <si>
    <t>G</t>
  </si>
  <si>
    <t>H</t>
  </si>
  <si>
    <t>H=(D+…+G)</t>
  </si>
  <si>
    <t>I=(C+H)</t>
  </si>
  <si>
    <t>I) KINCSTÁRI SZÁMLAVEZETÉSSEL KAPCSOLATOS ELSZÁMOLÁSOK</t>
  </si>
  <si>
    <t>Működési célú kötelezettségek</t>
  </si>
  <si>
    <t>Kötelezettség jogcíme</t>
  </si>
  <si>
    <t>I.</t>
  </si>
  <si>
    <t>II.</t>
  </si>
  <si>
    <t>III.</t>
  </si>
  <si>
    <t>PÉNZESZKÖZÖK VÁLTOZÁSÁNAK LEVEZETÉSE</t>
  </si>
  <si>
    <t>Egyéb korrekciós tételek (+,-)</t>
  </si>
  <si>
    <t>Összeg  (Ft )</t>
  </si>
  <si>
    <t>9. tájékoztató tábla</t>
  </si>
  <si>
    <t>Tiszaújvárosi Intézményműködtető Központ</t>
  </si>
  <si>
    <t>Tiszaújvárosi Napközi Otthonos Óvoda</t>
  </si>
  <si>
    <t>Tiszaújvárosi Humánszolgáltató Központ</t>
  </si>
  <si>
    <t>Továbbadási céllból folyósított támogatások, ellátások elszámolása</t>
  </si>
  <si>
    <t>Tiszaújváros Városi Rendelőintézet</t>
  </si>
  <si>
    <t>Tiszaújváros Város Önkormányzata</t>
  </si>
  <si>
    <t xml:space="preserve"> </t>
  </si>
  <si>
    <t>Tiszaújvárosi Polgármesteri Hivatal összesen</t>
  </si>
  <si>
    <t>7. tájékoztató tábla</t>
  </si>
  <si>
    <t>Gazdálkodó szervezet megnevezése</t>
  </si>
  <si>
    <t>Részesedés összege (Ft-ban) (könyv szerinti érték)</t>
  </si>
  <si>
    <t>Működésből származó kötelezettségek összege XII. 31-én
 (Ft-ban)</t>
  </si>
  <si>
    <t>Tisza Média Kft.</t>
  </si>
  <si>
    <t>Tiszaújvárosi Városgazda Nonprofit Kft.</t>
  </si>
  <si>
    <t>Tiszaújvárosi Sport-Park Nonprofit Kft.</t>
  </si>
  <si>
    <t xml:space="preserve">       ÖSSZESEN:</t>
  </si>
  <si>
    <t>Előző év</t>
  </si>
  <si>
    <t>Tárgy év</t>
  </si>
  <si>
    <t>Változás %</t>
  </si>
  <si>
    <t>01</t>
  </si>
  <si>
    <t>A/I/1 Vagyoni értékű jogok</t>
  </si>
  <si>
    <t>02</t>
  </si>
  <si>
    <t>A/I/2 Szellemi termékek</t>
  </si>
  <si>
    <t>03</t>
  </si>
  <si>
    <t>A/I/3 Immateriális javak értékhelyesbítése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</si>
  <si>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</si>
  <si>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</si>
  <si>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</si>
  <si>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</si>
  <si>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</si>
  <si>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</si>
  <si>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</si>
  <si>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</si>
  <si>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</si>
  <si>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</si>
  <si>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</si>
  <si>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</si>
  <si>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</si>
  <si>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</si>
  <si>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</si>
  <si>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</si>
  <si>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</si>
  <si>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</si>
  <si>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</si>
  <si>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</si>
  <si>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</si>
  <si>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</si>
  <si>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</si>
  <si>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</si>
  <si>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</si>
  <si>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</si>
  <si>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</si>
  <si>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</si>
  <si>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</si>
  <si>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</si>
  <si>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</si>
  <si>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</si>
  <si>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</si>
  <si>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</si>
  <si>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</si>
  <si>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</si>
  <si>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</si>
  <si>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</si>
  <si>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</si>
  <si>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</si>
  <si>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</si>
  <si>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</si>
  <si>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</si>
  <si>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</si>
  <si>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</si>
  <si>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</si>
  <si>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</si>
  <si>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</si>
  <si>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</si>
  <si>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29</t>
  </si>
  <si>
    <t>B/I/1 Vásárolt készletek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</si>
  <si>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</si>
  <si>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</si>
  <si>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</si>
  <si>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</si>
  <si>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</si>
  <si>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</si>
  <si>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</si>
  <si>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</si>
  <si>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34</t>
  </si>
  <si>
    <t>B/I Készletek (=B/I/1+…+B/I/5)</t>
  </si>
  <si>
    <t>35</t>
  </si>
  <si>
    <t>36</t>
  </si>
  <si>
    <t>B/II/2 Forgatási célú hitelviszonyt megtestesítő értékpapírok (&gt;=B/II/2a+…+B/II/2e)</t>
  </si>
  <si>
    <t>37</t>
  </si>
  <si>
    <t>B/II/2a - ebből: kárpótlási jegyek</t>
  </si>
  <si>
    <t>38</t>
  </si>
  <si>
    <t>B/II/2b - ebből: kincstárjegyek</t>
  </si>
  <si>
    <t>39</t>
  </si>
  <si>
    <t>B/II/2c - ebből: államkötvények</t>
  </si>
  <si>
    <t>40</t>
  </si>
  <si>
    <t>B/II/2d - ebből: helyi önkormányzatok kötvényei</t>
  </si>
  <si>
    <t>41</t>
  </si>
  <si>
    <t>42</t>
  </si>
  <si>
    <t>B/II Értékpapírok (=B/II/1+B/II/2)</t>
  </si>
  <si>
    <t>43</t>
  </si>
  <si>
    <t>B) NEMZETI VAGYONBA TARTOZÓ FORGÓESZKÖZÖK (= B/I+B/II)</t>
  </si>
  <si>
    <t>C/I/1 Éven túli lejáratú forint lekötött bankbetétek</t>
  </si>
  <si>
    <t>45</t>
  </si>
  <si>
    <t>C/I/2 Éven túli lejáratú deviza lekötött bankbetétek</t>
  </si>
  <si>
    <t>46</t>
  </si>
  <si>
    <t>47</t>
  </si>
  <si>
    <t>C/II/1 Forintpénztár</t>
  </si>
  <si>
    <t>48</t>
  </si>
  <si>
    <t>C/II/2 Valutapénztár</t>
  </si>
  <si>
    <t>49</t>
  </si>
  <si>
    <t>C/II/3 Betétkönyvek, csekkek, elektronikus pénzeszközök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</si>
  <si>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</si>
  <si>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</si>
  <si>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</si>
  <si>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</si>
  <si>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</si>
  <si>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</si>
  <si>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</si>
  <si>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</si>
  <si>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54</t>
  </si>
  <si>
    <t>C/IV/1 Kincstáron kívüli devizaszámlák</t>
  </si>
  <si>
    <t>55</t>
  </si>
  <si>
    <t>C/IV/2 Kincstárban vezetett devizaszámlák</t>
  </si>
  <si>
    <t>56</t>
  </si>
  <si>
    <t>C/IV Devizaszámlák (=CIV/1+C/IV/2)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</si>
  <si>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</si>
  <si>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</si>
  <si>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</si>
  <si>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</si>
  <si>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</si>
  <si>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</si>
  <si>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60</t>
  </si>
  <si>
    <t>D/I/2 Költségvetési évben esedékes követelések felhalmozási célú támogatások bevételeire államháztartáson belülről (&gt;=D/I/2a)</t>
  </si>
  <si>
    <t>61</t>
  </si>
  <si>
    <t>D/I/2a - ebből: költségvetési évben esedékes követelések felhalmozási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</si>
  <si>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</si>
  <si>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</si>
  <si>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63</t>
  </si>
  <si>
    <t>D/I/3a  - ebből: költségvetési évben esedékes követelések jövedelemadókra</t>
  </si>
  <si>
    <t>64</t>
  </si>
  <si>
    <t>D/I/3b - ebből: költségvetési évben esedékes követelések szociális hozzájárulási adóra és járulékokra</t>
  </si>
  <si>
    <t>65</t>
  </si>
  <si>
    <t>D/I/3c - ebből: költségvetési évben esedékes követelések bérhez és foglalkoztatáshoz kapcsolódó adókra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</si>
  <si>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</si>
  <si>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</si>
  <si>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</si>
  <si>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</si>
  <si>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</si>
  <si>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</si>
  <si>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</si>
  <si>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</si>
  <si>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</si>
  <si>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</si>
  <si>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</si>
  <si>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</si>
  <si>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</si>
  <si>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</si>
  <si>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</si>
  <si>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</si>
  <si>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</si>
  <si>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</si>
  <si>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75</t>
  </si>
  <si>
    <t>76</t>
  </si>
  <si>
    <t>D/I/4g - ebből: költségvetési évben esedékes követelések egyéb pénzügyi műveletek bevételeire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</si>
  <si>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</si>
  <si>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</si>
  <si>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</si>
  <si>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</si>
  <si>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</si>
  <si>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</si>
  <si>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80</t>
  </si>
  <si>
    <t>D/I/5a - ebből: költségvetési évben esedékes követelések immateriális javak értékesítésére</t>
  </si>
  <si>
    <t>81</t>
  </si>
  <si>
    <t>D/I/5b - ebből: költségvetési évben esedékes követelések ingatlanok értékesítésére</t>
  </si>
  <si>
    <t>82</t>
  </si>
  <si>
    <t>D/I/5c - ebből: költségvetési évben esedékes követelések egyéb tárgyi eszközök értékesítésére</t>
  </si>
  <si>
    <t>83</t>
  </si>
  <si>
    <t>D/I/5d - ebből: költségvetési évben esedékes követelések részesedések értékesítésére</t>
  </si>
  <si>
    <t>84</t>
  </si>
  <si>
    <t>D/I/5e - ebből: költségvetési évben esedékes követelések részesedések megszűnéséhez kapcsolódó bevételekre</t>
  </si>
  <si>
    <t>85</t>
  </si>
  <si>
    <t>D/I/6 Költségvetési évben esedékes követelések működési célú átvett pénzeszközre (&gt;=D/I/6a+D/I/6b+D/I/6c)</t>
  </si>
  <si>
    <t>86</t>
  </si>
  <si>
    <t>D/I/6a - ebből: költségvetési évben esedékes követelések működési célú visszatérítendő támogatások, kölcsönök visszatérülése az Európai Uniótól</t>
  </si>
  <si>
    <t>87</t>
  </si>
  <si>
    <t>D/I/6b - ebből: költségvetési évben esedékes követelések működési célú visszatérítendő támogatások, kölcsönök visszatérülése kormányoktól és más nemzetközi szervezetektől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</si>
  <si>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</si>
  <si>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</si>
  <si>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</si>
  <si>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</si>
  <si>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90</t>
  </si>
  <si>
    <t>D/I/7a - ebből: költségvetési évben esedékes követelések felhalmozási célú visszatérítendő támogatások, kölcsönök visszatérülése az Európai Uniótól</t>
  </si>
  <si>
    <t>91</t>
  </si>
  <si>
    <t>D/I/7b - ebből: költségvetési évben esedékes követelések felhalmozási célú visszatérítendő támogatások, kölcsönök visszatérülése kormányoktól és más nemzetközi szervezetektől</t>
  </si>
  <si>
    <t>92</t>
  </si>
  <si>
    <t>D/I/7c - ebből: költségvetési évben esedékes követelések felhalmozási célú visszatérítendő támogatások, kölcsönök visszatérülésére államháztartáson kívülről</t>
  </si>
  <si>
    <t>93</t>
  </si>
  <si>
    <t>D/I/8 Költségvetési évben esedékes követelések finanszírozási bevételekre (&gt;=D/I/8a+…+D/I/8g)</t>
  </si>
  <si>
    <t>94</t>
  </si>
  <si>
    <t>D/I/8a - ebből: költségvetési évben esedékes követelések forgatási célú belföldi értékpapírok beváltásából, értékesítéséből</t>
  </si>
  <si>
    <t>95</t>
  </si>
  <si>
    <t>D/I/8b - ebből: költségvetési évben esedékes követelések befektetési célú belföldi értékpapírok beváltásából, értékesítéséből</t>
  </si>
  <si>
    <t>96</t>
  </si>
  <si>
    <t>D/I/8c - ebből: költségvetési évben esedékes követelések államháztartáson belüli megelőlegezések törlesztésére</t>
  </si>
  <si>
    <t>97</t>
  </si>
  <si>
    <t>D/I/8d - ebből: költségvetési évben esedékes követelések hosszú lejáratú tulajdonosi kölcsönök bevételeire</t>
  </si>
  <si>
    <t>98</t>
  </si>
  <si>
    <t>D/I/8e - ebből: költségvetési évben esedékes követelések rövid lejáratú tulajdonosi kölcsönök bevételeire</t>
  </si>
  <si>
    <t>99</t>
  </si>
  <si>
    <t>D/I/8f - ebből: költségvetési évben esedékes követelések forgatási célú külföldi értékpapírok beváltásából, értékesítéséből</t>
  </si>
  <si>
    <t>100</t>
  </si>
  <si>
    <t>D/I/8g - ebből: költségvetési évben esedékes követelések befektetési célú külföldi értékpapírok beváltásából, értékesítéséből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</si>
  <si>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</si>
  <si>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</si>
  <si>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</si>
  <si>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</si>
  <si>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103</t>
  </si>
  <si>
    <t>D/II/1a - ebből: költségvetési évet követően esedékes követelések működési célú visszatérítendő támogatások, kölcsönök visszatérülésére államháztartáson belülről</t>
  </si>
  <si>
    <t>104</t>
  </si>
  <si>
    <t>D/II/2 Költségvetési évet követően esedékes követelések felhalmozási célú támogatások bevételeire államháztartáson belülről (&gt;=D/II/2a)</t>
  </si>
  <si>
    <t>105</t>
  </si>
  <si>
    <t>D/II/2a - ebből: költségvetési évet követően esedékes követelések felhalmozási célú visszatérítendő támogatások, kölcsönök visszatérülésére államháztartáson belülről</t>
  </si>
  <si>
    <t>106</t>
  </si>
  <si>
    <t>D/II/3 Költségvetési évet követően esedékes követelések közhatalmi bevételre (=D/II/3a+…+D/II/3f)</t>
  </si>
  <si>
    <t>107</t>
  </si>
  <si>
    <t>D/II/3a - ebből: költségvetési évet követően esedékes követelések jövedelemadókra</t>
  </si>
  <si>
    <t>108</t>
  </si>
  <si>
    <t>D/II/3b - ebből: költségvetési évet követően esedékes követelések szociális hozzájárulási adóra és járulékokra</t>
  </si>
  <si>
    <t>109</t>
  </si>
  <si>
    <t>D/II/3c - ebből: költségvetési évet követően esedékes követelések bérhez és foglalkoztatáshoz kapcsolódó adókra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</si>
  <si>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</si>
  <si>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</si>
  <si>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</si>
  <si>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</si>
  <si>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</si>
  <si>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</si>
  <si>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</si>
  <si>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</si>
  <si>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</si>
  <si>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</si>
  <si>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</si>
  <si>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</si>
  <si>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</si>
  <si>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</si>
  <si>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117</t>
  </si>
  <si>
    <t>D/II/4d - ebből: költségvetési évet követően esedékes követelések kiszámlázott általános forgalmi adóra</t>
  </si>
  <si>
    <t>118</t>
  </si>
  <si>
    <t>D/II/4e - ebből: költségvetési évet követően esedékes követelések általános forgalmi adó visszatérítésére</t>
  </si>
  <si>
    <t>119</t>
  </si>
  <si>
    <t>120</t>
  </si>
  <si>
    <t>D/II/4g - ebből: költségvetési évet követően esedékes követelések egyéb pénzügyi műveletek bevételeire</t>
  </si>
  <si>
    <t>121</t>
  </si>
  <si>
    <t>D/II/4h - ebből: költségvetési évet követően esedékes követelések biztosító által fizetett kártérítésre</t>
  </si>
  <si>
    <t>122</t>
  </si>
  <si>
    <t>D/II/4i - ebből: költségvetési évet követően esedékes követelések egyéb működési bevételekre</t>
  </si>
  <si>
    <t>123</t>
  </si>
  <si>
    <t>D/II/5 Költségvetési évet követően esedékes követelések felhalmozási bevételre (=D/II/5a+…+D/II/5e)</t>
  </si>
  <si>
    <t>124</t>
  </si>
  <si>
    <t>D/II/5a - ebből: költségvetési évet követően esedékes követelések immateriális javak értékesítésére</t>
  </si>
  <si>
    <t>125</t>
  </si>
  <si>
    <t>D/II/5b - ebből: költségvetési évet követően esedékes követelések ingatlanok értékesítésére</t>
  </si>
  <si>
    <t>126</t>
  </si>
  <si>
    <t>D/II/5c - ebből: költségvetési évet követően esedékes követelések egyéb tárgyi eszközök értékesítésére</t>
  </si>
  <si>
    <t>127</t>
  </si>
  <si>
    <t>D/II/5d - ebből: költségvetési évet követően esedékes követelések részesedések értékesítésére</t>
  </si>
  <si>
    <t>128</t>
  </si>
  <si>
    <t>D/II/5e - ebből: költségvetési évet követően esedékes követelések részesedések megszűnéséhez kapcsolódó bevételekre</t>
  </si>
  <si>
    <t>129</t>
  </si>
  <si>
    <t>D/II/6 Költségvetési évet követően esedékes követelések működési célú átvett pénzeszközre (&gt;=D/II/6a+D/II/6b+D/II/6c)</t>
  </si>
  <si>
    <t>130</t>
  </si>
  <si>
    <t>D/II/6a - ebből: költségvetési évet követően esedékes követelések működési célú visszatérítendő támogatások, kölcsönök visszatérülése az Európai Uniótól</t>
  </si>
  <si>
    <t>131</t>
  </si>
  <si>
    <t>D/II/6b - ebből: költségvetési évet követően esedékes követelések működési célú visszatérítendő támogatások, kölcsönök visszatérülése kormányoktól és más nemzetközi szervezetektől</t>
  </si>
  <si>
    <t>132</t>
  </si>
  <si>
    <t>D/II/6c - ebből: költségvetési évet követően esedékes követelések működési célú visszatérítendő támogatások, kölcsönök visszatérülésére államháztartáson kívülről</t>
  </si>
  <si>
    <t>133</t>
  </si>
  <si>
    <t>D/II/7 Költségvetési évet követően esedékes követelések felhalmozási célú átvett pénzeszközre (&gt;=D/II/7a+D/II/7b+D/II/7c)</t>
  </si>
  <si>
    <t>134</t>
  </si>
  <si>
    <t>D/II/7a - ebből: költségvetési évet követően esedékes követelések felhalmozási célú visszatérítendő támogatások, kölcsönök visszatérülése az Európai Uniótól</t>
  </si>
  <si>
    <t>135</t>
  </si>
  <si>
    <t>D/II/7b - ebből: költségvetési évet követően esedékes követelések felhalmozási célú visszatérítendő támogatások, kölcsönök visszatérülése kormányoktól és más nemzetközi szervezetektől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</si>
  <si>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</si>
  <si>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</si>
  <si>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137</t>
  </si>
  <si>
    <t>138</t>
  </si>
  <si>
    <t>D/II8a - ebből: költségvetési évet követően esedékes követelések befektetési célú belföldi értékpapírok beváltásából, értékesítéséből</t>
  </si>
  <si>
    <t>139</t>
  </si>
  <si>
    <t>140</t>
  </si>
  <si>
    <t>141</t>
  </si>
  <si>
    <t>D/II Költségvetési évet követően esedékes követelések (=D/II/1+…+D/II/8)</t>
  </si>
  <si>
    <t>142</t>
  </si>
  <si>
    <t>D/III/1 Adott előlegek (=D/III/1a+…+D/III/1f)</t>
  </si>
  <si>
    <t>143</t>
  </si>
  <si>
    <t>D/III/1a - ebből: immateriális javakra adott előlegek</t>
  </si>
  <si>
    <t>144</t>
  </si>
  <si>
    <t>145</t>
  </si>
  <si>
    <t>D/III/1c - ebből: készletekre adott előlegek</t>
  </si>
  <si>
    <t>146</t>
  </si>
  <si>
    <t>D/III/1d - ebből: igénybe vett szolgáltatásra adott előlegek</t>
  </si>
  <si>
    <t>147</t>
  </si>
  <si>
    <t>D/III/1e - ebből: foglalkoztatottaknak adott előlegek</t>
  </si>
  <si>
    <t>148</t>
  </si>
  <si>
    <t>D/III/1f - ebből: túlfizetések, téves és visszajáró kifizetések</t>
  </si>
  <si>
    <t>149</t>
  </si>
  <si>
    <t>D/III/2 Továbbadási célból folyósított támogatások, ellátások elszámolása</t>
  </si>
  <si>
    <t>150</t>
  </si>
  <si>
    <t>D/III/3 Más által beszedett bevételek elszámolása</t>
  </si>
  <si>
    <t>151</t>
  </si>
  <si>
    <t>D/III/4 Forgótőke elszámolása</t>
  </si>
  <si>
    <t>152</t>
  </si>
  <si>
    <t>D/III/5 Vagyonkezelésbe adott eszközökkel kapcsolatos visszapótlási követelés elszámolása</t>
  </si>
  <si>
    <t>153</t>
  </si>
  <si>
    <t>D/III/6 Nem társadalombiztosítás pénzügyi alapjait terhelő kifizetett ellátások megtérítésének elszámolása</t>
  </si>
  <si>
    <t>154</t>
  </si>
  <si>
    <t>D/III/7 Folyósított, megelőlegezett társadalombiztosítási és családtámogatási ellátások elszámolása</t>
  </si>
  <si>
    <t>155</t>
  </si>
  <si>
    <t>156</t>
  </si>
  <si>
    <t>D/III/9 Letétre, megőrzésre, fedezetkezelésre átadott pénzeszközök, biztosítékok</t>
  </si>
  <si>
    <t>157</t>
  </si>
  <si>
    <t>D/III Követelés jellegű sajátos elszámolások (=D/III/1+…+D/III/9)</t>
  </si>
  <si>
    <t>158</t>
  </si>
  <si>
    <t>D) KÖVETELÉSEK  (=D/I+D/II+D/III)</t>
  </si>
  <si>
    <t>159</t>
  </si>
  <si>
    <t>160</t>
  </si>
  <si>
    <t>161</t>
  </si>
  <si>
    <t>162</t>
  </si>
  <si>
    <t>F/1  Eredményszemléletű bevételek aktív időbeli elhatárolása</t>
  </si>
  <si>
    <t>163</t>
  </si>
  <si>
    <t>F/2 Költségek, ráfordítások aktív időbeli elhatárolása</t>
  </si>
  <si>
    <t>164</t>
  </si>
  <si>
    <t>F/3 Halasztott ráfordítások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</si>
  <si>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</si>
  <si>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</si>
  <si>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</si>
  <si>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</si>
  <si>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</si>
  <si>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</si>
  <si>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</si>
  <si>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</si>
  <si>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</si>
  <si>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</si>
  <si>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</si>
  <si>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</si>
  <si>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171</t>
  </si>
  <si>
    <t>G/V Eszközök értékhelyesbítésének forrása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</si>
  <si>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</si>
  <si>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</si>
  <si>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</si>
  <si>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</si>
  <si>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</si>
  <si>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</si>
  <si>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175</t>
  </si>
  <si>
    <t>H/I/2 Költségvetési évben esedékes kötelezettségek munkaadókat terhelő járulékokra és szociális hozzájárulási adóra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</si>
  <si>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</si>
  <si>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</si>
  <si>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</si>
  <si>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</si>
  <si>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</si>
  <si>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</si>
  <si>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179</t>
  </si>
  <si>
    <t>H/I/5a - ebből: költségvetési évben esedékes kötelezettségek működési célú visszatérítendő támogatások, kölcsönök törlesztésére államháztartáson belülre</t>
  </si>
  <si>
    <t>180</t>
  </si>
  <si>
    <t>H/I/5b - ebből: költségvetési évben esedékes kötelezettségek működési célú támogatásokra az Európai Uniónak</t>
  </si>
  <si>
    <t>181</t>
  </si>
  <si>
    <t>H/I/6 Költségvetési évben esedékes kötelezettségek beruházásokra</t>
  </si>
  <si>
    <t>182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</si>
  <si>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</si>
  <si>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</si>
  <si>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</si>
  <si>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</si>
  <si>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</si>
  <si>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</si>
  <si>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</si>
  <si>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</si>
  <si>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</si>
  <si>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</si>
  <si>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</si>
  <si>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</si>
  <si>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</si>
  <si>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</si>
  <si>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</si>
  <si>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</si>
  <si>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</si>
  <si>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</si>
  <si>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</si>
  <si>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</si>
  <si>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</si>
  <si>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</si>
  <si>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</si>
  <si>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</si>
  <si>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</si>
  <si>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</si>
  <si>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</si>
  <si>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</si>
  <si>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</si>
  <si>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</si>
  <si>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</si>
  <si>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</si>
  <si>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</si>
  <si>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</si>
  <si>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</si>
  <si>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</si>
  <si>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</si>
  <si>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</si>
  <si>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</si>
  <si>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</si>
  <si>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</si>
  <si>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</si>
  <si>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</si>
  <si>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</si>
  <si>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</si>
  <si>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</si>
  <si>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</si>
  <si>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</si>
  <si>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</si>
  <si>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</si>
  <si>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</si>
  <si>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</si>
  <si>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</si>
  <si>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</si>
  <si>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............................</t>
  </si>
  <si>
    <t>Hosszú lejáratú</t>
  </si>
  <si>
    <t>Első lakáshoz jutók kölcsöne</t>
  </si>
  <si>
    <t>Munkáltató által nyújtott lakásvásárlási, lakásépítési kölcsön</t>
  </si>
  <si>
    <t>Társasházak, Lakásszövetkezetek és Egyedi Lakástulajdonosok Érdekvédelmi Egyesülete részére nyújtott kölcsön</t>
  </si>
  <si>
    <t>1.1.</t>
  </si>
  <si>
    <t>Helyi önkormányzatok működésének általános támogatása</t>
  </si>
  <si>
    <t>1.2.</t>
  </si>
  <si>
    <t>1.3.</t>
  </si>
  <si>
    <t>1.4.</t>
  </si>
  <si>
    <t>Önkormányzatok kulturális feladatainak támogatása</t>
  </si>
  <si>
    <t>1.5.</t>
  </si>
  <si>
    <t>Működési célú költségvetési támogatások és kiegészítő támogatások</t>
  </si>
  <si>
    <t>1.6.</t>
  </si>
  <si>
    <t>Elszámolásból származó bevételek</t>
  </si>
  <si>
    <t>2.1.</t>
  </si>
  <si>
    <t>Elvonások és befizetések bevételei</t>
  </si>
  <si>
    <t>2.2.</t>
  </si>
  <si>
    <t xml:space="preserve">Működési célú visszatérítendő támogatások, kölcsönök visszatérülése </t>
  </si>
  <si>
    <t>2.3.</t>
  </si>
  <si>
    <t>Működési célú visszatérítendő támogatások, kölcsönök igénybevétele</t>
  </si>
  <si>
    <t xml:space="preserve">Egyéb működési célú támogatások bevételei </t>
  </si>
  <si>
    <t>2.4.-ből EU-s támogatás</t>
  </si>
  <si>
    <t>3.1.</t>
  </si>
  <si>
    <t>Felhalmozási célú önkormányzati támogatások</t>
  </si>
  <si>
    <t>3.2.</t>
  </si>
  <si>
    <t>Felhalmozási célú visszatérítendő támogatások, kölcsönök visszatérülése</t>
  </si>
  <si>
    <t>3.3.</t>
  </si>
  <si>
    <t>Felhalmozási célú visszatérítendő támogatások, kölcsönök igénybevétele</t>
  </si>
  <si>
    <t>3.4.</t>
  </si>
  <si>
    <t>Egyéb felhalmozási célú támogatások bevételei</t>
  </si>
  <si>
    <t>4.1.</t>
  </si>
  <si>
    <t>Vagyoni típusú adók</t>
  </si>
  <si>
    <t>Építményadó</t>
  </si>
  <si>
    <t>4.2.</t>
  </si>
  <si>
    <t>Értékesítési és forgalmi adók</t>
  </si>
  <si>
    <t>Helyi iparűzési adó</t>
  </si>
  <si>
    <t>4.3.</t>
  </si>
  <si>
    <t>Gépjárműadó</t>
  </si>
  <si>
    <t>4.4.</t>
  </si>
  <si>
    <t>Egyéb áruhasználati és szolgáltatási adók</t>
  </si>
  <si>
    <t>Idegenforgalmi adó</t>
  </si>
  <si>
    <t>4.5.</t>
  </si>
  <si>
    <t>Egyéb közhatalmi bevételek</t>
  </si>
  <si>
    <t>5.1.</t>
  </si>
  <si>
    <t>Készletértékesítés ellenértéke</t>
  </si>
  <si>
    <t>5.2.</t>
  </si>
  <si>
    <t>Szolgáltatások ellenértéke</t>
  </si>
  <si>
    <t>5.3.</t>
  </si>
  <si>
    <t>Közvetített szolgáltatások ellenértéke</t>
  </si>
  <si>
    <t>5.4.</t>
  </si>
  <si>
    <t>Tulajdonosi bevételek</t>
  </si>
  <si>
    <t>5.5.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</si>
  <si>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</si>
  <si>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</si>
  <si>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</si>
  <si>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</si>
  <si>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Biztosító által fizetett kártérítés</t>
  </si>
  <si>
    <t>Egyéb működési bevételek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</si>
  <si>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</si>
  <si>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</si>
  <si>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</si>
  <si>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</si>
  <si>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</si>
  <si>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</si>
  <si>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</si>
  <si>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</si>
  <si>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</si>
  <si>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</si>
  <si>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7.1.</t>
  </si>
  <si>
    <t>7.2.</t>
  </si>
  <si>
    <t>Működési célú visszatérítendő támogatások, kölcsönök visszatér. ÁH-n kívülről</t>
  </si>
  <si>
    <t>Egyéb működési célú átvett pénzeszköz</t>
  </si>
  <si>
    <t>Felhalm. célú visszatérítendő támogatások, kölcsönök visszatér. ÁH-n kívülről</t>
  </si>
  <si>
    <t>Egyéb felhalmozási célú átvett pénzeszköz</t>
  </si>
  <si>
    <t>10.1.</t>
  </si>
  <si>
    <t>Hosszú lejáratú  hitelek, kölcsönök felvétele</t>
  </si>
  <si>
    <t>10.2.</t>
  </si>
  <si>
    <t>10.3.</t>
  </si>
  <si>
    <t>11.1.</t>
  </si>
  <si>
    <t>Forgatási célú belföldi értékpapírok beváltása,  értékesítése</t>
  </si>
  <si>
    <t>11.2.</t>
  </si>
  <si>
    <t>12.1.</t>
  </si>
  <si>
    <t>12.2.</t>
  </si>
  <si>
    <t>Személyi  juttatások</t>
  </si>
  <si>
    <t>Személyi juttatásokból jutalom, céljuttatás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</si>
  <si>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</si>
  <si>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</si>
  <si>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</si>
  <si>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</si>
  <si>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  - Visszatérítendő támogatások, kölcsönök nyújtása ÁH-n belülre</t>
  </si>
  <si>
    <t xml:space="preserve">   - Visszatérítendő támogatások, kölcsönök nyújtása ÁH-n kívülre</t>
  </si>
  <si>
    <t>Beruházások</t>
  </si>
  <si>
    <t>2.1.-ből EU-s forrásból megvalósuló beruházás</t>
  </si>
  <si>
    <t>Felújítások</t>
  </si>
  <si>
    <t>Egyéb felhalmozási célú kiadások</t>
  </si>
  <si>
    <t xml:space="preserve">   - Egyéb felhalmozási célú támogatások ÁH-n belülre</t>
  </si>
  <si>
    <t xml:space="preserve">   - Egyéb felhalmozási célú támogatások államháztartáson kívülre</t>
  </si>
  <si>
    <t xml:space="preserve">  Likviditási célú hitelek, kölcsönök törlesztése pénzügyi vállalkozásnak</t>
  </si>
  <si>
    <t xml:space="preserve">  Rövid lejáratú hitelek, kölcsönök törlesztése</t>
  </si>
  <si>
    <t xml:space="preserve"> Irányító szervi támogatások folyósítása (működési)</t>
  </si>
  <si>
    <t xml:space="preserve"> Irányító szervi támogatások folyósítása (felhalmozási)</t>
  </si>
  <si>
    <t xml:space="preserve"> Pénzügyi lízing kiadásai</t>
  </si>
  <si>
    <t>Államháztartáson belüli megelőlegezések törlesztése</t>
  </si>
  <si>
    <t>Bevételi jogcímek</t>
  </si>
  <si>
    <t>3.4.1.</t>
  </si>
  <si>
    <t>Kamatbevételek és más nyereségjellegű bevételek</t>
  </si>
  <si>
    <t>7.2.1.</t>
  </si>
  <si>
    <t>Likviditási célú  hitelek, kölcsönök felvétele</t>
  </si>
  <si>
    <t>Államháztartáson belüli megelőlegezések folyósítása</t>
  </si>
  <si>
    <t>Államháztartáson belüli megelőlegezések visszafizetése</t>
  </si>
  <si>
    <t>Kiadási jogcímek</t>
  </si>
  <si>
    <t>1.1.1.</t>
  </si>
  <si>
    <t>1.5.1.</t>
  </si>
  <si>
    <t>1.5.2.</t>
  </si>
  <si>
    <t>1.5.3.</t>
  </si>
  <si>
    <t>1.5.4.</t>
  </si>
  <si>
    <t>1.5.5.</t>
  </si>
  <si>
    <t>2.1.1.</t>
  </si>
  <si>
    <t>2.2.1.</t>
  </si>
  <si>
    <t>2.2.-ból EU-s forrásból megvalósuló felújítás</t>
  </si>
  <si>
    <t>2.3.1.</t>
  </si>
  <si>
    <t>2.3.2.</t>
  </si>
  <si>
    <t>2.3.3.</t>
  </si>
  <si>
    <t>2.3.4.</t>
  </si>
  <si>
    <t xml:space="preserve">Módosított előirányzat </t>
  </si>
  <si>
    <t xml:space="preserve">Teljesítés 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</si>
  <si>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</si>
  <si>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</si>
  <si>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</si>
  <si>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</si>
  <si>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E/II/1 Kapott előleghez kapcsolódó fizetendő általános forgalmi adó</t>
  </si>
  <si>
    <t>E/II/2 Más fizetendő általános forgalmi adó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</si>
  <si>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</si>
  <si>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</si>
  <si>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 Fizetendő általános forgalmi adó elszámolása (=EII/1+E/II/2)</t>
  </si>
  <si>
    <t>E/I Előzetesen felszámított általános forgalmi adó elszámolása (=E/I/1+…+E/I/4)</t>
  </si>
  <si>
    <t>E/III EGYÉB SAJÁTOS ESZKÖZOLDALI  ELSZÁMOLÁSOK (=E/III/1+E/III/2)</t>
  </si>
  <si>
    <t>E) EGYÉB SAJÁTOS ELSZÁMOLÁSOK (=E/I+EII+E/III)</t>
  </si>
  <si>
    <t>H/III/1 Kapott előlegek</t>
  </si>
  <si>
    <t>D/II/8b - ebből: költségvetési évet követően esedékes követelések államháztartáson belüli megelőlegezések törlesztésére</t>
  </si>
  <si>
    <t>D/II/8c - ebből: költségvetési évet követően esedékes követelések hosszú lejáratú tulajdonosi kölcsönök bevételeire</t>
  </si>
  <si>
    <t>D/II/8d - ebből: költségvetési évet követően esedékes követelések befektetési célú külföldi értékpapírok beváltásából, értékesítéséből</t>
  </si>
  <si>
    <t>H/II/9e - ebből: 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</si>
  <si>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</si>
  <si>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</si>
  <si>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</si>
  <si>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</si>
  <si>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</si>
  <si>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</si>
  <si>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</si>
  <si>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</si>
  <si>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D/III/8 Részesedés esetén átadott eszközök</t>
  </si>
  <si>
    <t>H/II/9 Költségvetési évet követően esedékes kötelezettségek finanszírozási kiadásokra (&gt;=H/II/9a+…+H/II/9j)</t>
  </si>
  <si>
    <t>H/III/5 Nemzeti vagyonba tartozó befektetett eszközökkel kapcsolatos egyes kötelezettség jellegű sajátos elszámolások</t>
  </si>
  <si>
    <t>TiszaSzolg 2004 Kft.</t>
  </si>
  <si>
    <t>D/III/1b - ebből: beruházásokra, felújításokra adott előlegek</t>
  </si>
  <si>
    <t>Forintban</t>
  </si>
  <si>
    <t>állományi érték Ft</t>
  </si>
  <si>
    <t>Tiszaújvárosi Polgármesteri Hivatal</t>
  </si>
  <si>
    <t>Bevételi jogcím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</si>
  <si>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</si>
  <si>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</si>
  <si>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</si>
  <si>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</si>
  <si>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</si>
  <si>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</si>
  <si>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</si>
  <si>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>Egyéb kedvezmény</t>
  </si>
  <si>
    <t>Egyéb kölcsön elengedése</t>
  </si>
  <si>
    <t>Összesen:</t>
  </si>
  <si>
    <t>Eladott lakás vételárkedvezmény</t>
  </si>
  <si>
    <t xml:space="preserve"> Forintban</t>
  </si>
  <si>
    <t>Eszközök hasznosítása utáni kedvezmény, mentesség</t>
  </si>
  <si>
    <t>Tiszaújvárosi Művelődési Központ és Könyvtár</t>
  </si>
  <si>
    <t>Telekadó *</t>
  </si>
  <si>
    <t>Magánszemélyek kommunális adója *</t>
  </si>
  <si>
    <t>Idegenforgalmi adó épület után *</t>
  </si>
  <si>
    <t>* az adónem a településen nincs bevezetve</t>
  </si>
  <si>
    <t>Rövid lejáratú  hitelek, kölcsönök felvétele</t>
  </si>
  <si>
    <t>MINDÖSSZESEN:</t>
  </si>
  <si>
    <t>Pénzkészlet 2016. január 1-jén
ebből:</t>
  </si>
  <si>
    <t>Záró pénzkészlet 2016. december 31-én
ebből:</t>
  </si>
  <si>
    <t>Éven túli lejáratú belföldi értékpapírok kibocsátása</t>
  </si>
  <si>
    <t>Befektetési célú belföldi értékpapírok beváltása, értékesítése</t>
  </si>
  <si>
    <t>Összes vállalt kötelezettség</t>
  </si>
  <si>
    <t>önk</t>
  </si>
  <si>
    <t>TIK</t>
  </si>
  <si>
    <t>Humán</t>
  </si>
  <si>
    <t>Óvoda</t>
  </si>
  <si>
    <t>TMKK</t>
  </si>
  <si>
    <t>Rendelő</t>
  </si>
  <si>
    <t>10=(6+7+8+9)</t>
  </si>
  <si>
    <t>phiv</t>
  </si>
  <si>
    <t>Önk.</t>
  </si>
  <si>
    <t>Hivatal</t>
  </si>
  <si>
    <t>Intézményfin</t>
  </si>
  <si>
    <t>2024.</t>
  </si>
  <si>
    <t>Települési önkormányzatok egyes szociális, gyermekjóléti feladatainak támogatása</t>
  </si>
  <si>
    <t>Települési önkormányzatok gyermekétkeztetési feladatainak támogatása</t>
  </si>
  <si>
    <t>Önkormányzati bérlakás hasznosítása utáni kedvezmény</t>
  </si>
  <si>
    <t>Korábbi évek megszűnt adónemei</t>
  </si>
  <si>
    <t>A/III/1f - ebből: tartós befektetési jegyek</t>
  </si>
  <si>
    <t>B/II/1 Nem tartós részesedések  (=B/II/1a+B/II/1b)</t>
  </si>
  <si>
    <t>B/II/1a - ebből: részesedések</t>
  </si>
  <si>
    <t>B/II/1b - ebből: nem tartós befektetési jegyek</t>
  </si>
  <si>
    <t>A/III/1 Tartós részesedések (=A/III/1a+…+A/III/1ef)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</si>
  <si>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</si>
  <si>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</si>
  <si>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</si>
  <si>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</si>
  <si>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</si>
  <si>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</si>
  <si>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</si>
  <si>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</si>
  <si>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</si>
  <si>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</si>
  <si>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</si>
  <si>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</si>
  <si>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</si>
  <si>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</si>
  <si>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</si>
  <si>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</si>
  <si>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</si>
  <si>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</si>
  <si>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</si>
  <si>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</si>
  <si>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</si>
  <si>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</si>
  <si>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</si>
  <si>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</si>
  <si>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</si>
  <si>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</si>
  <si>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</si>
  <si>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</si>
  <si>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</si>
  <si>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</si>
  <si>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</si>
  <si>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</si>
  <si>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</si>
  <si>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</si>
  <si>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</si>
  <si>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</si>
  <si>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</si>
  <si>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</si>
  <si>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</si>
  <si>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</si>
  <si>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</si>
  <si>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</si>
  <si>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</si>
  <si>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</si>
  <si>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</si>
  <si>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</si>
  <si>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</si>
  <si>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</si>
  <si>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</si>
  <si>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</si>
  <si>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</si>
  <si>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</si>
  <si>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</si>
  <si>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</si>
  <si>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</si>
  <si>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</si>
  <si>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</si>
  <si>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</si>
  <si>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</si>
  <si>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</si>
  <si>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</si>
  <si>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</si>
  <si>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</si>
  <si>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252</t>
  </si>
  <si>
    <t>2022. évi teljesítés</t>
  </si>
  <si>
    <t>2025.</t>
  </si>
  <si>
    <t>Önkormányzat működési támogatásai (1.1.+…+1.7.)</t>
  </si>
  <si>
    <t>- Szolidaritási hozzájárulás</t>
  </si>
  <si>
    <t>- Visszatérítendő támogatások, kölcsönök nyújtása ÁH-n belülre</t>
  </si>
  <si>
    <t>- Egyéb működési célú támogatások ÁH-n belülre</t>
  </si>
  <si>
    <t>- Visszatérítendő támogatások, kölcsönök nyújtása ÁH-n kívülre</t>
  </si>
  <si>
    <t>- Egyéb működési célú támogatások államháztartáson kívülre</t>
  </si>
  <si>
    <t>- Tartalékok (1.5.7.1.+1.5.7.2.)</t>
  </si>
  <si>
    <t xml:space="preserve">                             Általános tartalék</t>
  </si>
  <si>
    <t xml:space="preserve">                             Céltartalék</t>
  </si>
  <si>
    <t xml:space="preserve">                           -Működési céltartalék</t>
  </si>
  <si>
    <t xml:space="preserve">                          - Pályázati céltartalék</t>
  </si>
  <si>
    <t xml:space="preserve">  </t>
  </si>
  <si>
    <t>Gépjárműadóból biztosított kedvezmény, mentesség **</t>
  </si>
  <si>
    <t>** az adónem 2021.01.01-től az állami adóhatóság hatáskörébe került át</t>
  </si>
  <si>
    <t>Lekötött betétek megszüntetése</t>
  </si>
  <si>
    <t>Lakás, lakóház vásárlásának támogatása</t>
  </si>
  <si>
    <t>Lakótelek megvásárlásának, lakóépülettel történő beépítésének támogatása</t>
  </si>
  <si>
    <t>6. tájékoztató tábla</t>
  </si>
  <si>
    <t>Felhalmozási célú támogatások államháztartáson belülről (2.1.+…+2.4.)</t>
  </si>
  <si>
    <t>2.4.</t>
  </si>
  <si>
    <t>2.4.1.</t>
  </si>
  <si>
    <t xml:space="preserve">3. </t>
  </si>
  <si>
    <t>Működési célú támogatások államháztartáson belülről (1.8.+…+1.12.)</t>
  </si>
  <si>
    <t>Települési önkormányzatok egyes köznevelési feladatainak támogatása</t>
  </si>
  <si>
    <t>1.7.</t>
  </si>
  <si>
    <t>1.8.</t>
  </si>
  <si>
    <t>1.9.</t>
  </si>
  <si>
    <t>1.10.</t>
  </si>
  <si>
    <t>1.11.</t>
  </si>
  <si>
    <t>1.12.</t>
  </si>
  <si>
    <t>1.13.</t>
  </si>
  <si>
    <t>1.12.-ből EU-s támogatás</t>
  </si>
  <si>
    <t>Közhatalmi bevételek (3.1.+3.2.+3.3.+3.4.+3.5.)</t>
  </si>
  <si>
    <t>3.1.1.</t>
  </si>
  <si>
    <t>3.2.1.</t>
  </si>
  <si>
    <t>3.4.2.</t>
  </si>
  <si>
    <t>3.5.</t>
  </si>
  <si>
    <t>Működési bevételek (4.1.+…+4.11.)</t>
  </si>
  <si>
    <t>4.6.</t>
  </si>
  <si>
    <t>4.7.</t>
  </si>
  <si>
    <t>4.8.</t>
  </si>
  <si>
    <t>4.9.</t>
  </si>
  <si>
    <t>4.10.</t>
  </si>
  <si>
    <t>4.11.</t>
  </si>
  <si>
    <t>Felhalmozási bevételek (5.1.+…+5.5.)</t>
  </si>
  <si>
    <t>Működési célú átvett pénzeszközök (6.1. + 6.2.)</t>
  </si>
  <si>
    <t>6.2.1.</t>
  </si>
  <si>
    <t>6.2.-ből EU-s támogatás (közvetlen)</t>
  </si>
  <si>
    <t>Felhalmozási célú átvett pénzeszközök (7.1. + 7.2.)</t>
  </si>
  <si>
    <t>7.2.-ből EU-s támogatás (közvetlen)</t>
  </si>
  <si>
    <t>KÖLTSÉGVETÉSI BEVÉTELEK ÖSSZESEN: (1+2.+3.+4.+5.+6.+7.)</t>
  </si>
  <si>
    <t>Hitel-, kölcsönfelvétel államháztartáson kívülről  (9.1.+ … +9.3.)</t>
  </si>
  <si>
    <t>9.1.</t>
  </si>
  <si>
    <t>9.2.</t>
  </si>
  <si>
    <t>9.3.</t>
  </si>
  <si>
    <t>Belföldi értékpapírok bevételei (10.1.+…+10.3.)</t>
  </si>
  <si>
    <t>Maradvány igénybevétele (11.1. + 11.2.)</t>
  </si>
  <si>
    <t xml:space="preserve">Előző év működési költségvetési maradvány igénybevétele </t>
  </si>
  <si>
    <t>Előző év felhalmozási költségvetési maradvány igénybevétele</t>
  </si>
  <si>
    <t>Belföldi finanszírozás bevételei (12.1.+…+12.3.)</t>
  </si>
  <si>
    <t>12.3.</t>
  </si>
  <si>
    <t>FINANSZÍROZÁSI BEVÉTELEK ÖSSZESEN: (9.+10.+11.+12.)</t>
  </si>
  <si>
    <t>BEVÉTELEK ÖSSZESEN: (8.+13.)</t>
  </si>
  <si>
    <t>Működési költségvetés kiadásai (1.1.+1.2.+1.3.+1.4.+1.5.)</t>
  </si>
  <si>
    <t xml:space="preserve"> - az 1.5.-ből:    - Elvonások és befizetések</t>
  </si>
  <si>
    <t>1.5.6.</t>
  </si>
  <si>
    <t>1.5.7.</t>
  </si>
  <si>
    <t>1.5.7.1.</t>
  </si>
  <si>
    <t>1.5.7.2.</t>
  </si>
  <si>
    <t>1.5.7.2.1.</t>
  </si>
  <si>
    <t>1.5.7.2.2.</t>
  </si>
  <si>
    <t xml:space="preserve">   Felhalmozási költségvetés kiadásai (2.1.+2.2.+2.3.)</t>
  </si>
  <si>
    <t>KÖLTSÉGVETÉSI KIADÁSOK ÖSSZESEN (1.+2.)</t>
  </si>
  <si>
    <t>Hitel-, kölcsöntörlesztés államháztartáson kívülre (4.1.+…+4.3.)</t>
  </si>
  <si>
    <t xml:space="preserve">  Hosszú lejáratú hitelek, kölcsönök törlesztése pénzügyi vállalkozásnak</t>
  </si>
  <si>
    <t>Belföldi értékpapírok kiadásai (5.1.+…+5.3.)</t>
  </si>
  <si>
    <t xml:space="preserve"> Forgatási célú belföldi értékpapírok vásárlása</t>
  </si>
  <si>
    <t xml:space="preserve"> Éven túli lejáratú belföldi értékpapírok beváltása</t>
  </si>
  <si>
    <t xml:space="preserve"> Befektetési célú belföldi értékpapírok vásárlása</t>
  </si>
  <si>
    <t>Belföldi finanszírozás kiadásai (6.1.+…+6.5.)</t>
  </si>
  <si>
    <t xml:space="preserve"> Pénzeszközök lekötött betétként elhelyezése </t>
  </si>
  <si>
    <t>FINANSZÍROZÁSI KIADÁSOK ÖSSZESEN: (4.+5.+6.)</t>
  </si>
  <si>
    <t>KIADÁSOK ÖSSZESEN: (3.+7.)</t>
  </si>
  <si>
    <t>Összesen (1.+8.)</t>
  </si>
  <si>
    <t>Részesedés mértéke 
(%-ban)</t>
  </si>
  <si>
    <t>C/I Lekötött bankbetétek (=C/I/1+C/I/2)</t>
  </si>
  <si>
    <t>Idegenforgalmi adó tartózkodás után</t>
  </si>
  <si>
    <t xml:space="preserve">  - ebből:              Építményadó ***</t>
  </si>
  <si>
    <t>2023. évi</t>
  </si>
  <si>
    <t>2023. évi teljesítés</t>
  </si>
  <si>
    <t>2026.</t>
  </si>
  <si>
    <t>2026.
után</t>
  </si>
  <si>
    <t>Hitel, kölcsön állomány 2023. december 31-én</t>
  </si>
  <si>
    <t>2025. után</t>
  </si>
  <si>
    <t>Tiszaújváros Város Önkormányzata tulajdonában álló gazdálkodó szervezetek működéséből származó
kötelezettségek és részesedések alakulása a 2023. évben</t>
  </si>
  <si>
    <t>Pénzkészlet 2023. január 1-jén
ebből:</t>
  </si>
  <si>
    <t>Záró pénzkészlet 2023. december 31-én
ebből:</t>
  </si>
  <si>
    <t>Kommunális hulladék szállítás</t>
  </si>
  <si>
    <t>2015 - határozatlan</t>
  </si>
  <si>
    <t>Városháza vízdíj</t>
  </si>
  <si>
    <t>Városháza fűtés díj</t>
  </si>
  <si>
    <t>Munka-és tűzvédelmi feladatok</t>
  </si>
  <si>
    <t>2013 - határozatlan</t>
  </si>
  <si>
    <t>Postaköltségek</t>
  </si>
  <si>
    <t>2016 - határozatlan</t>
  </si>
  <si>
    <t>Önkormányzati modulok szoftverkövetése (WEBIKSZ)</t>
  </si>
  <si>
    <t>2012 - határozatlan</t>
  </si>
  <si>
    <t>Mobiltelefon költsége</t>
  </si>
  <si>
    <t>2021 - határozatlan</t>
  </si>
  <si>
    <t>Üzemanyag vásárlása</t>
  </si>
  <si>
    <t>Energiahatékonyság vizsgálat
(Polgármesteri Hivatal épülete)</t>
  </si>
  <si>
    <t>2017 - határozatlan</t>
  </si>
  <si>
    <t>Kartontároló karbantartása</t>
  </si>
  <si>
    <t>Ebnyilvántartó program</t>
  </si>
  <si>
    <t>Fénymásoló nyomatdíj</t>
  </si>
  <si>
    <t>2018 - határozatlan</t>
  </si>
  <si>
    <t>Informatikai feladatok ellátása</t>
  </si>
  <si>
    <t>Jogi tanácsadás</t>
  </si>
  <si>
    <t>Pénzügyi szakértői tanácsadó szolgáltatás</t>
  </si>
  <si>
    <t>2020 - 2025</t>
  </si>
  <si>
    <t>Vezetékes telefonszolgáltatás</t>
  </si>
  <si>
    <t>2023 - 2024</t>
  </si>
  <si>
    <t>Mobiltelefon szolgáltatás</t>
  </si>
  <si>
    <t>Önkormányzati vagyonbiztosítás</t>
  </si>
  <si>
    <t>2023 - 2025</t>
  </si>
  <si>
    <t>Fiziko- és balneoterápiás részleg bérleti díja</t>
  </si>
  <si>
    <t>2006 - határozatlan</t>
  </si>
  <si>
    <t>Tiszaújvárosi Krónika szerkesztése</t>
  </si>
  <si>
    <t>Tv műsorszolgáltatás</t>
  </si>
  <si>
    <t>Települési vízellátás</t>
  </si>
  <si>
    <t>Postai szolgáltatás</t>
  </si>
  <si>
    <t>Településrendezési eszk. több részletre szóló mód.</t>
  </si>
  <si>
    <t>Közvilágítás karbantartás</t>
  </si>
  <si>
    <t>Tisza-sziget áramellátás</t>
  </si>
  <si>
    <t>2008 - határozatlan</t>
  </si>
  <si>
    <t>Tisza-parti sérány bérleti díja</t>
  </si>
  <si>
    <t>2019 - 2027</t>
  </si>
  <si>
    <t>Tisza Erőmű Kft. antenna bérleti díja</t>
  </si>
  <si>
    <t>Helyi autóbusz közlekedés támogatása</t>
  </si>
  <si>
    <t>2020 - 2029</t>
  </si>
  <si>
    <t>Szerződéses autóbuszjárat</t>
  </si>
  <si>
    <t>Adatvédelmi tisztviselői tevékenység</t>
  </si>
  <si>
    <t>Városi főépítészi feladatok</t>
  </si>
  <si>
    <t>Üzemanyag vásárlás</t>
  </si>
  <si>
    <t>Gépjárművek tárolási költsége</t>
  </si>
  <si>
    <t>2014 - határozatlan</t>
  </si>
  <si>
    <t>8 db buszváró pavilon telepítése és üzemeltetése</t>
  </si>
  <si>
    <t>2019 - 2033</t>
  </si>
  <si>
    <t>Sebességmérő berendezések karbantartása</t>
  </si>
  <si>
    <t>Iskola-egészségügyi orvosi szobák üzemeltetése</t>
  </si>
  <si>
    <t>2020 - 2027</t>
  </si>
  <si>
    <t>Belvíz, csapadékv. átem. működtetése, karbantartása</t>
  </si>
  <si>
    <t>Kandelláberek, lámpatestek javítása, karbantartása</t>
  </si>
  <si>
    <t>Elvadult házigalambok élve befogása</t>
  </si>
  <si>
    <t>2021 - 2027</t>
  </si>
  <si>
    <t>Alközponti díj</t>
  </si>
  <si>
    <t>Zöldülő Tiszaújváros program</t>
  </si>
  <si>
    <t>27.</t>
  </si>
  <si>
    <t>28.</t>
  </si>
  <si>
    <t>29.</t>
  </si>
  <si>
    <t>30.</t>
  </si>
  <si>
    <t>31.</t>
  </si>
  <si>
    <t>Tárgyi eszközök beszerzése</t>
  </si>
  <si>
    <t>Műszaki tervezés</t>
  </si>
  <si>
    <t>Ezüsthíd Gondozóházzal szemben pihenőpark kialakítása</t>
  </si>
  <si>
    <t>Játszótéri elemek cseréje</t>
  </si>
  <si>
    <t>Tiszaújvárosi Városgazda Nonprofit Kft. Részére történő eszköz beszerzés</t>
  </si>
  <si>
    <t>Kültéri fitnesz parkok szabványossági átalakítása</t>
  </si>
  <si>
    <t>2023-2024.</t>
  </si>
  <si>
    <t>2022-2024.</t>
  </si>
  <si>
    <t>2021-2024.</t>
  </si>
  <si>
    <t>Városközponti tó rézsűvédelme</t>
  </si>
  <si>
    <t>Ivóvíz közmű felújítások</t>
  </si>
  <si>
    <t>Kötelezettség-vállalás éve 
(tól-ig)</t>
  </si>
  <si>
    <t>Vezetékes telefon előfizetési díj</t>
  </si>
  <si>
    <t>2009 -határozatlan</t>
  </si>
  <si>
    <t>2013 -határozatlan</t>
  </si>
  <si>
    <t>Földgáz beszerzés 20m3 feletti</t>
  </si>
  <si>
    <t>2023.10.01. - 2024.10.00</t>
  </si>
  <si>
    <t>Földgáz beszerzés 20m3 alatti</t>
  </si>
  <si>
    <t>2023.10.01. - 2024.10.01</t>
  </si>
  <si>
    <t>Földgáz beszerzés</t>
  </si>
  <si>
    <t>2020-2023.09.30.</t>
  </si>
  <si>
    <t>Villamosenergia szolgáltatás</t>
  </si>
  <si>
    <t>2022-2023</t>
  </si>
  <si>
    <t>Klímakarbantartás (TMKK)</t>
  </si>
  <si>
    <t>2016-határozatlan</t>
  </si>
  <si>
    <t>Hulladékszállítás MOHU Zrt.</t>
  </si>
  <si>
    <t>2023-határozatlan</t>
  </si>
  <si>
    <t>Hulladékszállítás NHKV Zrt.</t>
  </si>
  <si>
    <t>2018-2023</t>
  </si>
  <si>
    <t xml:space="preserve">Távhő szolgáltatás </t>
  </si>
  <si>
    <t>2009-határozatlan</t>
  </si>
  <si>
    <t>Fűtés karbantartás</t>
  </si>
  <si>
    <t>Ezüsthíd Gondozóház csatornadíja</t>
  </si>
  <si>
    <t>Víz- és csatornadíj</t>
  </si>
  <si>
    <t>Víz és csatornarendszer karbantartás</t>
  </si>
  <si>
    <t>Tűzjelző karbantartás (TMKK)</t>
  </si>
  <si>
    <t>Tűzjelző karbantartás ("Ezüsthíd" Gondozóház, HÁSZ)</t>
  </si>
  <si>
    <t>2023.10.15-től határozatlan</t>
  </si>
  <si>
    <t>Tűzjelző karbantartás (Helytörténeti Gyűjtemény)</t>
  </si>
  <si>
    <t>2019 -határozatlan</t>
  </si>
  <si>
    <t>Tűzjelző figyelő szolgálat (TMKK)</t>
  </si>
  <si>
    <t>2015 -határozatlan</t>
  </si>
  <si>
    <t>Tűzjelző figyelő szolgálat ("Ezüsthíd" Gondozóház)</t>
  </si>
  <si>
    <t>2018 -határozatlan</t>
  </si>
  <si>
    <t>2011 -határozatlan</t>
  </si>
  <si>
    <t>Lift karbantartás (Polgármesteri Hivatal)</t>
  </si>
  <si>
    <t>Lom hulladék ártalmatlanítás</t>
  </si>
  <si>
    <t>2021 -határozatlan</t>
  </si>
  <si>
    <t>Konyhai hulladék megsemmisítés</t>
  </si>
  <si>
    <t>2016 -határozatlan</t>
  </si>
  <si>
    <t>Hajtó- és kenőanyag</t>
  </si>
  <si>
    <t>Munka- és tűzvédelem</t>
  </si>
  <si>
    <t>Szoftverkövetés és karbantartás (CT-Ecostat)</t>
  </si>
  <si>
    <t>Szoftver karbantartás (SzocX, TSZG)</t>
  </si>
  <si>
    <t>2014 -határozatlan</t>
  </si>
  <si>
    <t>Színpadtechnikai karbantartás</t>
  </si>
  <si>
    <t>32.</t>
  </si>
  <si>
    <t>33.</t>
  </si>
  <si>
    <t>Gépjármű felelősség biztosítás (utánfutó)</t>
  </si>
  <si>
    <t>2017 -határozatlan</t>
  </si>
  <si>
    <t>34.</t>
  </si>
  <si>
    <t>Fotocellás ajtók karbantartása</t>
  </si>
  <si>
    <t>35.</t>
  </si>
  <si>
    <t>Energiahatékonysági vizsgálat</t>
  </si>
  <si>
    <t>2017 - 2023</t>
  </si>
  <si>
    <t>36.</t>
  </si>
  <si>
    <t>Kereskedői jutalék</t>
  </si>
  <si>
    <t>37.</t>
  </si>
  <si>
    <t>Konyhai légtechnika karbantartása</t>
  </si>
  <si>
    <t>38.</t>
  </si>
  <si>
    <t>Konyhai légtechnika tisztítása</t>
  </si>
  <si>
    <t>2022 - határozatlan</t>
  </si>
  <si>
    <t>39.</t>
  </si>
  <si>
    <t>Gázkazán karbantartás</t>
  </si>
  <si>
    <t>2023 -határozatlan</t>
  </si>
  <si>
    <t>40.</t>
  </si>
  <si>
    <t>Napkollektor karbantartás</t>
  </si>
  <si>
    <t>41.</t>
  </si>
  <si>
    <t>Fénymásoló karbantartás (Humán)</t>
  </si>
  <si>
    <t>2020- határozatlan</t>
  </si>
  <si>
    <t>42.</t>
  </si>
  <si>
    <t>Fénymásoló karbantartás (TMKK)</t>
  </si>
  <si>
    <t>43.</t>
  </si>
  <si>
    <t xml:space="preserve">Nővérhívó rendszer karbantartása </t>
  </si>
  <si>
    <t>2018-határozatlan</t>
  </si>
  <si>
    <t>44.</t>
  </si>
  <si>
    <t>Rágcsáló- és rovarírtás</t>
  </si>
  <si>
    <t>2023 határozatlan</t>
  </si>
  <si>
    <t>45.</t>
  </si>
  <si>
    <t>Nagykonyhai gázüzemű berendezések nyári nagy karbantartása</t>
  </si>
  <si>
    <t>46.</t>
  </si>
  <si>
    <t>Online fizetési rendszer csatlakozási díja és havidíja</t>
  </si>
  <si>
    <t>47.</t>
  </si>
  <si>
    <t>Lift karbantartás (Ezüsthíd, Könyvtár)</t>
  </si>
  <si>
    <t>2009- határozatlan</t>
  </si>
  <si>
    <t>48.</t>
  </si>
  <si>
    <t>Lift karbantartás (TMKK)</t>
  </si>
  <si>
    <t>2022- határozatlan</t>
  </si>
  <si>
    <t>2011-határozatlan</t>
  </si>
  <si>
    <t>Postafiók bérlet</t>
  </si>
  <si>
    <t>2010-határozatlan</t>
  </si>
  <si>
    <t>2012-határozatlan</t>
  </si>
  <si>
    <t>Munkavédelmi megbízás</t>
  </si>
  <si>
    <t>2008-határozatlan</t>
  </si>
  <si>
    <t>Vezetékes telefon és internet szolgáltatás</t>
  </si>
  <si>
    <t xml:space="preserve">Kábel Tv előfizetés </t>
  </si>
  <si>
    <t>2017-határozatlan</t>
  </si>
  <si>
    <t>Küldeményforgalmi szolgáltatás</t>
  </si>
  <si>
    <t>HunTéka szoftver támogatás (múzeumi licensz és könyvtári szolgáltatás)</t>
  </si>
  <si>
    <t>2015-határozatlan</t>
  </si>
  <si>
    <t>Internet szolgáltatás a Kiállítóterembe (Wannet)</t>
  </si>
  <si>
    <t>2019-határozatlan</t>
  </si>
  <si>
    <t>Kábel Tv előfizetés a Tiszaszederkényi Művelődési Házba (Digi)</t>
  </si>
  <si>
    <t>caracalla kád beszerzés</t>
  </si>
  <si>
    <t>2023-2024</t>
  </si>
  <si>
    <t>CRYO készülék beszerzés</t>
  </si>
  <si>
    <t xml:space="preserve">Gyógyszer beszerzés </t>
  </si>
  <si>
    <t>1998 - határozatlan</t>
  </si>
  <si>
    <t>Szakmai gépek karbantartása</t>
  </si>
  <si>
    <t>2001-határozatlan</t>
  </si>
  <si>
    <t xml:space="preserve">Gyógyfürdő program </t>
  </si>
  <si>
    <t>2002 - határozatlan</t>
  </si>
  <si>
    <t xml:space="preserve">Háziorvosi rendszer szoftver </t>
  </si>
  <si>
    <t xml:space="preserve">Postai szolgáltatás </t>
  </si>
  <si>
    <t>2004 - határozatlan</t>
  </si>
  <si>
    <t>2005 - határozatlan</t>
  </si>
  <si>
    <t>Mikrobiológiai vizsgálatok</t>
  </si>
  <si>
    <t>2006-határozatlan</t>
  </si>
  <si>
    <t>Számviteli számítógépes programrendszer</t>
  </si>
  <si>
    <t>Gázenergia szolgáltatás fiziko-balneoterápia</t>
  </si>
  <si>
    <t>Gyógyfürdő kezelések medencehasználat</t>
  </si>
  <si>
    <t>2007 - határozatlan</t>
  </si>
  <si>
    <t>Iskola fogászati feladatok ellátása</t>
  </si>
  <si>
    <t>Mosatási díj</t>
  </si>
  <si>
    <t>Felelősségbiztosítás, casco, kötelező biztosítás</t>
  </si>
  <si>
    <t>Jogi szakértelmet igénylő feladatok ellátása, jogi képviselet</t>
  </si>
  <si>
    <t xml:space="preserve">Biztonságtechnikai szolgáltatás </t>
  </si>
  <si>
    <t>Zárt vérvételi rendszer szállítása</t>
  </si>
  <si>
    <t>Főnix program üzemeltetés</t>
  </si>
  <si>
    <t>2009 - határozatlan</t>
  </si>
  <si>
    <t xml:space="preserve">Üzemanyag beszerzés </t>
  </si>
  <si>
    <t>Foglalkozás egészségügyi program szoftver üzemeltetés</t>
  </si>
  <si>
    <t>Klíma berendezés karbantartás</t>
  </si>
  <si>
    <t>2010 - határozatlan</t>
  </si>
  <si>
    <t>Veszélyes hulladék ártalmatlanítás</t>
  </si>
  <si>
    <t xml:space="preserve">Tűzjelzés fogadás </t>
  </si>
  <si>
    <t>Homeo praxis program üzemeltetés</t>
  </si>
  <si>
    <t>Telefon szolgáltatás</t>
  </si>
  <si>
    <t>2011 - határozatlan</t>
  </si>
  <si>
    <t xml:space="preserve">Fan-coil berendezések karbantartása </t>
  </si>
  <si>
    <t xml:space="preserve">Víz- és csatornadíj </t>
  </si>
  <si>
    <t>Felvonó karbantartás megfelelősségi vizsgálat</t>
  </si>
  <si>
    <t>2012- határozatlan</t>
  </si>
  <si>
    <t>Telefondíj Önkormányzat</t>
  </si>
  <si>
    <t>Orvosi gázpalack bérleti díj</t>
  </si>
  <si>
    <t>Szövettani vizsgálat</t>
  </si>
  <si>
    <t xml:space="preserve">Elektronikus tűzjelző hő- és füstelvezető rendszer karbantartás </t>
  </si>
  <si>
    <t>Tűzoltókészülékek felülvizsgálata</t>
  </si>
  <si>
    <t xml:space="preserve">Védőnői program </t>
  </si>
  <si>
    <t>Internet, telefon szolgáltatás</t>
  </si>
  <si>
    <t xml:space="preserve">Vízkezelési feladatok ellátása Fiziko- balneoterápiás részleg </t>
  </si>
  <si>
    <t>Röntgen készülékek vizsgálata</t>
  </si>
  <si>
    <t xml:space="preserve">Szemétszállítás </t>
  </si>
  <si>
    <t>Felvonó felülvizsgálat</t>
  </si>
  <si>
    <t>Rágcsálóírtás</t>
  </si>
  <si>
    <t>Egynapos sebészet légkezelő karbantartás, fertőtlenítés</t>
  </si>
  <si>
    <t>Felvonó karbantartás B épület</t>
  </si>
  <si>
    <t>Fogászati ügyeleti feladatok ellátása</t>
  </si>
  <si>
    <t>Felvonó karbantartás A épület</t>
  </si>
  <si>
    <t>Energiahatékonysági feladatok támogatás</t>
  </si>
  <si>
    <t>49.</t>
  </si>
  <si>
    <t>Doziméter ellenőrzés</t>
  </si>
  <si>
    <t>50.</t>
  </si>
  <si>
    <t>EESZT authentikációs tanusítás</t>
  </si>
  <si>
    <t>51.</t>
  </si>
  <si>
    <t>Terminál működtetés</t>
  </si>
  <si>
    <t>52.</t>
  </si>
  <si>
    <t>Mosatási díj akkreditált mosatás</t>
  </si>
  <si>
    <t>53.</t>
  </si>
  <si>
    <t>Háziorvosi szoftver üzemeltetés Medikamentum</t>
  </si>
  <si>
    <t>2020-határozatlan</t>
  </si>
  <si>
    <t>54.</t>
  </si>
  <si>
    <t>CO2 érzékelők karbantartása</t>
  </si>
  <si>
    <t>2021- határozatlan</t>
  </si>
  <si>
    <t>55.</t>
  </si>
  <si>
    <t>Háziorvosi szoftver üzemeltetés Tímea dr</t>
  </si>
  <si>
    <t>56.</t>
  </si>
  <si>
    <t>57.</t>
  </si>
  <si>
    <t>2020-2027</t>
  </si>
  <si>
    <t>58.</t>
  </si>
  <si>
    <t>Hűtőtorony üzemeltetés Alteo</t>
  </si>
  <si>
    <t>59.</t>
  </si>
  <si>
    <t>Laboranyag beszerzés</t>
  </si>
  <si>
    <t>2022-2024</t>
  </si>
  <si>
    <t>60.</t>
  </si>
  <si>
    <t>Laboratóriumi gépek bérlet</t>
  </si>
  <si>
    <t>61.</t>
  </si>
  <si>
    <t>Gyógyúszás foglalkozások</t>
  </si>
  <si>
    <t>62.</t>
  </si>
  <si>
    <t>Szemészeti lencse beszerzés</t>
  </si>
  <si>
    <t>63.</t>
  </si>
  <si>
    <t>Könyvvizsgálat</t>
  </si>
  <si>
    <t>2023-2028</t>
  </si>
  <si>
    <t>64.</t>
  </si>
  <si>
    <t>2023-2025</t>
  </si>
  <si>
    <t>65.</t>
  </si>
  <si>
    <t>H/III/7 Letétre, megőrzésre, fedezetkezelésre átvett pénzeszközök,biztosítékok</t>
  </si>
  <si>
    <t>1998-2022.</t>
  </si>
  <si>
    <t>2028.</t>
  </si>
  <si>
    <t>2032 - határozatlan</t>
  </si>
  <si>
    <t>2029 - határozatlan</t>
  </si>
  <si>
    <t>2006-2013.</t>
  </si>
  <si>
    <t>1995. és 2022.</t>
  </si>
  <si>
    <t>határozatlan</t>
  </si>
  <si>
    <t>**** 2022. évi bevallás alapján (1.5%)</t>
  </si>
  <si>
    <t>Elengedett pótlék, bírság (7 db bírság határozat)</t>
  </si>
  <si>
    <t>***  mentes épületeket érintő adatbejelentési kötelezettség hiányában csak az önkormányzat által biztosított 50 %-os kedvezményt tartalmazza (2023. évi nyitó állomány)</t>
  </si>
  <si>
    <t>Tiszaújváros, Tisza út 2/C alatt lévő Ruszin Nemzetiségi Önkormányzat és Katasztrófavédelem irodák fűtési díja</t>
  </si>
  <si>
    <t>Térfigyelő kamerák E-közmű rendszer publikálása</t>
  </si>
  <si>
    <t>Zártkörű emelő karbantartása (Tündérkert és Szivárvány Óvoda, Hunyadi Általános Iskola)</t>
  </si>
  <si>
    <t>Ételszállító lift karbantartása (Bóbita Óvoda)</t>
  </si>
  <si>
    <t>2023- határozatlan</t>
  </si>
  <si>
    <t>Internet Tiszaparti Fiókkönyvtárba</t>
  </si>
  <si>
    <t>Helyi és helyközi távbeszélő szolgáltatás internet szolgáltatás</t>
  </si>
  <si>
    <t>Tűz- és munkavédelmi feladatok ellátása</t>
  </si>
  <si>
    <t>Labor rendszer szoftverkövetés, ügyelet, adatbázis karbantartás</t>
  </si>
  <si>
    <t xml:space="preserve">Távhő- és melegvíz szolgáltatás </t>
  </si>
  <si>
    <t>Sterilizálás</t>
  </si>
  <si>
    <t>Villamos energia Fiziko részleg</t>
  </si>
  <si>
    <t>Legionella vizsgálatok</t>
  </si>
  <si>
    <t>Hidegenergia átvitel Tiszaszolg 2004 Kft.</t>
  </si>
  <si>
    <t>Villamos energia szolgáltatás Tiszaújváros Rendelő, Tiszaszederkény Rendelő</t>
  </si>
  <si>
    <t>Földgáz Tiszaszederkényi Rendelő</t>
  </si>
  <si>
    <t>Gépkocsi biztosítás (GFB, Casco)</t>
  </si>
  <si>
    <t>Ballonos vízadagoló bérleti díj</t>
  </si>
  <si>
    <t>Helyi iparűzési adó  ****</t>
  </si>
  <si>
    <r>
      <t xml:space="preserve"> </t>
    </r>
    <r>
      <rPr>
        <sz val="10"/>
        <rFont val="Times New Roman CE"/>
        <family val="1"/>
      </rPr>
      <t>Pénztárak egyenlege</t>
    </r>
  </si>
  <si>
    <r>
      <t xml:space="preserve">Megnevezés                                                                                     </t>
    </r>
    <r>
      <rPr>
        <sz val="11"/>
        <rFont val="Times New Roman CE"/>
        <family val="0"/>
      </rPr>
      <t>(32-33. számlacsoportban található pénzeszközök)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</si>
</sst>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General"/>
    <numFmt numFmtId="181" formatCode="[$¥€-2]\ #\ ##,000_);[Red]\([$€-2]\ #\ ##,000\)"/>
    <numFmt numFmtId="182" formatCode="0.0"/>
    <numFmt numFmtId="183" formatCode="#,###.0"/>
    <numFmt numFmtId="184" formatCode="#,##0.00\ _F_t"/>
    <numFmt numFmtId="185" formatCode="#,##0.000\ _F_t"/>
    <numFmt numFmtId="186" formatCode="#,##0.0000\ _F_t"/>
    <numFmt numFmtId="187" formatCode="#,##0.0\ _F_t"/>
    <numFmt numFmtId="188" formatCode="#,##0\ _F_t"/>
    <numFmt numFmtId="189" formatCode="#,##0_ ;\-#,##0\ "/>
    <numFmt numFmtId="190" formatCode="_-* #,##0.000\ &quot;Ft&quot;_-;\-* #,##0.000\ &quot;Ft&quot;_-;_-* &quot;-&quot;??\ &quot;Ft&quot;_-;_-@_-"/>
    <numFmt numFmtId="191" formatCode="_-* #,##0.0000\ &quot;Ft&quot;_-;\-* #,##0.0000\ &quot;Ft&quot;_-;_-* &quot;-&quot;??\ &quot;Ft&quot;_-;_-@_-"/>
    <numFmt numFmtId="192" formatCode="#,###.00"/>
  </numFmts>
  <fonts count="75">
    <font>
      <sz val="10"/>
      <name val="Times New Roman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9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10"/>
      <name val="Wingdings"/>
      <family val="0"/>
    </font>
    <font>
      <i/>
      <sz val="9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b/>
      <i/>
      <sz val="4"/>
      <color indexed="8"/>
      <name val="Times New Roman"/>
      <family val="1"/>
    </font>
    <font>
      <sz val="12"/>
      <name val="Times New Roman CE"/>
      <family val="0"/>
    </font>
    <font>
      <b/>
      <sz val="13"/>
      <name val="Times New Roman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6"/>
      <name val="Times New Roman CE"/>
      <family val="1"/>
    </font>
    <font>
      <sz val="9"/>
      <color indexed="8"/>
      <name val="Times New Roman"/>
      <family val="1"/>
    </font>
    <font>
      <i/>
      <sz val="9"/>
      <name val="Times New Roman CE"/>
      <family val="1"/>
    </font>
    <font>
      <sz val="11"/>
      <name val="Times New Roman CE"/>
      <family val="0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0"/>
      <color indexed="13"/>
      <name val="Times New Roman CE"/>
      <family val="0"/>
    </font>
    <font>
      <sz val="10"/>
      <color indexed="10"/>
      <name val="Times New Roman CE"/>
      <family val="0"/>
    </font>
    <font>
      <sz val="9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rgb="FFFF0000"/>
      <name val="Times New Roman"/>
      <family val="1"/>
    </font>
    <font>
      <sz val="10"/>
      <color rgb="FFFFFF00"/>
      <name val="Times New Roman CE"/>
      <family val="0"/>
    </font>
    <font>
      <sz val="10"/>
      <color rgb="FFFF0000"/>
      <name val="Times New Roman CE"/>
      <family val="0"/>
    </font>
    <font>
      <sz val="9"/>
      <color rgb="FFFF0000"/>
      <name val="Times New Roman CE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47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lightHorizontal"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lightHorizontal">
        <bgColor rgb="FFFFFF00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5" borderId="0" applyNumberFormat="0" applyBorder="0" applyAlignment="0" applyProtection="0"/>
    <xf numFmtId="0" fontId="24" fillId="5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55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7" borderId="0" applyNumberFormat="0" applyBorder="0" applyAlignment="0" applyProtection="0"/>
    <xf numFmtId="0" fontId="24" fillId="8" borderId="0" applyNumberFormat="0" applyBorder="0" applyAlignment="0" applyProtection="0"/>
    <xf numFmtId="0" fontId="55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1" borderId="0" applyNumberFormat="0" applyBorder="0" applyAlignment="0" applyProtection="0"/>
    <xf numFmtId="0" fontId="24" fillId="11" borderId="0" applyNumberFormat="0" applyBorder="0" applyAlignment="0" applyProtection="0"/>
    <xf numFmtId="0" fontId="55" fillId="12" borderId="0" applyNumberFormat="0" applyBorder="0" applyAlignment="0" applyProtection="0"/>
    <xf numFmtId="0" fontId="24" fillId="5" borderId="0" applyNumberFormat="0" applyBorder="0" applyAlignment="0" applyProtection="0"/>
    <xf numFmtId="0" fontId="55" fillId="13" borderId="0" applyNumberFormat="0" applyBorder="0" applyAlignment="0" applyProtection="0"/>
    <xf numFmtId="0" fontId="24" fillId="13" borderId="0" applyNumberFormat="0" applyBorder="0" applyAlignment="0" applyProtection="0"/>
    <xf numFmtId="0" fontId="55" fillId="11" borderId="0" applyNumberFormat="0" applyBorder="0" applyAlignment="0" applyProtection="0"/>
    <xf numFmtId="0" fontId="24" fillId="11" borderId="0" applyNumberFormat="0" applyBorder="0" applyAlignment="0" applyProtection="0"/>
    <xf numFmtId="0" fontId="55" fillId="14" borderId="0" applyNumberFormat="0" applyBorder="0" applyAlignment="0" applyProtection="0"/>
    <xf numFmtId="0" fontId="24" fillId="15" borderId="0" applyNumberFormat="0" applyBorder="0" applyAlignment="0" applyProtection="0"/>
    <xf numFmtId="0" fontId="55" fillId="13" borderId="0" applyNumberFormat="0" applyBorder="0" applyAlignment="0" applyProtection="0"/>
    <xf numFmtId="0" fontId="24" fillId="13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9" borderId="0" applyNumberFormat="0" applyBorder="0" applyAlignment="0" applyProtection="0"/>
    <xf numFmtId="0" fontId="54" fillId="5" borderId="0" applyNumberFormat="0" applyBorder="0" applyAlignment="0" applyProtection="0"/>
    <xf numFmtId="0" fontId="56" fillId="13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5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1" borderId="7" applyNumberFormat="0" applyFont="0" applyAlignment="0" applyProtection="0"/>
    <xf numFmtId="0" fontId="61" fillId="22" borderId="0" applyNumberFormat="0" applyBorder="0" applyAlignment="0" applyProtection="0"/>
    <xf numFmtId="0" fontId="62" fillId="23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3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69" fillId="0" borderId="0">
      <alignment/>
      <protection/>
    </xf>
  </cellStyleXfs>
  <cellXfs count="6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6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166" fontId="3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166" fontId="6" fillId="0" borderId="12" xfId="0" applyNumberFormat="1" applyFont="1" applyFill="1" applyBorder="1" applyAlignment="1" applyProtection="1">
      <alignment vertical="center"/>
      <protection/>
    </xf>
    <xf numFmtId="166" fontId="6" fillId="0" borderId="13" xfId="0" applyNumberFormat="1" applyFont="1" applyFill="1" applyBorder="1" applyAlignment="1" applyProtection="1">
      <alignment vertical="center"/>
      <protection/>
    </xf>
    <xf numFmtId="166" fontId="6" fillId="0" borderId="14" xfId="0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 applyProtection="1">
      <alignment vertical="center"/>
      <protection locked="0"/>
    </xf>
    <xf numFmtId="166" fontId="6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166" fontId="7" fillId="0" borderId="17" xfId="0" applyNumberFormat="1" applyFont="1" applyFill="1" applyBorder="1" applyAlignment="1" applyProtection="1">
      <alignment vertical="center"/>
      <protection locked="0"/>
    </xf>
    <xf numFmtId="166" fontId="7" fillId="0" borderId="18" xfId="0" applyNumberFormat="1" applyFont="1" applyFill="1" applyBorder="1" applyAlignment="1" applyProtection="1">
      <alignment vertical="center"/>
      <protection locked="0"/>
    </xf>
    <xf numFmtId="166" fontId="6" fillId="0" borderId="19" xfId="0" applyNumberFormat="1" applyFont="1" applyFill="1" applyBorder="1" applyAlignment="1" applyProtection="1">
      <alignment vertical="center"/>
      <protection/>
    </xf>
    <xf numFmtId="166" fontId="6" fillId="0" borderId="20" xfId="0" applyNumberFormat="1" applyFont="1" applyFill="1" applyBorder="1" applyAlignment="1" applyProtection="1">
      <alignment vertical="center"/>
      <protection/>
    </xf>
    <xf numFmtId="166" fontId="2" fillId="0" borderId="13" xfId="0" applyNumberFormat="1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 wrapText="1" indent="1"/>
      <protection locked="0"/>
    </xf>
    <xf numFmtId="177" fontId="2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indent="5"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1"/>
    </xf>
    <xf numFmtId="177" fontId="9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left" vertical="center" wrapText="1" indent="1"/>
      <protection locked="0"/>
    </xf>
    <xf numFmtId="177" fontId="2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indent="5"/>
    </xf>
    <xf numFmtId="177" fontId="9" fillId="0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0" fillId="0" borderId="17" xfId="0" applyFill="1" applyBorder="1" applyAlignment="1">
      <alignment horizontal="left" vertical="center" indent="1"/>
    </xf>
    <xf numFmtId="166" fontId="6" fillId="0" borderId="10" xfId="0" applyNumberFormat="1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vertical="center" wrapText="1"/>
      <protection/>
    </xf>
    <xf numFmtId="166" fontId="7" fillId="0" borderId="29" xfId="0" applyNumberFormat="1" applyFont="1" applyFill="1" applyBorder="1" applyAlignment="1" applyProtection="1">
      <alignment vertical="center"/>
      <protection locked="0"/>
    </xf>
    <xf numFmtId="166" fontId="6" fillId="0" borderId="29" xfId="0" applyNumberFormat="1" applyFont="1" applyFill="1" applyBorder="1" applyAlignment="1" applyProtection="1">
      <alignment vertical="center"/>
      <protection/>
    </xf>
    <xf numFmtId="166" fontId="6" fillId="0" borderId="30" xfId="0" applyNumberFormat="1" applyFont="1" applyFill="1" applyBorder="1" applyAlignment="1" applyProtection="1">
      <alignment vertical="center"/>
      <protection/>
    </xf>
    <xf numFmtId="166" fontId="9" fillId="0" borderId="10" xfId="0" applyNumberFormat="1" applyFont="1" applyFill="1" applyBorder="1" applyAlignment="1" applyProtection="1">
      <alignment vertical="center" wrapText="1"/>
      <protection locked="0"/>
    </xf>
    <xf numFmtId="166" fontId="9" fillId="0" borderId="11" xfId="0" applyNumberFormat="1" applyFont="1" applyFill="1" applyBorder="1" applyAlignment="1" applyProtection="1">
      <alignment vertical="center" wrapText="1"/>
      <protection locked="0"/>
    </xf>
    <xf numFmtId="166" fontId="9" fillId="0" borderId="26" xfId="0" applyNumberFormat="1" applyFont="1" applyFill="1" applyBorder="1" applyAlignment="1" applyProtection="1">
      <alignment vertical="center" wrapText="1"/>
      <protection locked="0"/>
    </xf>
    <xf numFmtId="166" fontId="9" fillId="0" borderId="17" xfId="0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>
      <alignment horizontal="center" vertical="center" wrapText="1"/>
    </xf>
    <xf numFmtId="166" fontId="2" fillId="0" borderId="31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9" fontId="22" fillId="0" borderId="10" xfId="92" applyFont="1" applyBorder="1" applyAlignment="1" applyProtection="1">
      <alignment horizontal="center" vertical="center" wrapText="1"/>
      <protection locked="0"/>
    </xf>
    <xf numFmtId="168" fontId="22" fillId="0" borderId="10" xfId="60" applyNumberFormat="1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wrapText="1"/>
      <protection/>
    </xf>
    <xf numFmtId="0" fontId="21" fillId="26" borderId="13" xfId="0" applyFont="1" applyFill="1" applyBorder="1" applyAlignment="1" applyProtection="1">
      <alignment horizontal="center" vertical="top" wrapText="1"/>
      <protection/>
    </xf>
    <xf numFmtId="168" fontId="22" fillId="0" borderId="13" xfId="60" applyNumberFormat="1" applyFont="1" applyBorder="1" applyAlignment="1" applyProtection="1">
      <alignment horizontal="center" vertical="center" wrapText="1"/>
      <protection/>
    </xf>
    <xf numFmtId="168" fontId="22" fillId="0" borderId="14" xfId="60" applyNumberFormat="1" applyFont="1" applyBorder="1" applyAlignment="1" applyProtection="1">
      <alignment horizontal="center" vertical="top" wrapText="1"/>
      <protection/>
    </xf>
    <xf numFmtId="0" fontId="0" fillId="0" borderId="13" xfId="0" applyBorder="1" applyAlignment="1">
      <alignment/>
    </xf>
    <xf numFmtId="166" fontId="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right" vertical="center" wrapText="1" indent="1"/>
    </xf>
    <xf numFmtId="166" fontId="6" fillId="0" borderId="31" xfId="0" applyNumberFormat="1" applyFont="1" applyFill="1" applyBorder="1" applyAlignment="1">
      <alignment horizontal="left" vertical="center" wrapText="1" indent="1"/>
    </xf>
    <xf numFmtId="166" fontId="0" fillId="27" borderId="31" xfId="0" applyNumberFormat="1" applyFont="1" applyFill="1" applyBorder="1" applyAlignment="1">
      <alignment horizontal="left" vertical="center" wrapText="1" indent="2"/>
    </xf>
    <xf numFmtId="166" fontId="0" fillId="27" borderId="33" xfId="0" applyNumberFormat="1" applyFont="1" applyFill="1" applyBorder="1" applyAlignment="1">
      <alignment horizontal="left" vertical="center" wrapText="1" indent="2"/>
    </xf>
    <xf numFmtId="166" fontId="6" fillId="0" borderId="21" xfId="0" applyNumberFormat="1" applyFont="1" applyFill="1" applyBorder="1" applyAlignment="1">
      <alignment vertical="center" wrapText="1"/>
    </xf>
    <xf numFmtId="166" fontId="6" fillId="0" borderId="13" xfId="0" applyNumberFormat="1" applyFont="1" applyFill="1" applyBorder="1" applyAlignment="1">
      <alignment vertical="center" wrapText="1"/>
    </xf>
    <xf numFmtId="166" fontId="6" fillId="0" borderId="14" xfId="0" applyNumberFormat="1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right" vertical="center" wrapText="1" indent="1"/>
    </xf>
    <xf numFmtId="166" fontId="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1" xfId="0" applyNumberFormat="1" applyFont="1" applyFill="1" applyBorder="1" applyAlignment="1" applyProtection="1">
      <alignment vertical="center" wrapText="1"/>
      <protection locked="0"/>
    </xf>
    <xf numFmtId="166" fontId="7" fillId="0" borderId="10" xfId="0" applyNumberFormat="1" applyFont="1" applyFill="1" applyBorder="1" applyAlignment="1" applyProtection="1">
      <alignment vertical="center" wrapText="1"/>
      <protection locked="0"/>
    </xf>
    <xf numFmtId="166" fontId="7" fillId="0" borderId="12" xfId="0" applyNumberFormat="1" applyFont="1" applyFill="1" applyBorder="1" applyAlignment="1" applyProtection="1">
      <alignment vertical="center" wrapText="1"/>
      <protection locked="0"/>
    </xf>
    <xf numFmtId="166" fontId="2" fillId="0" borderId="11" xfId="0" applyNumberFormat="1" applyFont="1" applyFill="1" applyBorder="1" applyAlignment="1">
      <alignment horizontal="right" vertical="center" wrapText="1" indent="1"/>
    </xf>
    <xf numFmtId="166" fontId="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7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2" xfId="0" applyNumberFormat="1" applyFont="1" applyFill="1" applyBorder="1" applyAlignment="1" applyProtection="1">
      <alignment vertical="center" wrapText="1"/>
      <protection locked="0"/>
    </xf>
    <xf numFmtId="166" fontId="2" fillId="0" borderId="32" xfId="0" applyNumberFormat="1" applyFont="1" applyFill="1" applyBorder="1" applyAlignment="1">
      <alignment horizontal="right" vertical="center" wrapText="1" indent="1"/>
    </xf>
    <xf numFmtId="166" fontId="2" fillId="0" borderId="31" xfId="0" applyNumberFormat="1" applyFont="1" applyFill="1" applyBorder="1" applyAlignment="1">
      <alignment horizontal="left" vertical="center" wrapText="1" indent="1"/>
    </xf>
    <xf numFmtId="166" fontId="9" fillId="27" borderId="31" xfId="0" applyNumberFormat="1" applyFont="1" applyFill="1" applyBorder="1" applyAlignment="1">
      <alignment horizontal="center" vertical="center" wrapText="1"/>
    </xf>
    <xf numFmtId="166" fontId="9" fillId="27" borderId="33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vertical="center" wrapText="1"/>
    </xf>
    <xf numFmtId="166" fontId="2" fillId="0" borderId="35" xfId="0" applyNumberFormat="1" applyFont="1" applyFill="1" applyBorder="1" applyAlignment="1">
      <alignment horizontal="right" vertical="center" wrapText="1" indent="1"/>
    </xf>
    <xf numFmtId="166" fontId="9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7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6" xfId="0" applyNumberFormat="1" applyFont="1" applyFill="1" applyBorder="1" applyAlignment="1" applyProtection="1">
      <alignment vertical="center" wrapText="1"/>
      <protection locked="0"/>
    </xf>
    <xf numFmtId="166" fontId="2" fillId="0" borderId="21" xfId="0" applyNumberFormat="1" applyFont="1" applyFill="1" applyBorder="1" applyAlignment="1">
      <alignment horizontal="right" vertical="center" wrapText="1" indent="1"/>
    </xf>
    <xf numFmtId="166" fontId="9" fillId="27" borderId="31" xfId="0" applyNumberFormat="1" applyFont="1" applyFill="1" applyBorder="1" applyAlignment="1">
      <alignment horizontal="left" vertical="center" wrapText="1" indent="2"/>
    </xf>
    <xf numFmtId="166" fontId="9" fillId="27" borderId="33" xfId="0" applyNumberFormat="1" applyFont="1" applyFill="1" applyBorder="1" applyAlignment="1">
      <alignment horizontal="left" vertical="center" wrapText="1" indent="2"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84" applyFont="1" applyFill="1" applyBorder="1" applyAlignment="1" applyProtection="1">
      <alignment horizontal="center" vertical="center" wrapText="1"/>
      <protection/>
    </xf>
    <xf numFmtId="0" fontId="2" fillId="0" borderId="13" xfId="84" applyFont="1" applyFill="1" applyBorder="1" applyAlignment="1" applyProtection="1">
      <alignment horizontal="left" vertical="center" wrapText="1" indent="1"/>
      <protection/>
    </xf>
    <xf numFmtId="49" fontId="9" fillId="0" borderId="22" xfId="84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wrapText="1" indent="1"/>
      <protection/>
    </xf>
    <xf numFmtId="49" fontId="9" fillId="0" borderId="11" xfId="84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49" fontId="9" fillId="0" borderId="25" xfId="84" applyNumberFormat="1" applyFont="1" applyFill="1" applyBorder="1" applyAlignment="1" applyProtection="1">
      <alignment horizontal="center" vertical="center" wrapText="1"/>
      <protection/>
    </xf>
    <xf numFmtId="0" fontId="9" fillId="0" borderId="23" xfId="84" applyFont="1" applyFill="1" applyBorder="1" applyAlignment="1" applyProtection="1">
      <alignment horizontal="left" vertical="center" wrapText="1" indent="1"/>
      <protection/>
    </xf>
    <xf numFmtId="0" fontId="2" fillId="0" borderId="37" xfId="84" applyFont="1" applyFill="1" applyBorder="1" applyAlignment="1" applyProtection="1">
      <alignment horizontal="center" vertical="center" wrapText="1"/>
      <protection/>
    </xf>
    <xf numFmtId="49" fontId="9" fillId="0" borderId="37" xfId="84" applyNumberFormat="1" applyFont="1" applyFill="1" applyBorder="1" applyAlignment="1" applyProtection="1">
      <alignment horizontal="center" vertical="center" wrapText="1"/>
      <protection/>
    </xf>
    <xf numFmtId="0" fontId="9" fillId="0" borderId="10" xfId="84" applyFont="1" applyFill="1" applyBorder="1" applyAlignment="1" applyProtection="1">
      <alignment horizontal="left" vertical="center" wrapText="1" indent="1"/>
      <protection/>
    </xf>
    <xf numFmtId="0" fontId="9" fillId="0" borderId="10" xfId="84" applyFont="1" applyFill="1" applyBorder="1" applyAlignment="1" applyProtection="1">
      <alignment horizontal="left" vertical="center" wrapText="1" indent="6"/>
      <protection/>
    </xf>
    <xf numFmtId="0" fontId="2" fillId="0" borderId="13" xfId="84" applyFont="1" applyFill="1" applyBorder="1" applyAlignment="1" applyProtection="1">
      <alignment vertical="center" wrapText="1"/>
      <protection/>
    </xf>
    <xf numFmtId="0" fontId="9" fillId="0" borderId="26" xfId="84" applyFont="1" applyFill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0" fontId="2" fillId="0" borderId="13" xfId="84" applyFont="1" applyFill="1" applyBorder="1" applyAlignment="1" applyProtection="1">
      <alignment horizontal="left" vertical="center" wrapText="1" indent="1"/>
      <protection/>
    </xf>
    <xf numFmtId="0" fontId="9" fillId="0" borderId="23" xfId="84" applyFont="1" applyFill="1" applyBorder="1" applyAlignment="1" applyProtection="1">
      <alignment horizontal="left" vertical="center" wrapText="1" indent="1"/>
      <protection/>
    </xf>
    <xf numFmtId="49" fontId="9" fillId="0" borderId="38" xfId="84" applyNumberFormat="1" applyFont="1" applyFill="1" applyBorder="1" applyAlignment="1" applyProtection="1">
      <alignment horizontal="center" vertical="center" wrapText="1"/>
      <protection/>
    </xf>
    <xf numFmtId="0" fontId="9" fillId="0" borderId="39" xfId="84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 vertical="center" wrapText="1" indent="1"/>
      <protection/>
    </xf>
    <xf numFmtId="166" fontId="2" fillId="0" borderId="18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>
      <alignment horizontal="center" vertical="center"/>
    </xf>
    <xf numFmtId="166" fontId="2" fillId="0" borderId="17" xfId="0" applyNumberFormat="1" applyFont="1" applyFill="1" applyBorder="1" applyAlignment="1" applyProtection="1">
      <alignment horizontal="center" vertical="center" wrapText="1"/>
      <protection/>
    </xf>
    <xf numFmtId="166" fontId="9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right" vertical="center" wrapText="1" indent="1"/>
      <protection/>
    </xf>
    <xf numFmtId="0" fontId="17" fillId="0" borderId="40" xfId="0" applyFont="1" applyFill="1" applyBorder="1" applyAlignment="1" applyProtection="1">
      <alignment horizontal="left" vertical="center" wrapText="1" indent="1"/>
      <protection locked="0"/>
    </xf>
    <xf numFmtId="166" fontId="9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1" xfId="0" applyFont="1" applyFill="1" applyBorder="1" applyAlignment="1" applyProtection="1">
      <alignment horizontal="right" vertical="center" wrapText="1" indent="1"/>
      <protection/>
    </xf>
    <xf numFmtId="0" fontId="17" fillId="0" borderId="41" xfId="0" applyFont="1" applyFill="1" applyBorder="1" applyAlignment="1" applyProtection="1">
      <alignment horizontal="left" vertical="center" wrapText="1" indent="1"/>
      <protection locked="0"/>
    </xf>
    <xf numFmtId="166" fontId="9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1" xfId="0" applyFont="1" applyFill="1" applyBorder="1" applyAlignment="1">
      <alignment horizontal="right" vertical="center" wrapText="1" indent="1"/>
    </xf>
    <xf numFmtId="0" fontId="17" fillId="0" borderId="41" xfId="0" applyFont="1" applyFill="1" applyBorder="1" applyAlignment="1" applyProtection="1">
      <alignment horizontal="left" vertical="center" wrapText="1" indent="8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right" vertical="center" wrapText="1" indent="1"/>
    </xf>
    <xf numFmtId="0" fontId="2" fillId="0" borderId="13" xfId="0" applyFont="1" applyFill="1" applyBorder="1" applyAlignment="1">
      <alignment vertical="center" wrapText="1"/>
    </xf>
    <xf numFmtId="166" fontId="2" fillId="0" borderId="13" xfId="0" applyNumberFormat="1" applyFont="1" applyFill="1" applyBorder="1" applyAlignment="1">
      <alignment horizontal="right" vertical="center" wrapText="1" indent="2"/>
    </xf>
    <xf numFmtId="166" fontId="2" fillId="0" borderId="14" xfId="0" applyNumberFormat="1" applyFont="1" applyFill="1" applyBorder="1" applyAlignment="1">
      <alignment horizontal="right" vertical="center" wrapText="1" indent="2"/>
    </xf>
    <xf numFmtId="0" fontId="9" fillId="0" borderId="0" xfId="0" applyFont="1" applyFill="1" applyAlignment="1">
      <alignment horizontal="right" vertical="center" wrapText="1"/>
    </xf>
    <xf numFmtId="166" fontId="9" fillId="0" borderId="30" xfId="0" applyNumberFormat="1" applyFont="1" applyFill="1" applyBorder="1" applyAlignment="1" applyProtection="1">
      <alignment horizontal="right" vertical="center" wrapText="1" indent="2"/>
      <protection locked="0"/>
    </xf>
    <xf numFmtId="0" fontId="11" fillId="0" borderId="0" xfId="0" applyFont="1" applyAlignment="1" applyProtection="1">
      <alignment horizontal="right"/>
      <protection/>
    </xf>
    <xf numFmtId="166" fontId="12" fillId="0" borderId="0" xfId="0" applyNumberFormat="1" applyFont="1" applyFill="1" applyAlignment="1">
      <alignment horizontal="right" vertical="center"/>
    </xf>
    <xf numFmtId="166" fontId="2" fillId="0" borderId="32" xfId="0" applyNumberFormat="1" applyFont="1" applyFill="1" applyBorder="1" applyAlignment="1">
      <alignment vertical="center" wrapText="1"/>
    </xf>
    <xf numFmtId="166" fontId="2" fillId="0" borderId="42" xfId="0" applyNumberFormat="1" applyFont="1" applyFill="1" applyBorder="1" applyAlignment="1">
      <alignment vertical="center" wrapText="1"/>
    </xf>
    <xf numFmtId="166" fontId="2" fillId="0" borderId="13" xfId="0" applyNumberFormat="1" applyFont="1" applyFill="1" applyBorder="1" applyAlignment="1">
      <alignment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Fill="1" applyAlignment="1">
      <alignment vertical="center" wrapText="1"/>
    </xf>
    <xf numFmtId="166" fontId="8" fillId="0" borderId="0" xfId="0" applyNumberFormat="1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center"/>
    </xf>
    <xf numFmtId="166" fontId="8" fillId="0" borderId="29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>
      <alignment vertical="center"/>
    </xf>
    <xf numFmtId="166" fontId="8" fillId="0" borderId="17" xfId="0" applyNumberFormat="1" applyFont="1" applyFill="1" applyBorder="1" applyAlignment="1" applyProtection="1">
      <alignment horizontal="center" vertical="center"/>
      <protection/>
    </xf>
    <xf numFmtId="166" fontId="8" fillId="0" borderId="17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>
      <alignment horizontal="center" vertical="center"/>
    </xf>
    <xf numFmtId="166" fontId="8" fillId="28" borderId="13" xfId="0" applyNumberFormat="1" applyFont="1" applyFill="1" applyBorder="1" applyAlignment="1" applyProtection="1">
      <alignment horizontal="left" vertical="center" wrapText="1" indent="1"/>
      <protection/>
    </xf>
    <xf numFmtId="166" fontId="8" fillId="29" borderId="13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vertical="center" wrapText="1"/>
      <protection locked="0"/>
    </xf>
    <xf numFmtId="166" fontId="8" fillId="3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8" fillId="31" borderId="13" xfId="0" applyNumberFormat="1" applyFont="1" applyFill="1" applyBorder="1" applyAlignment="1" applyProtection="1">
      <alignment horizontal="center" vertical="center" wrapText="1"/>
      <protection/>
    </xf>
    <xf numFmtId="166" fontId="8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8" fillId="0" borderId="39" xfId="0" applyNumberFormat="1" applyFont="1" applyFill="1" applyBorder="1" applyAlignment="1" applyProtection="1">
      <alignment horizontal="left" vertical="center" wrapText="1" indent="1"/>
      <protection/>
    </xf>
    <xf numFmtId="166" fontId="8" fillId="0" borderId="39" xfId="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 applyProtection="1">
      <alignment vertical="center" wrapText="1"/>
      <protection locked="0"/>
    </xf>
    <xf numFmtId="166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 vertical="center" wrapText="1" indent="1"/>
    </xf>
    <xf numFmtId="166" fontId="8" fillId="0" borderId="26" xfId="0" applyNumberFormat="1" applyFont="1" applyFill="1" applyBorder="1" applyAlignment="1" applyProtection="1">
      <alignment horizontal="left" vertical="center" wrapText="1" indent="1"/>
      <protection/>
    </xf>
    <xf numFmtId="166" fontId="2" fillId="0" borderId="14" xfId="0" applyNumberFormat="1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vertical="center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66" fontId="17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horizontal="center" vertical="center" wrapText="1"/>
    </xf>
    <xf numFmtId="166" fontId="8" fillId="28" borderId="13" xfId="0" applyNumberFormat="1" applyFont="1" applyFill="1" applyBorder="1" applyAlignment="1" applyProtection="1">
      <alignment vertical="center" wrapText="1"/>
      <protection locked="0"/>
    </xf>
    <xf numFmtId="166" fontId="8" fillId="28" borderId="14" xfId="0" applyNumberFormat="1" applyFont="1" applyFill="1" applyBorder="1" applyAlignment="1" applyProtection="1">
      <alignment vertical="center" wrapText="1"/>
      <protection locked="0"/>
    </xf>
    <xf numFmtId="166" fontId="8" fillId="30" borderId="13" xfId="0" applyNumberFormat="1" applyFont="1" applyFill="1" applyBorder="1" applyAlignment="1" applyProtection="1">
      <alignment vertical="center" wrapText="1"/>
      <protection locked="0"/>
    </xf>
    <xf numFmtId="166" fontId="8" fillId="30" borderId="14" xfId="0" applyNumberFormat="1" applyFont="1" applyFill="1" applyBorder="1" applyAlignment="1" applyProtection="1">
      <alignment vertical="center" wrapText="1"/>
      <protection locked="0"/>
    </xf>
    <xf numFmtId="166" fontId="17" fillId="0" borderId="23" xfId="0" applyNumberFormat="1" applyFont="1" applyFill="1" applyBorder="1" applyAlignment="1" applyProtection="1">
      <alignment vertical="center" wrapText="1"/>
      <protection locked="0"/>
    </xf>
    <xf numFmtId="166" fontId="17" fillId="0" borderId="43" xfId="0" applyNumberFormat="1" applyFont="1" applyFill="1" applyBorder="1" applyAlignment="1" applyProtection="1">
      <alignment vertical="center" wrapText="1"/>
      <protection locked="0"/>
    </xf>
    <xf numFmtId="166" fontId="17" fillId="0" borderId="12" xfId="0" applyNumberFormat="1" applyFont="1" applyFill="1" applyBorder="1" applyAlignment="1" applyProtection="1">
      <alignment vertical="center" wrapText="1"/>
      <protection/>
    </xf>
    <xf numFmtId="166" fontId="8" fillId="0" borderId="29" xfId="0" applyNumberFormat="1" applyFont="1" applyFill="1" applyBorder="1" applyAlignment="1" applyProtection="1">
      <alignment vertical="center" wrapText="1"/>
      <protection locked="0"/>
    </xf>
    <xf numFmtId="166" fontId="8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27" xfId="0" applyNumberFormat="1" applyFont="1" applyFill="1" applyBorder="1" applyAlignment="1" applyProtection="1">
      <alignment vertical="center" wrapText="1"/>
      <protection/>
    </xf>
    <xf numFmtId="166" fontId="8" fillId="0" borderId="39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9" fillId="0" borderId="13" xfId="0" applyNumberFormat="1" applyFont="1" applyFill="1" applyBorder="1" applyAlignment="1" applyProtection="1">
      <alignment vertical="center" wrapText="1"/>
      <protection locked="0"/>
    </xf>
    <xf numFmtId="166" fontId="9" fillId="0" borderId="14" xfId="0" applyNumberFormat="1" applyFont="1" applyFill="1" applyBorder="1" applyAlignment="1" applyProtection="1">
      <alignment vertical="center" wrapText="1"/>
      <protection/>
    </xf>
    <xf numFmtId="166" fontId="17" fillId="32" borderId="13" xfId="0" applyNumberFormat="1" applyFont="1" applyFill="1" applyBorder="1" applyAlignment="1" applyProtection="1">
      <alignment vertical="center" wrapText="1"/>
      <protection locked="0"/>
    </xf>
    <xf numFmtId="166" fontId="8" fillId="0" borderId="12" xfId="0" applyNumberFormat="1" applyFont="1" applyFill="1" applyBorder="1" applyAlignment="1" applyProtection="1">
      <alignment vertical="center" wrapText="1"/>
      <protection locked="0"/>
    </xf>
    <xf numFmtId="166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32" borderId="13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35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horizontal="right"/>
      <protection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4" fontId="22" fillId="0" borderId="10" xfId="0" applyNumberFormat="1" applyFont="1" applyBorder="1" applyAlignment="1" applyProtection="1">
      <alignment horizontal="right" vertical="center" wrapText="1"/>
      <protection locked="0"/>
    </xf>
    <xf numFmtId="168" fontId="22" fillId="0" borderId="12" xfId="60" applyNumberFormat="1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/>
    </xf>
    <xf numFmtId="4" fontId="22" fillId="0" borderId="29" xfId="0" applyNumberFormat="1" applyFont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9" fillId="0" borderId="44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23" xfId="0" applyFont="1" applyFill="1" applyBorder="1" applyAlignment="1" applyProtection="1">
      <alignment horizontal="left" wrapText="1" indent="1"/>
      <protection/>
    </xf>
    <xf numFmtId="0" fontId="17" fillId="0" borderId="10" xfId="0" applyFont="1" applyFill="1" applyBorder="1" applyAlignment="1" applyProtection="1">
      <alignment horizontal="left" wrapText="1" inden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 applyProtection="1">
      <alignment vertical="center"/>
      <protection locked="0"/>
    </xf>
    <xf numFmtId="166" fontId="9" fillId="0" borderId="10" xfId="0" applyNumberFormat="1" applyFont="1" applyFill="1" applyBorder="1" applyAlignment="1" applyProtection="1">
      <alignment horizontal="center" vertical="center" wrapText="1"/>
      <protection/>
    </xf>
    <xf numFmtId="166" fontId="9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66" fontId="9" fillId="0" borderId="10" xfId="0" applyNumberFormat="1" applyFont="1" applyFill="1" applyBorder="1" applyAlignment="1" applyProtection="1">
      <alignment vertical="center" wrapText="1"/>
      <protection locked="0"/>
    </xf>
    <xf numFmtId="166" fontId="9" fillId="0" borderId="12" xfId="0" applyNumberFormat="1" applyFont="1" applyFill="1" applyBorder="1" applyAlignment="1" applyProtection="1">
      <alignment vertical="center" wrapText="1"/>
      <protection/>
    </xf>
    <xf numFmtId="166" fontId="9" fillId="0" borderId="20" xfId="0" applyNumberFormat="1" applyFont="1" applyFill="1" applyBorder="1" applyAlignment="1" applyProtection="1">
      <alignment vertical="center" wrapText="1"/>
      <protection/>
    </xf>
    <xf numFmtId="166" fontId="9" fillId="0" borderId="12" xfId="0" applyNumberFormat="1" applyFont="1" applyFill="1" applyBorder="1" applyAlignment="1" applyProtection="1">
      <alignment vertical="center" wrapText="1"/>
      <protection/>
    </xf>
    <xf numFmtId="166" fontId="9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45" xfId="0" applyNumberFormat="1" applyFont="1" applyFill="1" applyBorder="1" applyAlignment="1" applyProtection="1">
      <alignment vertical="center" wrapText="1"/>
      <protection locked="0"/>
    </xf>
    <xf numFmtId="166" fontId="9" fillId="0" borderId="20" xfId="0" applyNumberFormat="1" applyFont="1" applyFill="1" applyBorder="1" applyAlignment="1" applyProtection="1">
      <alignment vertical="center" wrapText="1"/>
      <protection/>
    </xf>
    <xf numFmtId="166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17" fillId="0" borderId="0" xfId="0" applyNumberFormat="1" applyFont="1" applyFill="1" applyAlignment="1">
      <alignment horizontal="left" vertical="center" wrapText="1"/>
    </xf>
    <xf numFmtId="0" fontId="17" fillId="0" borderId="23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166" fontId="8" fillId="30" borderId="13" xfId="0" applyNumberFormat="1" applyFont="1" applyFill="1" applyBorder="1" applyAlignment="1" applyProtection="1">
      <alignment horizontal="left" vertical="center" wrapText="1"/>
      <protection locked="0"/>
    </xf>
    <xf numFmtId="166" fontId="17" fillId="0" borderId="10" xfId="82" applyNumberFormat="1" applyFont="1" applyFill="1" applyBorder="1" applyAlignment="1" applyProtection="1">
      <alignment vertical="center" wrapText="1"/>
      <protection locked="0"/>
    </xf>
    <xf numFmtId="166" fontId="9" fillId="0" borderId="29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29" xfId="0" applyNumberFormat="1" applyFont="1" applyFill="1" applyBorder="1" applyAlignment="1" applyProtection="1">
      <alignment vertical="center" wrapText="1"/>
      <protection locked="0"/>
    </xf>
    <xf numFmtId="166" fontId="9" fillId="0" borderId="30" xfId="0" applyNumberFormat="1" applyFont="1" applyFill="1" applyBorder="1" applyAlignment="1" applyProtection="1">
      <alignment vertical="center" wrapText="1"/>
      <protection/>
    </xf>
    <xf numFmtId="166" fontId="9" fillId="0" borderId="30" xfId="0" applyNumberFormat="1" applyFont="1" applyFill="1" applyBorder="1" applyAlignment="1" applyProtection="1">
      <alignment horizontal="right" vertical="center" wrapText="1"/>
      <protection/>
    </xf>
    <xf numFmtId="166" fontId="9" fillId="0" borderId="12" xfId="0" applyNumberFormat="1" applyFont="1" applyFill="1" applyBorder="1" applyAlignment="1" applyProtection="1">
      <alignment horizontal="right" vertical="center" wrapText="1"/>
      <protection/>
    </xf>
    <xf numFmtId="166" fontId="8" fillId="0" borderId="0" xfId="0" applyNumberFormat="1" applyFont="1" applyFill="1" applyAlignment="1">
      <alignment vertical="center" wrapText="1"/>
    </xf>
    <xf numFmtId="166" fontId="8" fillId="28" borderId="21" xfId="0" applyNumberFormat="1" applyFont="1" applyFill="1" applyBorder="1" applyAlignment="1" applyProtection="1">
      <alignment horizontal="center" vertical="center" wrapText="1"/>
      <protection/>
    </xf>
    <xf numFmtId="166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vertical="center"/>
      <protection locked="0"/>
    </xf>
    <xf numFmtId="166" fontId="6" fillId="0" borderId="0" xfId="0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168" fontId="0" fillId="0" borderId="0" xfId="58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0" fillId="0" borderId="0" xfId="58" applyNumberFormat="1" applyFont="1" applyFill="1" applyAlignment="1">
      <alignment horizontal="center" vertical="center"/>
    </xf>
    <xf numFmtId="0" fontId="0" fillId="0" borderId="29" xfId="0" applyFill="1" applyBorder="1" applyAlignment="1" applyProtection="1">
      <alignment horizontal="left" vertical="center" wrapText="1"/>
      <protection locked="0"/>
    </xf>
    <xf numFmtId="41" fontId="1" fillId="0" borderId="3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41" fontId="0" fillId="0" borderId="12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wrapText="1"/>
      <protection locked="0"/>
    </xf>
    <xf numFmtId="41" fontId="1" fillId="0" borderId="12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/>
    </xf>
    <xf numFmtId="41" fontId="0" fillId="0" borderId="20" xfId="0" applyNumberFormat="1" applyFill="1" applyBorder="1" applyAlignment="1">
      <alignment vertical="center"/>
    </xf>
    <xf numFmtId="189" fontId="0" fillId="0" borderId="0" xfId="58" applyNumberFormat="1" applyFont="1" applyFill="1" applyAlignment="1">
      <alignment vertical="center"/>
    </xf>
    <xf numFmtId="3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30" xfId="0" applyNumberFormat="1" applyFont="1" applyFill="1" applyBorder="1" applyAlignment="1" applyProtection="1">
      <alignment vertical="center" wrapText="1"/>
      <protection locked="0"/>
    </xf>
    <xf numFmtId="166" fontId="8" fillId="0" borderId="11" xfId="0" applyNumberFormat="1" applyFont="1" applyFill="1" applyBorder="1" applyAlignment="1" applyProtection="1">
      <alignment horizontal="center" vertical="center" wrapText="1"/>
      <protection/>
    </xf>
    <xf numFmtId="166" fontId="8" fillId="0" borderId="28" xfId="0" applyNumberFormat="1" applyFont="1" applyFill="1" applyBorder="1" applyAlignment="1" applyProtection="1">
      <alignment horizontal="center" vertical="center" wrapText="1"/>
      <protection/>
    </xf>
    <xf numFmtId="166" fontId="8" fillId="0" borderId="16" xfId="0" applyNumberFormat="1" applyFont="1" applyFill="1" applyBorder="1" applyAlignment="1" applyProtection="1">
      <alignment horizontal="center" vertical="center" wrapText="1"/>
      <protection/>
    </xf>
    <xf numFmtId="166" fontId="2" fillId="0" borderId="16" xfId="0" applyNumberFormat="1" applyFont="1" applyFill="1" applyBorder="1" applyAlignment="1" applyProtection="1">
      <alignment horizontal="center" vertical="center" wrapText="1"/>
      <protection/>
    </xf>
    <xf numFmtId="166" fontId="8" fillId="30" borderId="32" xfId="0" applyNumberFormat="1" applyFont="1" applyFill="1" applyBorder="1" applyAlignment="1" applyProtection="1">
      <alignment horizontal="center" vertical="center" wrapText="1"/>
      <protection/>
    </xf>
    <xf numFmtId="166" fontId="8" fillId="30" borderId="21" xfId="0" applyNumberFormat="1" applyFont="1" applyFill="1" applyBorder="1" applyAlignment="1" applyProtection="1">
      <alignment horizontal="center" vertical="center" wrapText="1"/>
      <protection/>
    </xf>
    <xf numFmtId="166" fontId="8" fillId="30" borderId="47" xfId="0" applyNumberFormat="1" applyFont="1" applyFill="1" applyBorder="1" applyAlignment="1" applyProtection="1">
      <alignment horizontal="center" vertical="center" wrapText="1"/>
      <protection/>
    </xf>
    <xf numFmtId="166" fontId="8" fillId="0" borderId="38" xfId="0" applyNumberFormat="1" applyFont="1" applyFill="1" applyBorder="1" applyAlignment="1" applyProtection="1">
      <alignment horizontal="center" vertical="center" wrapText="1"/>
      <protection/>
    </xf>
    <xf numFmtId="166" fontId="8" fillId="0" borderId="25" xfId="0" applyNumberFormat="1" applyFont="1" applyFill="1" applyBorder="1" applyAlignment="1" applyProtection="1">
      <alignment horizontal="center" vertical="center" wrapText="1"/>
      <protection/>
    </xf>
    <xf numFmtId="166" fontId="8" fillId="0" borderId="22" xfId="0" applyNumberFormat="1" applyFont="1" applyFill="1" applyBorder="1" applyAlignment="1" applyProtection="1">
      <alignment horizontal="center" vertical="center" wrapText="1"/>
      <protection/>
    </xf>
    <xf numFmtId="166" fontId="2" fillId="0" borderId="21" xfId="0" applyNumberFormat="1" applyFont="1" applyFill="1" applyBorder="1" applyAlignment="1" applyProtection="1">
      <alignment horizontal="center" vertical="center" wrapText="1"/>
      <protection/>
    </xf>
    <xf numFmtId="166" fontId="9" fillId="0" borderId="11" xfId="0" applyNumberFormat="1" applyFont="1" applyFill="1" applyBorder="1" applyAlignment="1" applyProtection="1">
      <alignment horizontal="center" vertical="center" wrapText="1"/>
      <protection/>
    </xf>
    <xf numFmtId="166" fontId="9" fillId="0" borderId="23" xfId="84" applyNumberFormat="1" applyFont="1" applyFill="1" applyBorder="1" applyAlignment="1" applyProtection="1">
      <alignment horizontal="right" vertical="center" wrapText="1"/>
      <protection locked="0"/>
    </xf>
    <xf numFmtId="166" fontId="2" fillId="0" borderId="19" xfId="84" applyNumberFormat="1" applyFont="1" applyFill="1" applyBorder="1" applyAlignment="1" applyProtection="1">
      <alignment horizontal="right" vertical="center" wrapText="1"/>
      <protection/>
    </xf>
    <xf numFmtId="166" fontId="2" fillId="0" borderId="14" xfId="84" applyNumberFormat="1" applyFont="1" applyFill="1" applyBorder="1" applyAlignment="1" applyProtection="1">
      <alignment horizontal="right" vertical="center" wrapText="1"/>
      <protection/>
    </xf>
    <xf numFmtId="166" fontId="9" fillId="0" borderId="30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24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10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39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12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26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48" xfId="84" applyNumberFormat="1" applyFont="1" applyFill="1" applyBorder="1" applyAlignment="1" applyProtection="1">
      <alignment horizontal="right" vertical="center" wrapText="1"/>
      <protection locked="0"/>
    </xf>
    <xf numFmtId="166" fontId="2" fillId="0" borderId="13" xfId="84" applyNumberFormat="1" applyFont="1" applyFill="1" applyBorder="1" applyAlignment="1" applyProtection="1">
      <alignment horizontal="right" vertical="center" wrapText="1"/>
      <protection/>
    </xf>
    <xf numFmtId="166" fontId="9" fillId="0" borderId="43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40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15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49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50" xfId="84" applyNumberFormat="1" applyFont="1" applyFill="1" applyBorder="1" applyAlignment="1" applyProtection="1">
      <alignment horizontal="right" vertical="center" wrapText="1"/>
      <protection/>
    </xf>
    <xf numFmtId="166" fontId="9" fillId="0" borderId="29" xfId="84" applyNumberFormat="1" applyFont="1" applyFill="1" applyBorder="1" applyAlignment="1" applyProtection="1">
      <alignment horizontal="right" vertical="center" wrapText="1"/>
      <protection/>
    </xf>
    <xf numFmtId="166" fontId="9" fillId="0" borderId="30" xfId="84" applyNumberFormat="1" applyFont="1" applyFill="1" applyBorder="1" applyAlignment="1" applyProtection="1">
      <alignment horizontal="right" vertical="center" wrapText="1"/>
      <protection/>
    </xf>
    <xf numFmtId="166" fontId="9" fillId="0" borderId="15" xfId="84" applyNumberFormat="1" applyFont="1" applyFill="1" applyBorder="1" applyAlignment="1" applyProtection="1">
      <alignment horizontal="right" vertical="center" wrapText="1"/>
      <protection/>
    </xf>
    <xf numFmtId="166" fontId="9" fillId="0" borderId="10" xfId="84" applyNumberFormat="1" applyFont="1" applyFill="1" applyBorder="1" applyAlignment="1" applyProtection="1">
      <alignment horizontal="right" vertical="center" wrapText="1"/>
      <protection/>
    </xf>
    <xf numFmtId="166" fontId="9" fillId="0" borderId="12" xfId="84" applyNumberFormat="1" applyFont="1" applyFill="1" applyBorder="1" applyAlignment="1" applyProtection="1">
      <alignment horizontal="right" vertical="center" wrapText="1"/>
      <protection/>
    </xf>
    <xf numFmtId="166" fontId="9" fillId="0" borderId="18" xfId="84" applyNumberFormat="1" applyFont="1" applyFill="1" applyBorder="1" applyAlignment="1" applyProtection="1">
      <alignment horizontal="right" vertical="center" wrapText="1"/>
      <protection/>
    </xf>
    <xf numFmtId="166" fontId="9" fillId="0" borderId="17" xfId="84" applyNumberFormat="1" applyFont="1" applyFill="1" applyBorder="1" applyAlignment="1" applyProtection="1">
      <alignment horizontal="right" vertical="center" wrapText="1"/>
      <protection/>
    </xf>
    <xf numFmtId="166" fontId="9" fillId="0" borderId="20" xfId="84" applyNumberFormat="1" applyFont="1" applyFill="1" applyBorder="1" applyAlignment="1" applyProtection="1">
      <alignment horizontal="right" vertical="center" wrapText="1"/>
      <protection/>
    </xf>
    <xf numFmtId="166" fontId="9" fillId="0" borderId="17" xfId="84" applyNumberFormat="1" applyFont="1" applyFill="1" applyBorder="1" applyAlignment="1" applyProtection="1">
      <alignment horizontal="right" vertical="center" wrapText="1"/>
      <protection locked="0"/>
    </xf>
    <xf numFmtId="166" fontId="2" fillId="0" borderId="51" xfId="84" applyNumberFormat="1" applyFont="1" applyFill="1" applyBorder="1" applyAlignment="1" applyProtection="1">
      <alignment horizontal="right" vertical="center" wrapText="1"/>
      <protection/>
    </xf>
    <xf numFmtId="166" fontId="2" fillId="0" borderId="52" xfId="84" applyNumberFormat="1" applyFont="1" applyFill="1" applyBorder="1" applyAlignment="1" applyProtection="1">
      <alignment horizontal="right" vertical="center" wrapText="1"/>
      <protection/>
    </xf>
    <xf numFmtId="166" fontId="9" fillId="0" borderId="50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53" xfId="84" applyNumberFormat="1" applyFont="1" applyFill="1" applyBorder="1" applyAlignment="1" applyProtection="1">
      <alignment horizontal="right" vertical="center" wrapText="1"/>
      <protection/>
    </xf>
    <xf numFmtId="166" fontId="9" fillId="0" borderId="12" xfId="84" applyNumberFormat="1" applyFont="1" applyFill="1" applyBorder="1" applyAlignment="1" applyProtection="1">
      <alignment horizontal="right" vertical="center" wrapText="1"/>
      <protection locked="0"/>
    </xf>
    <xf numFmtId="166" fontId="2" fillId="0" borderId="19" xfId="84" applyNumberFormat="1" applyFont="1" applyFill="1" applyBorder="1" applyAlignment="1" applyProtection="1">
      <alignment horizontal="right" vertical="center" wrapText="1"/>
      <protection/>
    </xf>
    <xf numFmtId="166" fontId="2" fillId="0" borderId="14" xfId="84" applyNumberFormat="1" applyFont="1" applyFill="1" applyBorder="1" applyAlignment="1" applyProtection="1">
      <alignment horizontal="right" vertical="center" wrapText="1"/>
      <protection/>
    </xf>
    <xf numFmtId="166" fontId="8" fillId="0" borderId="19" xfId="0" applyNumberFormat="1" applyFont="1" applyBorder="1" applyAlignment="1" applyProtection="1" quotePrefix="1">
      <alignment horizontal="right" vertical="center" wrapText="1"/>
      <protection/>
    </xf>
    <xf numFmtId="166" fontId="8" fillId="0" borderId="14" xfId="0" applyNumberFormat="1" applyFont="1" applyBorder="1" applyAlignment="1" applyProtection="1" quotePrefix="1">
      <alignment horizontal="right" vertical="center" wrapText="1"/>
      <protection/>
    </xf>
    <xf numFmtId="168" fontId="70" fillId="0" borderId="13" xfId="60" applyNumberFormat="1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39" xfId="0" applyFont="1" applyFill="1" applyBorder="1" applyAlignment="1">
      <alignment horizontal="left" wrapText="1"/>
    </xf>
    <xf numFmtId="166" fontId="17" fillId="0" borderId="39" xfId="0" applyNumberFormat="1" applyFont="1" applyFill="1" applyBorder="1" applyAlignment="1" applyProtection="1">
      <alignment horizontal="center" vertical="center" wrapText="1"/>
      <protection/>
    </xf>
    <xf numFmtId="166" fontId="17" fillId="0" borderId="39" xfId="0" applyNumberFormat="1" applyFont="1" applyFill="1" applyBorder="1" applyAlignment="1" applyProtection="1">
      <alignment vertical="center" wrapText="1"/>
      <protection locked="0"/>
    </xf>
    <xf numFmtId="166" fontId="17" fillId="0" borderId="53" xfId="0" applyNumberFormat="1" applyFont="1" applyFill="1" applyBorder="1" applyAlignment="1" applyProtection="1">
      <alignment vertical="center" wrapText="1"/>
      <protection/>
    </xf>
    <xf numFmtId="166" fontId="9" fillId="0" borderId="29" xfId="0" applyNumberFormat="1" applyFont="1" applyFill="1" applyBorder="1" applyAlignment="1" applyProtection="1">
      <alignment horizontal="center" vertical="center" wrapText="1"/>
      <protection/>
    </xf>
    <xf numFmtId="166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84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 locked="0"/>
    </xf>
    <xf numFmtId="166" fontId="29" fillId="0" borderId="10" xfId="84" applyNumberFormat="1" applyFont="1" applyFill="1" applyBorder="1" applyAlignment="1" applyProtection="1">
      <alignment horizontal="right" vertical="center" wrapText="1"/>
      <protection locked="0"/>
    </xf>
    <xf numFmtId="3" fontId="9" fillId="0" borderId="23" xfId="84" applyNumberFormat="1" applyFont="1" applyFill="1" applyBorder="1" applyAlignment="1" applyProtection="1">
      <alignment horizontal="right" vertical="center" wrapText="1"/>
      <protection locked="0"/>
    </xf>
    <xf numFmtId="3" fontId="29" fillId="0" borderId="43" xfId="84" applyNumberFormat="1" applyFont="1" applyFill="1" applyBorder="1" applyAlignment="1" applyProtection="1">
      <alignment horizontal="right" vertical="center" wrapText="1"/>
      <protection locked="0"/>
    </xf>
    <xf numFmtId="3" fontId="29" fillId="0" borderId="12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10" xfId="84" applyNumberFormat="1" applyFont="1" applyFill="1" applyBorder="1" applyAlignment="1" applyProtection="1">
      <alignment horizontal="right" vertical="center" wrapText="1"/>
      <protection locked="0"/>
    </xf>
    <xf numFmtId="166" fontId="9" fillId="0" borderId="17" xfId="84" applyNumberFormat="1" applyFont="1" applyFill="1" applyBorder="1" applyAlignment="1" applyProtection="1">
      <alignment horizontal="right" vertical="center" wrapText="1"/>
      <protection locked="0"/>
    </xf>
    <xf numFmtId="49" fontId="29" fillId="0" borderId="11" xfId="84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left" vertical="center" wrapText="1" indent="1"/>
      <protection/>
    </xf>
    <xf numFmtId="0" fontId="17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26" xfId="0" applyFont="1" applyFill="1" applyBorder="1" applyAlignment="1" applyProtection="1">
      <alignment horizontal="left" vertical="center" wrapText="1" indent="1"/>
      <protection/>
    </xf>
    <xf numFmtId="0" fontId="8" fillId="0" borderId="13" xfId="0" applyFont="1" applyFill="1" applyBorder="1" applyAlignment="1" applyProtection="1">
      <alignment horizontal="left" vertical="center" wrapText="1" indent="1"/>
      <protection/>
    </xf>
    <xf numFmtId="49" fontId="9" fillId="0" borderId="16" xfId="84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45" xfId="84" applyFont="1" applyFill="1" applyBorder="1" applyAlignment="1" applyProtection="1">
      <alignment horizontal="left" vertical="center" wrapText="1" inden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left" vertical="center" wrapText="1" indent="1"/>
      <protection/>
    </xf>
    <xf numFmtId="0" fontId="9" fillId="0" borderId="0" xfId="0" applyFont="1" applyFill="1" applyAlignment="1">
      <alignment vertical="center" wrapText="1"/>
    </xf>
    <xf numFmtId="166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55" xfId="84" applyFont="1" applyFill="1" applyBorder="1" applyAlignment="1" applyProtection="1">
      <alignment horizontal="left" vertical="center" wrapText="1" indent="1"/>
      <protection/>
    </xf>
    <xf numFmtId="166" fontId="2" fillId="0" borderId="55" xfId="84" applyNumberFormat="1" applyFont="1" applyFill="1" applyBorder="1" applyAlignment="1" applyProtection="1">
      <alignment horizontal="right" vertical="center" wrapText="1"/>
      <protection/>
    </xf>
    <xf numFmtId="0" fontId="9" fillId="0" borderId="29" xfId="84" applyFont="1" applyFill="1" applyBorder="1" applyAlignment="1" applyProtection="1">
      <alignment horizontal="left" vertical="center" wrapText="1" indent="1"/>
      <protection/>
    </xf>
    <xf numFmtId="166" fontId="9" fillId="0" borderId="29" xfId="84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84" applyFont="1" applyFill="1" applyBorder="1" applyAlignment="1" applyProtection="1">
      <alignment horizontal="left" vertical="center" wrapText="1" indent="3"/>
      <protection/>
    </xf>
    <xf numFmtId="0" fontId="9" fillId="0" borderId="10" xfId="84" applyFont="1" applyFill="1" applyBorder="1" applyAlignment="1" applyProtection="1">
      <alignment horizontal="left" vertical="center" wrapText="1" indent="2"/>
      <protection/>
    </xf>
    <xf numFmtId="0" fontId="9" fillId="0" borderId="10" xfId="84" applyFont="1" applyFill="1" applyBorder="1" applyAlignment="1" applyProtection="1" quotePrefix="1">
      <alignment horizontal="left" vertical="center" wrapText="1" indent="7"/>
      <protection/>
    </xf>
    <xf numFmtId="0" fontId="9" fillId="0" borderId="10" xfId="84" applyFont="1" applyFill="1" applyBorder="1" applyAlignment="1" applyProtection="1" quotePrefix="1">
      <alignment horizontal="left" vertical="center" wrapText="1" indent="7"/>
      <protection/>
    </xf>
    <xf numFmtId="166" fontId="9" fillId="0" borderId="10" xfId="84" applyNumberFormat="1" applyFont="1" applyFill="1" applyBorder="1" applyAlignment="1" applyProtection="1">
      <alignment horizontal="right" vertical="center" wrapText="1"/>
      <protection/>
    </xf>
    <xf numFmtId="0" fontId="9" fillId="0" borderId="23" xfId="84" applyFont="1" applyFill="1" applyBorder="1" applyAlignment="1" applyProtection="1">
      <alignment horizontal="left" vertical="center" wrapText="1" indent="3"/>
      <protection/>
    </xf>
    <xf numFmtId="0" fontId="9" fillId="0" borderId="26" xfId="84" applyFont="1" applyFill="1" applyBorder="1" applyAlignment="1" applyProtection="1">
      <alignment horizontal="left" vertical="center" wrapText="1" indent="3"/>
      <protection/>
    </xf>
    <xf numFmtId="0" fontId="9" fillId="0" borderId="10" xfId="84" applyFont="1" applyFill="1" applyBorder="1" applyAlignment="1" applyProtection="1">
      <alignment horizontal="left" indent="5"/>
      <protection/>
    </xf>
    <xf numFmtId="166" fontId="2" fillId="0" borderId="13" xfId="84" applyNumberFormat="1" applyFont="1" applyFill="1" applyBorder="1" applyAlignment="1" applyProtection="1">
      <alignment horizontal="right" vertical="center" wrapText="1"/>
      <protection/>
    </xf>
    <xf numFmtId="16" fontId="9" fillId="0" borderId="0" xfId="0" applyNumberFormat="1" applyFont="1" applyFill="1" applyAlignment="1">
      <alignment vertical="center" wrapText="1"/>
    </xf>
    <xf numFmtId="166" fontId="8" fillId="0" borderId="13" xfId="0" applyNumberFormat="1" applyFont="1" applyFill="1" applyBorder="1" applyAlignment="1" applyProtection="1" quotePrefix="1">
      <alignment horizontal="right" vertical="center" wrapText="1"/>
      <protection/>
    </xf>
    <xf numFmtId="166" fontId="7" fillId="0" borderId="49" xfId="0" applyNumberFormat="1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>
      <alignment horizontal="center" vertical="center" wrapText="1"/>
    </xf>
    <xf numFmtId="0" fontId="7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>
      <alignment horizontal="right" vertical="center"/>
    </xf>
    <xf numFmtId="0" fontId="8" fillId="0" borderId="31" xfId="78" applyFont="1" applyFill="1" applyBorder="1" applyAlignment="1">
      <alignment horizontal="center" vertical="center" wrapText="1"/>
      <protection/>
    </xf>
    <xf numFmtId="3" fontId="8" fillId="0" borderId="32" xfId="78" applyNumberFormat="1" applyFont="1" applyFill="1" applyBorder="1" applyAlignment="1">
      <alignment horizontal="center" vertical="center" wrapText="1"/>
      <protection/>
    </xf>
    <xf numFmtId="0" fontId="8" fillId="0" borderId="0" xfId="78" applyFont="1" applyFill="1" applyAlignment="1">
      <alignment horizontal="center" vertical="center"/>
      <protection/>
    </xf>
    <xf numFmtId="0" fontId="9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57" xfId="78" applyFont="1" applyFill="1" applyBorder="1" applyAlignment="1">
      <alignment horizontal="center" vertical="center" wrapText="1"/>
      <protection/>
    </xf>
    <xf numFmtId="0" fontId="17" fillId="0" borderId="57" xfId="78" applyFont="1" applyFill="1" applyBorder="1" applyAlignment="1">
      <alignment horizontal="left" vertical="center" wrapText="1"/>
      <protection/>
    </xf>
    <xf numFmtId="3" fontId="17" fillId="0" borderId="57" xfId="78" applyNumberFormat="1" applyFont="1" applyFill="1" applyBorder="1" applyAlignment="1">
      <alignment horizontal="right" vertical="center" wrapText="1"/>
      <protection/>
    </xf>
    <xf numFmtId="2" fontId="17" fillId="0" borderId="57" xfId="78" applyNumberFormat="1" applyFont="1" applyFill="1" applyBorder="1" applyAlignment="1">
      <alignment vertical="center"/>
      <protection/>
    </xf>
    <xf numFmtId="0" fontId="17" fillId="0" borderId="0" xfId="78" applyFont="1" applyFill="1" applyAlignment="1">
      <alignment vertical="center"/>
      <protection/>
    </xf>
    <xf numFmtId="0" fontId="17" fillId="0" borderId="34" xfId="78" applyFont="1" applyFill="1" applyBorder="1" applyAlignment="1">
      <alignment horizontal="center" vertical="center" wrapText="1"/>
      <protection/>
    </xf>
    <xf numFmtId="0" fontId="17" fillId="0" borderId="34" xfId="78" applyFont="1" applyFill="1" applyBorder="1" applyAlignment="1">
      <alignment horizontal="left" vertical="center" wrapText="1"/>
      <protection/>
    </xf>
    <xf numFmtId="3" fontId="17" fillId="0" borderId="34" xfId="78" applyNumberFormat="1" applyFont="1" applyFill="1" applyBorder="1" applyAlignment="1">
      <alignment horizontal="right" vertical="center" wrapText="1"/>
      <protection/>
    </xf>
    <xf numFmtId="2" fontId="17" fillId="0" borderId="34" xfId="78" applyNumberFormat="1" applyFont="1" applyFill="1" applyBorder="1" applyAlignment="1">
      <alignment vertical="center"/>
      <protection/>
    </xf>
    <xf numFmtId="0" fontId="17" fillId="0" borderId="36" xfId="78" applyFont="1" applyFill="1" applyBorder="1" applyAlignment="1">
      <alignment horizontal="center" vertical="center" wrapText="1"/>
      <protection/>
    </xf>
    <xf numFmtId="0" fontId="17" fillId="0" borderId="36" xfId="78" applyFont="1" applyFill="1" applyBorder="1" applyAlignment="1">
      <alignment horizontal="left" vertical="center" wrapText="1"/>
      <protection/>
    </xf>
    <xf numFmtId="3" fontId="17" fillId="0" borderId="36" xfId="78" applyNumberFormat="1" applyFont="1" applyFill="1" applyBorder="1" applyAlignment="1">
      <alignment horizontal="right" vertical="center" wrapText="1"/>
      <protection/>
    </xf>
    <xf numFmtId="2" fontId="8" fillId="0" borderId="36" xfId="78" applyNumberFormat="1" applyFont="1" applyFill="1" applyBorder="1" applyAlignment="1">
      <alignment horizontal="right" vertical="center"/>
      <protection/>
    </xf>
    <xf numFmtId="0" fontId="8" fillId="0" borderId="31" xfId="78" applyFont="1" applyFill="1" applyBorder="1" applyAlignment="1">
      <alignment horizontal="left" vertical="center" wrapText="1"/>
      <protection/>
    </xf>
    <xf numFmtId="3" fontId="8" fillId="0" borderId="31" xfId="78" applyNumberFormat="1" applyFont="1" applyFill="1" applyBorder="1" applyAlignment="1">
      <alignment horizontal="right" vertical="center" wrapText="1"/>
      <protection/>
    </xf>
    <xf numFmtId="2" fontId="8" fillId="0" borderId="31" xfId="78" applyNumberFormat="1" applyFont="1" applyFill="1" applyBorder="1" applyAlignment="1">
      <alignment vertical="center"/>
      <protection/>
    </xf>
    <xf numFmtId="3" fontId="17" fillId="0" borderId="57" xfId="60" applyNumberFormat="1" applyFont="1" applyFill="1" applyBorder="1" applyAlignment="1">
      <alignment horizontal="right" vertical="center" wrapText="1"/>
    </xf>
    <xf numFmtId="3" fontId="17" fillId="0" borderId="34" xfId="60" applyNumberFormat="1" applyFont="1" applyFill="1" applyBorder="1" applyAlignment="1">
      <alignment horizontal="right" vertical="center" wrapText="1"/>
    </xf>
    <xf numFmtId="2" fontId="8" fillId="0" borderId="34" xfId="78" applyNumberFormat="1" applyFont="1" applyFill="1" applyBorder="1" applyAlignment="1">
      <alignment horizontal="right" vertical="center"/>
      <protection/>
    </xf>
    <xf numFmtId="3" fontId="17" fillId="0" borderId="36" xfId="60" applyNumberFormat="1" applyFont="1" applyFill="1" applyBorder="1" applyAlignment="1">
      <alignment horizontal="right" vertical="center" wrapText="1"/>
    </xf>
    <xf numFmtId="2" fontId="17" fillId="0" borderId="34" xfId="78" applyNumberFormat="1" applyFont="1" applyFill="1" applyBorder="1" applyAlignment="1">
      <alignment horizontal="right" vertical="center"/>
      <protection/>
    </xf>
    <xf numFmtId="0" fontId="17" fillId="0" borderId="58" xfId="78" applyFont="1" applyFill="1" applyBorder="1" applyAlignment="1">
      <alignment horizontal="center" vertical="center" wrapText="1"/>
      <protection/>
    </xf>
    <xf numFmtId="2" fontId="17" fillId="0" borderId="36" xfId="78" applyNumberFormat="1" applyFont="1" applyFill="1" applyBorder="1" applyAlignment="1">
      <alignment horizontal="right" vertical="center"/>
      <protection/>
    </xf>
    <xf numFmtId="0" fontId="17" fillId="0" borderId="59" xfId="78" applyFont="1" applyFill="1" applyBorder="1" applyAlignment="1">
      <alignment horizontal="center" vertical="center" wrapText="1"/>
      <protection/>
    </xf>
    <xf numFmtId="2" fontId="8" fillId="0" borderId="57" xfId="78" applyNumberFormat="1" applyFont="1" applyFill="1" applyBorder="1" applyAlignment="1">
      <alignment horizontal="right" vertical="center"/>
      <protection/>
    </xf>
    <xf numFmtId="2" fontId="8" fillId="0" borderId="31" xfId="78" applyNumberFormat="1" applyFont="1" applyFill="1" applyBorder="1" applyAlignment="1">
      <alignment horizontal="right" vertical="center"/>
      <protection/>
    </xf>
    <xf numFmtId="0" fontId="8" fillId="0" borderId="36" xfId="78" applyFont="1" applyFill="1" applyBorder="1" applyAlignment="1">
      <alignment horizontal="center" vertical="center" wrapText="1"/>
      <protection/>
    </xf>
    <xf numFmtId="0" fontId="17" fillId="0" borderId="59" xfId="78" applyFont="1" applyFill="1" applyBorder="1" applyAlignment="1">
      <alignment horizontal="left" vertical="center" wrapText="1"/>
      <protection/>
    </xf>
    <xf numFmtId="3" fontId="17" fillId="0" borderId="59" xfId="78" applyNumberFormat="1" applyFont="1" applyFill="1" applyBorder="1" applyAlignment="1">
      <alignment horizontal="right" vertical="center" wrapText="1"/>
      <protection/>
    </xf>
    <xf numFmtId="2" fontId="8" fillId="0" borderId="59" xfId="78" applyNumberFormat="1" applyFont="1" applyFill="1" applyBorder="1" applyAlignment="1">
      <alignment horizontal="right" vertical="center"/>
      <protection/>
    </xf>
    <xf numFmtId="2" fontId="17" fillId="0" borderId="31" xfId="78" applyNumberFormat="1" applyFont="1" applyFill="1" applyBorder="1" applyAlignment="1">
      <alignment horizontal="right" vertical="center"/>
      <protection/>
    </xf>
    <xf numFmtId="0" fontId="17" fillId="0" borderId="60" xfId="78" applyFont="1" applyFill="1" applyBorder="1" applyAlignment="1">
      <alignment horizontal="left" vertical="center" wrapText="1"/>
      <protection/>
    </xf>
    <xf numFmtId="3" fontId="17" fillId="0" borderId="60" xfId="78" applyNumberFormat="1" applyFont="1" applyFill="1" applyBorder="1" applyAlignment="1">
      <alignment horizontal="right" vertical="center" wrapText="1"/>
      <protection/>
    </xf>
    <xf numFmtId="2" fontId="17" fillId="0" borderId="60" xfId="78" applyNumberFormat="1" applyFont="1" applyFill="1" applyBorder="1" applyAlignment="1">
      <alignment vertical="center"/>
      <protection/>
    </xf>
    <xf numFmtId="2" fontId="8" fillId="0" borderId="60" xfId="78" applyNumberFormat="1" applyFont="1" applyFill="1" applyBorder="1" applyAlignment="1">
      <alignment horizontal="right" vertical="center"/>
      <protection/>
    </xf>
    <xf numFmtId="2" fontId="17" fillId="0" borderId="57" xfId="78" applyNumberFormat="1" applyFont="1" applyFill="1" applyBorder="1" applyAlignment="1">
      <alignment horizontal="right" vertical="center"/>
      <protection/>
    </xf>
    <xf numFmtId="0" fontId="9" fillId="0" borderId="35" xfId="0" applyFont="1" applyBorder="1" applyAlignment="1">
      <alignment/>
    </xf>
    <xf numFmtId="4" fontId="17" fillId="0" borderId="34" xfId="78" applyNumberFormat="1" applyFont="1" applyFill="1" applyBorder="1" applyAlignment="1">
      <alignment horizontal="right" vertical="center"/>
      <protection/>
    </xf>
    <xf numFmtId="0" fontId="9" fillId="0" borderId="61" xfId="0" applyFont="1" applyBorder="1" applyAlignment="1">
      <alignment/>
    </xf>
    <xf numFmtId="0" fontId="2" fillId="0" borderId="31" xfId="0" applyFont="1" applyBorder="1" applyAlignment="1">
      <alignment/>
    </xf>
    <xf numFmtId="0" fontId="9" fillId="0" borderId="62" xfId="0" applyFont="1" applyBorder="1" applyAlignment="1">
      <alignment/>
    </xf>
    <xf numFmtId="0" fontId="2" fillId="0" borderId="32" xfId="0" applyFont="1" applyBorder="1" applyAlignment="1">
      <alignment/>
    </xf>
    <xf numFmtId="0" fontId="17" fillId="0" borderId="62" xfId="78" applyFont="1" applyFill="1" applyBorder="1" applyAlignment="1">
      <alignment horizontal="left" vertical="center" wrapText="1"/>
      <protection/>
    </xf>
    <xf numFmtId="2" fontId="8" fillId="0" borderId="63" xfId="78" applyNumberFormat="1" applyFont="1" applyFill="1" applyBorder="1" applyAlignment="1">
      <alignment horizontal="right" vertical="center"/>
      <protection/>
    </xf>
    <xf numFmtId="0" fontId="17" fillId="0" borderId="44" xfId="78" applyFont="1" applyFill="1" applyBorder="1" applyAlignment="1">
      <alignment horizontal="left" vertical="center" wrapText="1"/>
      <protection/>
    </xf>
    <xf numFmtId="3" fontId="17" fillId="0" borderId="64" xfId="78" applyNumberFormat="1" applyFont="1" applyFill="1" applyBorder="1" applyAlignment="1">
      <alignment horizontal="right" vertical="center" wrapText="1"/>
      <protection/>
    </xf>
    <xf numFmtId="2" fontId="17" fillId="0" borderId="36" xfId="78" applyNumberFormat="1" applyFont="1" applyFill="1" applyBorder="1" applyAlignment="1">
      <alignment vertical="center"/>
      <protection/>
    </xf>
    <xf numFmtId="2" fontId="17" fillId="0" borderId="59" xfId="78" applyNumberFormat="1" applyFont="1" applyFill="1" applyBorder="1" applyAlignment="1">
      <alignment vertical="center"/>
      <protection/>
    </xf>
    <xf numFmtId="0" fontId="17" fillId="0" borderId="57" xfId="78" applyFont="1" applyBorder="1" applyAlignment="1">
      <alignment horizontal="left" vertical="center" wrapText="1"/>
      <protection/>
    </xf>
    <xf numFmtId="3" fontId="17" fillId="0" borderId="57" xfId="78" applyNumberFormat="1" applyFont="1" applyBorder="1" applyAlignment="1">
      <alignment horizontal="right" vertical="center" wrapText="1"/>
      <protection/>
    </xf>
    <xf numFmtId="0" fontId="17" fillId="0" borderId="0" xfId="78" applyFont="1" applyAlignment="1">
      <alignment vertical="center"/>
      <protection/>
    </xf>
    <xf numFmtId="0" fontId="17" fillId="0" borderId="34" xfId="78" applyFont="1" applyBorder="1" applyAlignment="1">
      <alignment horizontal="left" vertical="center" wrapText="1"/>
      <protection/>
    </xf>
    <xf numFmtId="3" fontId="17" fillId="0" borderId="34" xfId="78" applyNumberFormat="1" applyFont="1" applyBorder="1" applyAlignment="1">
      <alignment horizontal="right" vertical="center" wrapText="1"/>
      <protection/>
    </xf>
    <xf numFmtId="0" fontId="8" fillId="0" borderId="31" xfId="78" applyFont="1" applyBorder="1" applyAlignment="1">
      <alignment horizontal="left" vertical="center" wrapText="1"/>
      <protection/>
    </xf>
    <xf numFmtId="3" fontId="8" fillId="0" borderId="31" xfId="78" applyNumberFormat="1" applyFont="1" applyBorder="1" applyAlignment="1">
      <alignment horizontal="right" vertical="center" wrapText="1"/>
      <protection/>
    </xf>
    <xf numFmtId="0" fontId="17" fillId="0" borderId="36" xfId="78" applyFont="1" applyBorder="1" applyAlignment="1">
      <alignment horizontal="left" vertical="center" wrapText="1"/>
      <protection/>
    </xf>
    <xf numFmtId="3" fontId="17" fillId="0" borderId="36" xfId="78" applyNumberFormat="1" applyFont="1" applyBorder="1" applyAlignment="1">
      <alignment horizontal="right" vertical="center" wrapText="1"/>
      <protection/>
    </xf>
    <xf numFmtId="0" fontId="8" fillId="0" borderId="0" xfId="78" applyFont="1" applyFill="1" applyBorder="1" applyAlignment="1">
      <alignment horizontal="center" vertical="center" wrapText="1"/>
      <protection/>
    </xf>
    <xf numFmtId="2" fontId="17" fillId="0" borderId="0" xfId="78" applyNumberFormat="1" applyFont="1" applyAlignment="1">
      <alignment vertical="center"/>
      <protection/>
    </xf>
    <xf numFmtId="0" fontId="72" fillId="0" borderId="0" xfId="0" applyFont="1" applyFill="1" applyAlignment="1">
      <alignment vertical="center"/>
    </xf>
    <xf numFmtId="3" fontId="17" fillId="0" borderId="0" xfId="78" applyNumberFormat="1" applyFont="1" applyFill="1" applyAlignment="1">
      <alignment vertical="center"/>
      <protection/>
    </xf>
    <xf numFmtId="166" fontId="9" fillId="0" borderId="65" xfId="84" applyNumberFormat="1" applyFont="1" applyFill="1" applyBorder="1" applyAlignment="1" applyProtection="1">
      <alignment horizontal="right" vertical="center" wrapText="1"/>
      <protection/>
    </xf>
    <xf numFmtId="166" fontId="9" fillId="0" borderId="15" xfId="84" applyNumberFormat="1" applyFont="1" applyFill="1" applyBorder="1" applyAlignment="1" applyProtection="1">
      <alignment horizontal="right" vertical="center" wrapText="1"/>
      <protection locked="0"/>
    </xf>
    <xf numFmtId="166" fontId="17" fillId="0" borderId="28" xfId="77" applyNumberFormat="1" applyFont="1" applyFill="1" applyBorder="1" applyAlignment="1" applyProtection="1">
      <alignment horizontal="center" vertical="center" wrapText="1"/>
      <protection/>
    </xf>
    <xf numFmtId="166" fontId="17" fillId="0" borderId="29" xfId="77" applyNumberFormat="1" applyFont="1" applyFill="1" applyBorder="1" applyAlignment="1" applyProtection="1">
      <alignment horizontal="left" vertical="center" wrapText="1" indent="1"/>
      <protection/>
    </xf>
    <xf numFmtId="166" fontId="17" fillId="0" borderId="29" xfId="77" applyNumberFormat="1" applyFont="1" applyFill="1" applyBorder="1" applyAlignment="1" applyProtection="1">
      <alignment horizontal="center" vertical="center" wrapText="1"/>
      <protection/>
    </xf>
    <xf numFmtId="3" fontId="17" fillId="0" borderId="29" xfId="7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0" xfId="77" applyNumberFormat="1" applyFont="1" applyFill="1" applyBorder="1" applyAlignment="1" applyProtection="1">
      <alignment horizontal="right" vertical="center" wrapText="1" indent="1"/>
      <protection/>
    </xf>
    <xf numFmtId="166" fontId="9" fillId="0" borderId="0" xfId="77" applyNumberFormat="1" applyFont="1" applyFill="1" applyAlignment="1">
      <alignment vertical="center" wrapText="1"/>
      <protection/>
    </xf>
    <xf numFmtId="166" fontId="17" fillId="0" borderId="11" xfId="77" applyNumberFormat="1" applyFont="1" applyFill="1" applyBorder="1" applyAlignment="1" applyProtection="1">
      <alignment horizontal="center" vertical="center" wrapText="1"/>
      <protection/>
    </xf>
    <xf numFmtId="166" fontId="17" fillId="0" borderId="10" xfId="77" applyNumberFormat="1" applyFont="1" applyFill="1" applyBorder="1" applyAlignment="1" applyProtection="1">
      <alignment horizontal="left" vertical="center" wrapText="1" indent="1"/>
      <protection/>
    </xf>
    <xf numFmtId="166" fontId="17" fillId="0" borderId="10" xfId="77" applyNumberFormat="1" applyFont="1" applyFill="1" applyBorder="1" applyAlignment="1" applyProtection="1">
      <alignment horizontal="center" vertical="center" wrapText="1"/>
      <protection/>
    </xf>
    <xf numFmtId="3" fontId="17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2" xfId="77" applyNumberFormat="1" applyFont="1" applyFill="1" applyBorder="1" applyAlignment="1" applyProtection="1">
      <alignment horizontal="right" vertical="center" wrapText="1" indent="1"/>
      <protection/>
    </xf>
    <xf numFmtId="166" fontId="17" fillId="0" borderId="22" xfId="77" applyNumberFormat="1" applyFont="1" applyFill="1" applyBorder="1" applyAlignment="1" applyProtection="1">
      <alignment horizontal="center" vertical="center" wrapText="1"/>
      <protection/>
    </xf>
    <xf numFmtId="3" fontId="9" fillId="0" borderId="0" xfId="77" applyNumberFormat="1" applyFont="1" applyFill="1" applyAlignment="1">
      <alignment horizontal="right" vertical="center" wrapText="1" indent="1"/>
      <protection/>
    </xf>
    <xf numFmtId="166" fontId="73" fillId="0" borderId="0" xfId="77" applyNumberFormat="1" applyFont="1" applyFill="1" applyAlignment="1">
      <alignment vertical="center" wrapText="1"/>
      <protection/>
    </xf>
    <xf numFmtId="166" fontId="9" fillId="0" borderId="62" xfId="0" applyNumberFormat="1" applyFont="1" applyFill="1" applyBorder="1" applyAlignment="1" applyProtection="1">
      <alignment horizontal="center" vertical="center" wrapText="1"/>
      <protection/>
    </xf>
    <xf numFmtId="166" fontId="9" fillId="0" borderId="22" xfId="0" applyNumberFormat="1" applyFont="1" applyFill="1" applyBorder="1" applyAlignment="1" applyProtection="1">
      <alignment horizontal="center" vertical="center" wrapText="1"/>
      <protection/>
    </xf>
    <xf numFmtId="166" fontId="9" fillId="0" borderId="23" xfId="0" applyNumberFormat="1" applyFont="1" applyFill="1" applyBorder="1" applyAlignment="1" applyProtection="1">
      <alignment horizontal="left" vertical="center" wrapText="1" indent="1"/>
      <protection/>
    </xf>
    <xf numFmtId="166" fontId="9" fillId="0" borderId="23" xfId="0" applyNumberFormat="1" applyFont="1" applyFill="1" applyBorder="1" applyAlignment="1" applyProtection="1">
      <alignment horizontal="center" vertical="center" wrapText="1"/>
      <protection/>
    </xf>
    <xf numFmtId="166" fontId="9" fillId="0" borderId="23" xfId="0" applyNumberFormat="1" applyFont="1" applyFill="1" applyBorder="1" applyAlignment="1" applyProtection="1">
      <alignment vertical="center" wrapText="1"/>
      <protection locked="0"/>
    </xf>
    <xf numFmtId="166" fontId="9" fillId="0" borderId="24" xfId="0" applyNumberFormat="1" applyFont="1" applyFill="1" applyBorder="1" applyAlignment="1" applyProtection="1">
      <alignment vertical="center" wrapText="1"/>
      <protection/>
    </xf>
    <xf numFmtId="166" fontId="9" fillId="0" borderId="47" xfId="0" applyNumberFormat="1" applyFont="1" applyFill="1" applyBorder="1" applyAlignment="1" applyProtection="1">
      <alignment horizontal="center" vertical="center" wrapText="1"/>
      <protection/>
    </xf>
    <xf numFmtId="166" fontId="2" fillId="0" borderId="54" xfId="0" applyNumberFormat="1" applyFont="1" applyFill="1" applyBorder="1" applyAlignment="1" applyProtection="1">
      <alignment horizontal="center" vertical="center" wrapText="1"/>
      <protection/>
    </xf>
    <xf numFmtId="166" fontId="2" fillId="0" borderId="45" xfId="0" applyNumberFormat="1" applyFont="1" applyFill="1" applyBorder="1" applyAlignment="1" applyProtection="1">
      <alignment horizontal="center" vertical="center" wrapText="1"/>
      <protection/>
    </xf>
    <xf numFmtId="166" fontId="2" fillId="0" borderId="48" xfId="0" applyNumberFormat="1" applyFont="1" applyFill="1" applyBorder="1" applyAlignment="1" applyProtection="1">
      <alignment horizontal="center" vertical="center" wrapText="1"/>
      <protection/>
    </xf>
    <xf numFmtId="166" fontId="8" fillId="0" borderId="66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166" fontId="9" fillId="0" borderId="24" xfId="0" applyNumberFormat="1" applyFont="1" applyFill="1" applyBorder="1" applyAlignment="1" applyProtection="1">
      <alignment vertical="center" wrapText="1"/>
      <protection/>
    </xf>
    <xf numFmtId="166" fontId="9" fillId="32" borderId="23" xfId="0" applyNumberFormat="1" applyFont="1" applyFill="1" applyBorder="1" applyAlignment="1">
      <alignment horizontal="left" vertical="center" wrapText="1" indent="1"/>
    </xf>
    <xf numFmtId="166" fontId="9" fillId="32" borderId="23" xfId="0" applyNumberFormat="1" applyFont="1" applyFill="1" applyBorder="1" applyAlignment="1">
      <alignment horizontal="center" vertical="center" wrapText="1"/>
    </xf>
    <xf numFmtId="166" fontId="9" fillId="32" borderId="23" xfId="0" applyNumberFormat="1" applyFont="1" applyFill="1" applyBorder="1" applyAlignment="1" applyProtection="1">
      <alignment vertical="center" wrapText="1"/>
      <protection locked="0"/>
    </xf>
    <xf numFmtId="166" fontId="9" fillId="32" borderId="10" xfId="0" applyNumberFormat="1" applyFont="1" applyFill="1" applyBorder="1" applyAlignment="1">
      <alignment horizontal="left" vertical="center" wrapText="1" indent="1"/>
    </xf>
    <xf numFmtId="166" fontId="9" fillId="32" borderId="10" xfId="0" applyNumberFormat="1" applyFont="1" applyFill="1" applyBorder="1" applyAlignment="1">
      <alignment horizontal="center" vertical="center" wrapText="1"/>
    </xf>
    <xf numFmtId="166" fontId="9" fillId="32" borderId="10" xfId="0" applyNumberFormat="1" applyFont="1" applyFill="1" applyBorder="1" applyAlignment="1" applyProtection="1">
      <alignment vertical="center" wrapText="1"/>
      <protection locked="0"/>
    </xf>
    <xf numFmtId="166" fontId="9" fillId="32" borderId="10" xfId="0" applyNumberFormat="1" applyFont="1" applyFill="1" applyBorder="1" applyAlignment="1" applyProtection="1">
      <alignment horizontal="left" vertical="center" wrapText="1" indent="1"/>
      <protection/>
    </xf>
    <xf numFmtId="166" fontId="9" fillId="32" borderId="10" xfId="0" applyNumberFormat="1" applyFont="1" applyFill="1" applyBorder="1" applyAlignment="1" applyProtection="1">
      <alignment horizontal="center" vertical="center" wrapText="1"/>
      <protection/>
    </xf>
    <xf numFmtId="166" fontId="9" fillId="32" borderId="10" xfId="0" applyNumberFormat="1" applyFont="1" applyFill="1" applyBorder="1" applyAlignment="1" applyProtection="1">
      <alignment horizontal="right" vertical="center" wrapText="1"/>
      <protection locked="0"/>
    </xf>
    <xf numFmtId="166" fontId="9" fillId="32" borderId="17" xfId="0" applyNumberFormat="1" applyFont="1" applyFill="1" applyBorder="1" applyAlignment="1">
      <alignment horizontal="left" vertical="center" wrapText="1" indent="1"/>
    </xf>
    <xf numFmtId="166" fontId="9" fillId="32" borderId="17" xfId="0" applyNumberFormat="1" applyFont="1" applyFill="1" applyBorder="1" applyAlignment="1">
      <alignment horizontal="center" vertical="center" wrapText="1"/>
    </xf>
    <xf numFmtId="166" fontId="9" fillId="32" borderId="17" xfId="0" applyNumberFormat="1" applyFont="1" applyFill="1" applyBorder="1" applyAlignment="1" applyProtection="1">
      <alignment vertical="center" wrapText="1"/>
      <protection locked="0"/>
    </xf>
    <xf numFmtId="0" fontId="74" fillId="0" borderId="28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166" fontId="17" fillId="32" borderId="10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166" fontId="17" fillId="32" borderId="10" xfId="82" applyNumberFormat="1" applyFont="1" applyFill="1" applyBorder="1" applyAlignment="1" applyProtection="1">
      <alignment vertical="center" wrapText="1"/>
      <protection locked="0"/>
    </xf>
    <xf numFmtId="3" fontId="17" fillId="32" borderId="10" xfId="83" applyNumberFormat="1" applyFont="1" applyFill="1" applyBorder="1" applyAlignment="1">
      <alignment vertical="center"/>
      <protection/>
    </xf>
    <xf numFmtId="166" fontId="17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5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55" xfId="82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52" xfId="0" applyNumberFormat="1" applyFont="1" applyFill="1" applyBorder="1" applyAlignment="1" applyProtection="1">
      <alignment vertical="center" wrapText="1"/>
      <protection/>
    </xf>
    <xf numFmtId="49" fontId="17" fillId="0" borderId="55" xfId="0" applyNumberFormat="1" applyFont="1" applyBorder="1" applyAlignment="1" applyProtection="1">
      <alignment horizontal="center" vertical="center" wrapText="1"/>
      <protection locked="0"/>
    </xf>
    <xf numFmtId="166" fontId="17" fillId="0" borderId="55" xfId="0" applyNumberFormat="1" applyFont="1" applyFill="1" applyBorder="1" applyAlignment="1" applyProtection="1">
      <alignment vertical="center" wrapText="1"/>
      <protection locked="0"/>
    </xf>
    <xf numFmtId="166" fontId="9" fillId="0" borderId="37" xfId="0" applyNumberFormat="1" applyFont="1" applyFill="1" applyBorder="1" applyAlignment="1" applyProtection="1">
      <alignment horizontal="center" vertical="center" wrapText="1"/>
      <protection/>
    </xf>
    <xf numFmtId="166" fontId="9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 applyProtection="1">
      <alignment vertical="center" wrapText="1"/>
      <protection/>
    </xf>
    <xf numFmtId="166" fontId="17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55" xfId="0" applyFont="1" applyFill="1" applyBorder="1" applyAlignment="1">
      <alignment horizontal="center" vertical="center" wrapText="1"/>
    </xf>
    <xf numFmtId="166" fontId="9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3" fontId="9" fillId="0" borderId="55" xfId="0" applyNumberFormat="1" applyFont="1" applyFill="1" applyBorder="1" applyAlignment="1" applyProtection="1">
      <alignment horizontal="right" vertical="center" wrapText="1" indent="2"/>
      <protection locked="0"/>
    </xf>
    <xf numFmtId="166" fontId="9" fillId="0" borderId="37" xfId="0" applyNumberFormat="1" applyFont="1" applyFill="1" applyBorder="1" applyAlignment="1" applyProtection="1">
      <alignment horizontal="center" vertical="center" wrapText="1"/>
      <protection/>
    </xf>
    <xf numFmtId="166" fontId="9" fillId="0" borderId="55" xfId="0" applyNumberFormat="1" applyFont="1" applyFill="1" applyBorder="1" applyAlignment="1" applyProtection="1">
      <alignment horizontal="left" vertical="center" wrapText="1" indent="2"/>
      <protection locked="0"/>
    </xf>
    <xf numFmtId="166" fontId="9" fillId="0" borderId="55" xfId="0" applyNumberFormat="1" applyFont="1" applyFill="1" applyBorder="1" applyAlignment="1" applyProtection="1">
      <alignment vertical="center" wrapText="1"/>
      <protection locked="0"/>
    </xf>
    <xf numFmtId="166" fontId="9" fillId="0" borderId="25" xfId="0" applyNumberFormat="1" applyFont="1" applyFill="1" applyBorder="1" applyAlignment="1" applyProtection="1">
      <alignment horizontal="center" vertical="center" wrapText="1"/>
      <protection/>
    </xf>
    <xf numFmtId="166" fontId="9" fillId="0" borderId="26" xfId="0" applyNumberFormat="1" applyFont="1" applyFill="1" applyBorder="1" applyAlignment="1" applyProtection="1">
      <alignment horizontal="left" vertical="center" wrapText="1" indent="2"/>
      <protection locked="0"/>
    </xf>
    <xf numFmtId="167" fontId="9" fillId="0" borderId="55" xfId="0" applyNumberFormat="1" applyFont="1" applyFill="1" applyBorder="1" applyAlignment="1" applyProtection="1">
      <alignment horizontal="left" vertical="center" wrapText="1" indent="2"/>
      <protection locked="0"/>
    </xf>
    <xf numFmtId="166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166" fontId="9" fillId="0" borderId="0" xfId="77" applyNumberFormat="1" applyFont="1" applyFill="1" applyBorder="1" applyAlignment="1">
      <alignment vertical="center" wrapText="1"/>
      <protection/>
    </xf>
    <xf numFmtId="166" fontId="73" fillId="0" borderId="0" xfId="77" applyNumberFormat="1" applyFont="1" applyFill="1" applyBorder="1" applyAlignment="1">
      <alignment vertical="center" wrapText="1"/>
      <protection/>
    </xf>
    <xf numFmtId="3" fontId="17" fillId="0" borderId="0" xfId="77" applyNumberFormat="1" applyFont="1" applyFill="1" applyBorder="1" applyAlignment="1" applyProtection="1">
      <alignment horizontal="right" vertical="center" wrapText="1" indent="1"/>
      <protection locked="0"/>
    </xf>
    <xf numFmtId="16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23" xfId="77" applyNumberFormat="1" applyFont="1" applyFill="1" applyBorder="1" applyAlignment="1" applyProtection="1">
      <alignment horizontal="left" vertical="center" wrapText="1" indent="1"/>
      <protection/>
    </xf>
    <xf numFmtId="166" fontId="17" fillId="0" borderId="23" xfId="77" applyNumberFormat="1" applyFont="1" applyFill="1" applyBorder="1" applyAlignment="1" applyProtection="1">
      <alignment horizontal="center" vertical="center" wrapText="1"/>
      <protection/>
    </xf>
    <xf numFmtId="3" fontId="17" fillId="0" borderId="23" xfId="7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4" xfId="77" applyNumberFormat="1" applyFont="1" applyFill="1" applyBorder="1" applyAlignment="1" applyProtection="1">
      <alignment horizontal="right" vertical="center" wrapText="1" indent="1"/>
      <protection/>
    </xf>
    <xf numFmtId="3" fontId="7" fillId="0" borderId="40" xfId="0" applyNumberFormat="1" applyFont="1" applyFill="1" applyBorder="1" applyAlignment="1" applyProtection="1">
      <alignment vertical="center" wrapText="1"/>
      <protection locked="0"/>
    </xf>
    <xf numFmtId="3" fontId="7" fillId="0" borderId="23" xfId="0" applyNumberFormat="1" applyFont="1" applyFill="1" applyBorder="1" applyAlignment="1" applyProtection="1">
      <alignment vertical="center" wrapText="1"/>
      <protection locked="0"/>
    </xf>
    <xf numFmtId="3" fontId="7" fillId="0" borderId="43" xfId="0" applyNumberFormat="1" applyFont="1" applyFill="1" applyBorder="1" applyAlignment="1" applyProtection="1">
      <alignment vertical="center" wrapText="1"/>
      <protection locked="0"/>
    </xf>
    <xf numFmtId="3" fontId="17" fillId="0" borderId="15" xfId="77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right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12" fillId="0" borderId="66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66" fontId="2" fillId="0" borderId="50" xfId="84" applyNumberFormat="1" applyFont="1" applyFill="1" applyBorder="1" applyAlignment="1" applyProtection="1">
      <alignment horizontal="center" vertical="center" wrapText="1"/>
      <protection/>
    </xf>
    <xf numFmtId="166" fontId="2" fillId="0" borderId="67" xfId="84" applyNumberFormat="1" applyFont="1" applyFill="1" applyBorder="1" applyAlignment="1" applyProtection="1">
      <alignment horizontal="center" vertical="center" wrapText="1"/>
      <protection/>
    </xf>
    <xf numFmtId="166" fontId="2" fillId="0" borderId="55" xfId="84" applyNumberFormat="1" applyFont="1" applyFill="1" applyBorder="1" applyAlignment="1" applyProtection="1">
      <alignment horizontal="center" vertical="center" wrapText="1"/>
      <protection/>
    </xf>
    <xf numFmtId="166" fontId="2" fillId="0" borderId="56" xfId="84" applyNumberFormat="1" applyFont="1" applyFill="1" applyBorder="1" applyAlignment="1" applyProtection="1">
      <alignment horizontal="center" vertical="center" wrapText="1"/>
      <protection/>
    </xf>
    <xf numFmtId="0" fontId="2" fillId="0" borderId="55" xfId="84" applyFont="1" applyFill="1" applyBorder="1" applyAlignment="1" applyProtection="1">
      <alignment horizontal="center" vertical="center" wrapText="1"/>
      <protection/>
    </xf>
    <xf numFmtId="0" fontId="2" fillId="0" borderId="45" xfId="84" applyFont="1" applyFill="1" applyBorder="1" applyAlignment="1" applyProtection="1">
      <alignment horizontal="center" vertical="center" wrapText="1"/>
      <protection/>
    </xf>
    <xf numFmtId="0" fontId="2" fillId="0" borderId="37" xfId="84" applyFont="1" applyFill="1" applyBorder="1" applyAlignment="1" applyProtection="1">
      <alignment horizontal="center" vertical="center" wrapText="1"/>
      <protection/>
    </xf>
    <xf numFmtId="0" fontId="2" fillId="0" borderId="54" xfId="84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20" xfId="0" applyNumberFormat="1" applyFont="1" applyFill="1" applyBorder="1" applyAlignment="1" applyProtection="1">
      <alignment horizontal="center" vertical="center" wrapText="1"/>
      <protection/>
    </xf>
    <xf numFmtId="166" fontId="8" fillId="30" borderId="32" xfId="0" applyNumberFormat="1" applyFont="1" applyFill="1" applyBorder="1" applyAlignment="1" applyProtection="1">
      <alignment horizontal="left" vertical="center" wrapText="1" indent="2"/>
      <protection/>
    </xf>
    <xf numFmtId="166" fontId="8" fillId="30" borderId="33" xfId="0" applyNumberFormat="1" applyFont="1" applyFill="1" applyBorder="1" applyAlignment="1" applyProtection="1">
      <alignment horizontal="left" vertical="center" wrapText="1" indent="2"/>
      <protection/>
    </xf>
    <xf numFmtId="166" fontId="8" fillId="0" borderId="28" xfId="0" applyNumberFormat="1" applyFont="1" applyFill="1" applyBorder="1" applyAlignment="1" applyProtection="1">
      <alignment horizontal="center" vertical="center" wrapText="1"/>
      <protection/>
    </xf>
    <xf numFmtId="166" fontId="8" fillId="0" borderId="16" xfId="0" applyNumberFormat="1" applyFont="1" applyFill="1" applyBorder="1" applyAlignment="1" applyProtection="1">
      <alignment horizontal="center" vertical="center" wrapText="1"/>
      <protection/>
    </xf>
    <xf numFmtId="166" fontId="8" fillId="0" borderId="29" xfId="0" applyNumberFormat="1" applyFont="1" applyFill="1" applyBorder="1" applyAlignment="1" applyProtection="1">
      <alignment horizontal="center" vertical="center"/>
      <protection/>
    </xf>
    <xf numFmtId="166" fontId="8" fillId="0" borderId="17" xfId="0" applyNumberFormat="1" applyFont="1" applyFill="1" applyBorder="1" applyAlignment="1" applyProtection="1">
      <alignment horizontal="center" vertical="center"/>
      <protection/>
    </xf>
    <xf numFmtId="166" fontId="8" fillId="0" borderId="29" xfId="0" applyNumberFormat="1" applyFont="1" applyFill="1" applyBorder="1" applyAlignment="1" applyProtection="1">
      <alignment horizontal="center" vertical="center" wrapText="1"/>
      <protection/>
    </xf>
    <xf numFmtId="166" fontId="8" fillId="0" borderId="17" xfId="0" applyNumberFormat="1" applyFont="1" applyFill="1" applyBorder="1" applyAlignment="1" applyProtection="1">
      <alignment horizontal="center" vertical="center" wrapText="1"/>
      <protection/>
    </xf>
    <xf numFmtId="166" fontId="2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66" xfId="0" applyNumberFormat="1" applyFont="1" applyFill="1" applyBorder="1" applyAlignment="1" applyProtection="1">
      <alignment horizontal="center" vertical="center"/>
      <protection/>
    </xf>
    <xf numFmtId="166" fontId="3" fillId="0" borderId="0" xfId="0" applyNumberFormat="1" applyFont="1" applyFill="1" applyAlignment="1">
      <alignment horizontal="center" textRotation="180" wrapText="1"/>
    </xf>
    <xf numFmtId="166" fontId="2" fillId="0" borderId="69" xfId="0" applyNumberFormat="1" applyFont="1" applyFill="1" applyBorder="1" applyAlignment="1">
      <alignment horizontal="center" vertical="center" wrapText="1"/>
    </xf>
    <xf numFmtId="166" fontId="2" fillId="0" borderId="64" xfId="0" applyNumberFormat="1" applyFont="1" applyFill="1" applyBorder="1" applyAlignment="1">
      <alignment horizontal="center" vertical="center" wrapText="1"/>
    </xf>
    <xf numFmtId="166" fontId="2" fillId="0" borderId="69" xfId="0" applyNumberFormat="1" applyFont="1" applyFill="1" applyBorder="1" applyAlignment="1">
      <alignment horizontal="center" vertical="center"/>
    </xf>
    <xf numFmtId="166" fontId="2" fillId="0" borderId="64" xfId="0" applyNumberFormat="1" applyFont="1" applyFill="1" applyBorder="1" applyAlignment="1">
      <alignment horizontal="center" vertical="center"/>
    </xf>
    <xf numFmtId="166" fontId="2" fillId="0" borderId="70" xfId="0" applyNumberFormat="1" applyFont="1" applyFill="1" applyBorder="1" applyAlignment="1">
      <alignment horizontal="center" vertical="center" wrapText="1"/>
    </xf>
    <xf numFmtId="166" fontId="2" fillId="0" borderId="47" xfId="0" applyNumberFormat="1" applyFont="1" applyFill="1" applyBorder="1" applyAlignment="1">
      <alignment horizontal="center" vertical="center" wrapText="1"/>
    </xf>
    <xf numFmtId="166" fontId="2" fillId="0" borderId="50" xfId="0" applyNumberFormat="1" applyFont="1" applyFill="1" applyBorder="1" applyAlignment="1">
      <alignment horizontal="center" vertical="center" wrapText="1"/>
    </xf>
    <xf numFmtId="166" fontId="2" fillId="0" borderId="71" xfId="0" applyNumberFormat="1" applyFont="1" applyFill="1" applyBorder="1" applyAlignment="1">
      <alignment horizontal="center" vertical="center" wrapText="1"/>
    </xf>
    <xf numFmtId="166" fontId="2" fillId="0" borderId="72" xfId="0" applyNumberFormat="1" applyFont="1" applyFill="1" applyBorder="1" applyAlignment="1">
      <alignment horizontal="center" vertical="center" wrapText="1"/>
    </xf>
    <xf numFmtId="166" fontId="2" fillId="0" borderId="7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wrapText="1"/>
    </xf>
    <xf numFmtId="166" fontId="9" fillId="0" borderId="0" xfId="0" applyNumberFormat="1" applyFont="1" applyFill="1" applyAlignment="1">
      <alignment horizontal="center" vertical="center" wrapText="1"/>
    </xf>
    <xf numFmtId="0" fontId="11" fillId="0" borderId="66" xfId="0" applyFont="1" applyFill="1" applyBorder="1" applyAlignment="1">
      <alignment horizontal="right"/>
    </xf>
    <xf numFmtId="0" fontId="2" fillId="0" borderId="7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2" fillId="0" borderId="70" xfId="0" applyFont="1" applyFill="1" applyBorder="1" applyAlignment="1" applyProtection="1">
      <alignment horizontal="left" vertical="center" wrapText="1"/>
      <protection/>
    </xf>
    <xf numFmtId="0" fontId="2" fillId="0" borderId="68" xfId="0" applyFont="1" applyFill="1" applyBorder="1" applyAlignment="1" applyProtection="1">
      <alignment horizontal="left" vertical="center" wrapText="1"/>
      <protection/>
    </xf>
    <xf numFmtId="0" fontId="2" fillId="0" borderId="72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2" fontId="8" fillId="0" borderId="69" xfId="78" applyNumberFormat="1" applyFont="1" applyFill="1" applyBorder="1" applyAlignment="1">
      <alignment horizontal="center" vertical="center" wrapText="1"/>
      <protection/>
    </xf>
    <xf numFmtId="2" fontId="8" fillId="0" borderId="64" xfId="78" applyNumberFormat="1" applyFont="1" applyFill="1" applyBorder="1" applyAlignment="1">
      <alignment horizontal="center" vertical="center" wrapText="1"/>
      <protection/>
    </xf>
    <xf numFmtId="0" fontId="8" fillId="0" borderId="32" xfId="78" applyFont="1" applyFill="1" applyBorder="1" applyAlignment="1">
      <alignment horizontal="center" vertical="center" wrapText="1"/>
      <protection/>
    </xf>
    <xf numFmtId="0" fontId="8" fillId="0" borderId="75" xfId="78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</cellXfs>
  <cellStyles count="80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Comma" xfId="58"/>
    <cellStyle name="Comma [0]" xfId="59"/>
    <cellStyle name="Ezres 2" xfId="60"/>
    <cellStyle name="Ezres 2 2" xfId="61"/>
    <cellStyle name="Ezres 3" xfId="62"/>
    <cellStyle name="Ezres 3 2" xfId="63"/>
    <cellStyle name="Ezres 3 3" xfId="64"/>
    <cellStyle name="Figyelmeztetés" xfId="65"/>
    <cellStyle name="Hiperhivatkozás" xfId="66"/>
    <cellStyle name="Hiperhivatkozás 2" xfId="67"/>
    <cellStyle name="Hyperlink" xfId="68"/>
    <cellStyle name="Hivatkozott cella" xfId="69"/>
    <cellStyle name="Jegyzet" xfId="70"/>
    <cellStyle name="Jó" xfId="71"/>
    <cellStyle name="Kimenet" xfId="72"/>
    <cellStyle name="Followed Hyperlink" xfId="73"/>
    <cellStyle name="Magyarázó szöveg" xfId="74"/>
    <cellStyle name="Már látott hiperhivatkozás" xfId="75"/>
    <cellStyle name="Már látott hiperhivatkozás 2" xfId="76"/>
    <cellStyle name="Normál 2" xfId="77"/>
    <cellStyle name="Normál 2 2" xfId="78"/>
    <cellStyle name="Normál 2 3" xfId="79"/>
    <cellStyle name="Normál 3" xfId="80"/>
    <cellStyle name="Normál 4" xfId="81"/>
    <cellStyle name="Normál 5" xfId="82"/>
    <cellStyle name="Normál 8" xfId="83"/>
    <cellStyle name="Normál_KVRENMUNKA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Százalék 2" xfId="92"/>
    <cellStyle name="TableStyleLight1" xfId="9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LTSEGV\2011\&#201;VES%20BESZ&#193;MOL&#211;%202011\Test&#252;leti%20besz&#225;mol&#243;\Beszamolo_melleklet_1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.sz.mell."/>
      <sheetName val="3.Polg.HIv.össz.    "/>
      <sheetName val="4.Polg.HIv. "/>
      <sheetName val="5.Polgári Véd."/>
      <sheetName val="6.Cigány    "/>
      <sheetName val="7.Lengyel"/>
      <sheetName val="8.Ruszin"/>
      <sheetName val="9.Örmény"/>
      <sheetName val="10.Int.össz.    "/>
      <sheetName val="11.VISZ, részben ön."/>
      <sheetName val="12.VISZ"/>
      <sheetName val="13.Humán"/>
      <sheetName val="14.Óvoda"/>
      <sheetName val="15.ÁIAMI"/>
      <sheetName val="16.Eötvös "/>
      <sheetName val="17.Derkovits"/>
      <sheetName val="18.Tűzoltó"/>
      <sheetName val="19.Rendelő"/>
      <sheetName val="20.Polg.hiv."/>
      <sheetName val="21.Városüz."/>
      <sheetName val="22.támogatás"/>
      <sheetName val="23.Szoc. "/>
      <sheetName val="24.felh.felúj."/>
      <sheetName val="25.1.műk. bev.kiad.mérleg"/>
      <sheetName val="25.2.felh. bev. kiad.mérleg"/>
      <sheetName val="26. köt.évenként"/>
      <sheetName val="27.1.beruh."/>
      <sheetName val="27.2.felúj."/>
      <sheetName val=" 28.közv tám. "/>
      <sheetName val="29.hitel  álll."/>
      <sheetName val="30.adósság áll."/>
      <sheetName val="31.nyújtott kölcsön"/>
      <sheetName val="32.egysz.mérleg"/>
      <sheetName val="33.egysz.pénzf."/>
      <sheetName val="34.egysz.pénzm."/>
      <sheetName val="35.1.pénzm"/>
      <sheetName val="35.2.pénzm_köt"/>
      <sheetName val="36.1.mérl_eszk "/>
      <sheetName val="36.2.mérl_források"/>
      <sheetName val="37.1.sz.mell"/>
      <sheetName val="37.2.vagyonk. források"/>
      <sheetName val="37.3.vagyon ért.nélk.eszk."/>
      <sheetName val="37.4.vagyon köt.váll."/>
      <sheetName val="37.5.vagyonkataszter"/>
      <sheetName val="37.5.1.vagyonleltár összesítő"/>
      <sheetName val="37.5.2.kataszter bruttó"/>
      <sheetName val="37.5.3.kataszter becsült"/>
      <sheetName val="37.6.ingó vagyon"/>
      <sheetName val="37.7.vagyoni helyzet al."/>
      <sheetName val="37.8.Vagyoni helyzet mutatói"/>
      <sheetName val="37.9.Pénzügyi helyzet ért."/>
      <sheetName val="38.melléklet KÖZBESZERZÉS"/>
      <sheetName val="39.pénzeszk. vált."/>
      <sheetName val="40.szoc.tám"/>
      <sheetName val="41. üz. átadott eszk. "/>
      <sheetName val="42.önk-i. részv. üzeltrész "/>
      <sheetName val="43.1.TIOP_ Tudásdepó-expressz"/>
      <sheetName val="43.2.ÉMOP_ Rendelő_felúj"/>
      <sheetName val="43.3. TÁMOP_szakképzés"/>
      <sheetName val="43.4. TÁMOP_Isk_tehetseg"/>
      <sheetName val="43.5. TÁMOP_Isk_tehetseg"/>
      <sheetName val="Munka4"/>
      <sheetName val="Munka3"/>
      <sheetName val="Munka1"/>
      <sheetName val="Munka5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zoomScaleSheetLayoutView="130" workbookViewId="0" topLeftCell="A31">
      <selection activeCell="J51" sqref="J51"/>
    </sheetView>
  </sheetViews>
  <sheetFormatPr defaultColWidth="9.00390625" defaultRowHeight="12.75"/>
  <cols>
    <col min="1" max="1" width="11.00390625" style="241" customWidth="1"/>
    <col min="2" max="2" width="71.875" style="242" customWidth="1"/>
    <col min="3" max="3" width="15.375" style="243" customWidth="1"/>
    <col min="4" max="4" width="16.125" style="243" customWidth="1"/>
    <col min="5" max="5" width="16.00390625" style="243" customWidth="1"/>
    <col min="6" max="16384" width="9.375" style="244" customWidth="1"/>
  </cols>
  <sheetData>
    <row r="1" spans="1:5" s="230" customFormat="1" ht="12.75" customHeight="1" thickBot="1">
      <c r="A1" s="564" t="s">
        <v>659</v>
      </c>
      <c r="B1" s="564"/>
      <c r="C1" s="564"/>
      <c r="D1" s="564"/>
      <c r="E1" s="564"/>
    </row>
    <row r="2" spans="1:15" s="232" customFormat="1" ht="15.75" customHeight="1">
      <c r="A2" s="565" t="s">
        <v>56</v>
      </c>
      <c r="B2" s="562" t="s">
        <v>606</v>
      </c>
      <c r="C2" s="562" t="s">
        <v>773</v>
      </c>
      <c r="D2" s="560" t="s">
        <v>863</v>
      </c>
      <c r="E2" s="561"/>
      <c r="F2" s="231"/>
      <c r="G2" s="559"/>
      <c r="H2" s="559"/>
      <c r="I2" s="559"/>
      <c r="J2" s="559"/>
      <c r="K2" s="559"/>
      <c r="L2" s="559"/>
      <c r="M2" s="559"/>
      <c r="N2" s="559"/>
      <c r="O2" s="559"/>
    </row>
    <row r="3" spans="1:15" s="232" customFormat="1" ht="32.25" customHeight="1" thickBot="1">
      <c r="A3" s="566"/>
      <c r="B3" s="563"/>
      <c r="C3" s="563"/>
      <c r="D3" s="143" t="s">
        <v>627</v>
      </c>
      <c r="E3" s="233" t="s">
        <v>628</v>
      </c>
      <c r="F3" s="231"/>
      <c r="G3" s="559"/>
      <c r="H3" s="559"/>
      <c r="I3" s="559"/>
      <c r="J3" s="559"/>
      <c r="K3" s="559"/>
      <c r="L3" s="559"/>
      <c r="M3" s="559"/>
      <c r="N3" s="559"/>
      <c r="O3" s="559"/>
    </row>
    <row r="4" spans="1:6" s="232" customFormat="1" ht="15.75" customHeight="1" thickBot="1">
      <c r="A4" s="116" t="s">
        <v>61</v>
      </c>
      <c r="B4" s="117" t="s">
        <v>62</v>
      </c>
      <c r="C4" s="118" t="s">
        <v>63</v>
      </c>
      <c r="D4" s="117" t="s">
        <v>64</v>
      </c>
      <c r="E4" s="234" t="s">
        <v>65</v>
      </c>
      <c r="F4" s="231"/>
    </row>
    <row r="5" spans="1:6" s="232" customFormat="1" ht="12.75" customHeight="1" thickBot="1">
      <c r="A5" s="119" t="s">
        <v>1</v>
      </c>
      <c r="B5" s="120" t="s">
        <v>797</v>
      </c>
      <c r="C5" s="312">
        <f>C13+C14+C15+C16+C17</f>
        <v>2844545050</v>
      </c>
      <c r="D5" s="312">
        <f>D13+D14+D15+D16+D17</f>
        <v>2817102923</v>
      </c>
      <c r="E5" s="313">
        <f>E13+E14+E15+E16+E17</f>
        <v>2901020355</v>
      </c>
      <c r="F5" s="231"/>
    </row>
    <row r="6" spans="1:6" s="236" customFormat="1" ht="12.75" customHeight="1">
      <c r="A6" s="121" t="s">
        <v>507</v>
      </c>
      <c r="B6" s="239" t="s">
        <v>508</v>
      </c>
      <c r="C6" s="311">
        <v>337342098</v>
      </c>
      <c r="D6" s="358">
        <v>359573768</v>
      </c>
      <c r="E6" s="314">
        <v>359573768</v>
      </c>
      <c r="F6" s="235"/>
    </row>
    <row r="7" spans="1:6" s="238" customFormat="1" ht="12.75" customHeight="1">
      <c r="A7" s="123" t="s">
        <v>509</v>
      </c>
      <c r="B7" s="240" t="s">
        <v>798</v>
      </c>
      <c r="C7" s="311">
        <v>377355225</v>
      </c>
      <c r="D7" s="358">
        <v>426022552</v>
      </c>
      <c r="E7" s="315">
        <v>426022552</v>
      </c>
      <c r="F7" s="237"/>
    </row>
    <row r="8" spans="1:6" s="238" customFormat="1" ht="12">
      <c r="A8" s="123" t="s">
        <v>510</v>
      </c>
      <c r="B8" s="240" t="s">
        <v>700</v>
      </c>
      <c r="C8" s="316">
        <v>475338616</v>
      </c>
      <c r="D8" s="358">
        <v>558099828</v>
      </c>
      <c r="E8" s="315">
        <v>558099828</v>
      </c>
      <c r="F8" s="237"/>
    </row>
    <row r="9" spans="1:6" s="238" customFormat="1" ht="12">
      <c r="A9" s="123" t="s">
        <v>511</v>
      </c>
      <c r="B9" s="240" t="s">
        <v>701</v>
      </c>
      <c r="C9" s="311">
        <v>128980149</v>
      </c>
      <c r="D9" s="358">
        <v>166650023</v>
      </c>
      <c r="E9" s="315">
        <v>166650023</v>
      </c>
      <c r="F9" s="237"/>
    </row>
    <row r="10" spans="1:6" s="238" customFormat="1" ht="12.75" customHeight="1">
      <c r="A10" s="123" t="s">
        <v>513</v>
      </c>
      <c r="B10" s="240" t="s">
        <v>512</v>
      </c>
      <c r="C10" s="311">
        <v>38400050</v>
      </c>
      <c r="D10" s="358">
        <v>65030355</v>
      </c>
      <c r="E10" s="315">
        <v>65030355</v>
      </c>
      <c r="F10" s="237"/>
    </row>
    <row r="11" spans="1:6" s="238" customFormat="1" ht="12.75" customHeight="1">
      <c r="A11" s="125" t="s">
        <v>515</v>
      </c>
      <c r="B11" s="240" t="s">
        <v>514</v>
      </c>
      <c r="C11" s="311">
        <v>157105024</v>
      </c>
      <c r="D11" s="358">
        <v>0</v>
      </c>
      <c r="E11" s="315">
        <v>0</v>
      </c>
      <c r="F11" s="237"/>
    </row>
    <row r="12" spans="1:6" s="236" customFormat="1" ht="12.75" customHeight="1">
      <c r="A12" s="125" t="s">
        <v>799</v>
      </c>
      <c r="B12" s="240" t="s">
        <v>516</v>
      </c>
      <c r="C12" s="317">
        <v>1310373</v>
      </c>
      <c r="D12" s="358">
        <v>23807120</v>
      </c>
      <c r="E12" s="318">
        <v>23807120</v>
      </c>
      <c r="F12" s="235"/>
    </row>
    <row r="13" spans="1:6" s="236" customFormat="1" ht="12.75" customHeight="1">
      <c r="A13" s="363" t="s">
        <v>800</v>
      </c>
      <c r="B13" s="364" t="s">
        <v>775</v>
      </c>
      <c r="C13" s="357">
        <f>SUM(C6:C12)</f>
        <v>1515831535</v>
      </c>
      <c r="D13" s="359">
        <f>SUM(D6:D12)</f>
        <v>1599183646</v>
      </c>
      <c r="E13" s="360">
        <f>SUM(E6:E12)</f>
        <v>1599183646</v>
      </c>
      <c r="F13" s="235"/>
    </row>
    <row r="14" spans="1:6" s="236" customFormat="1" ht="12.75" customHeight="1">
      <c r="A14" s="121" t="s">
        <v>801</v>
      </c>
      <c r="B14" s="122" t="s">
        <v>518</v>
      </c>
      <c r="C14" s="311">
        <v>0</v>
      </c>
      <c r="D14" s="311"/>
      <c r="E14" s="315">
        <v>0</v>
      </c>
      <c r="F14" s="235"/>
    </row>
    <row r="15" spans="1:6" s="236" customFormat="1" ht="12.75" customHeight="1">
      <c r="A15" s="121" t="s">
        <v>802</v>
      </c>
      <c r="B15" s="124" t="s">
        <v>520</v>
      </c>
      <c r="C15" s="311">
        <v>0</v>
      </c>
      <c r="D15" s="316"/>
      <c r="E15" s="315">
        <v>0</v>
      </c>
      <c r="F15" s="235"/>
    </row>
    <row r="16" spans="1:6" s="236" customFormat="1" ht="12.75" customHeight="1">
      <c r="A16" s="121" t="s">
        <v>803</v>
      </c>
      <c r="B16" s="124" t="s">
        <v>522</v>
      </c>
      <c r="C16" s="311"/>
      <c r="D16" s="316"/>
      <c r="E16" s="315"/>
      <c r="F16" s="235"/>
    </row>
    <row r="17" spans="1:6" s="236" customFormat="1" ht="12.75" customHeight="1">
      <c r="A17" s="121" t="s">
        <v>804</v>
      </c>
      <c r="B17" s="124" t="s">
        <v>523</v>
      </c>
      <c r="C17" s="316">
        <v>1328713515</v>
      </c>
      <c r="D17" s="316">
        <v>1217919277</v>
      </c>
      <c r="E17" s="315">
        <v>1301836709</v>
      </c>
      <c r="F17" s="235"/>
    </row>
    <row r="18" spans="1:6" s="238" customFormat="1" ht="12.75" customHeight="1" thickBot="1">
      <c r="A18" s="121" t="s">
        <v>805</v>
      </c>
      <c r="B18" s="133" t="s">
        <v>806</v>
      </c>
      <c r="C18" s="319"/>
      <c r="D18" s="319">
        <v>16489854</v>
      </c>
      <c r="E18" s="320">
        <v>16489854</v>
      </c>
      <c r="F18" s="237"/>
    </row>
    <row r="19" spans="1:6" s="238" customFormat="1" ht="12.75" customHeight="1" thickBot="1">
      <c r="A19" s="119" t="s">
        <v>2</v>
      </c>
      <c r="B19" s="120" t="s">
        <v>793</v>
      </c>
      <c r="C19" s="321">
        <f>+C20+C21+C22+C23</f>
        <v>350000</v>
      </c>
      <c r="D19" s="321">
        <f>+D20+D21+D22+D23</f>
        <v>229697587</v>
      </c>
      <c r="E19" s="313">
        <f>+E20+E21+E22+E23</f>
        <v>229697587</v>
      </c>
      <c r="F19" s="237"/>
    </row>
    <row r="20" spans="1:6" s="238" customFormat="1" ht="12.75" customHeight="1">
      <c r="A20" s="121" t="s">
        <v>517</v>
      </c>
      <c r="B20" s="365" t="s">
        <v>526</v>
      </c>
      <c r="C20" s="311"/>
      <c r="D20" s="322">
        <v>0</v>
      </c>
      <c r="E20" s="315">
        <v>0</v>
      </c>
      <c r="F20" s="237"/>
    </row>
    <row r="21" spans="1:6" s="238" customFormat="1" ht="12.75" customHeight="1">
      <c r="A21" s="123" t="s">
        <v>519</v>
      </c>
      <c r="B21" s="366" t="s">
        <v>528</v>
      </c>
      <c r="C21" s="316"/>
      <c r="D21" s="323">
        <v>0</v>
      </c>
      <c r="E21" s="315">
        <v>0</v>
      </c>
      <c r="F21" s="237"/>
    </row>
    <row r="22" spans="1:6" s="238" customFormat="1" ht="12.75" customHeight="1">
      <c r="A22" s="123" t="s">
        <v>521</v>
      </c>
      <c r="B22" s="366" t="s">
        <v>530</v>
      </c>
      <c r="C22" s="324"/>
      <c r="D22" s="316">
        <v>0</v>
      </c>
      <c r="E22" s="315">
        <v>0</v>
      </c>
      <c r="F22" s="237"/>
    </row>
    <row r="23" spans="1:6" s="238" customFormat="1" ht="12.75" customHeight="1">
      <c r="A23" s="123" t="s">
        <v>794</v>
      </c>
      <c r="B23" s="366" t="s">
        <v>532</v>
      </c>
      <c r="C23" s="322">
        <v>350000</v>
      </c>
      <c r="D23" s="311">
        <v>229697587</v>
      </c>
      <c r="E23" s="315">
        <v>229697587</v>
      </c>
      <c r="F23" s="237"/>
    </row>
    <row r="24" spans="1:6" s="238" customFormat="1" ht="12.75" customHeight="1" thickBot="1">
      <c r="A24" s="125" t="s">
        <v>795</v>
      </c>
      <c r="B24" s="367" t="s">
        <v>524</v>
      </c>
      <c r="C24" s="325"/>
      <c r="D24" s="311">
        <v>229697587</v>
      </c>
      <c r="E24" s="315">
        <v>229697587</v>
      </c>
      <c r="F24" s="237"/>
    </row>
    <row r="25" spans="1:6" s="238" customFormat="1" ht="12.75" customHeight="1" thickBot="1">
      <c r="A25" s="119" t="s">
        <v>796</v>
      </c>
      <c r="B25" s="120" t="s">
        <v>807</v>
      </c>
      <c r="C25" s="312">
        <f>C26+C28+C30+C31+C34</f>
        <v>9435153562</v>
      </c>
      <c r="D25" s="321">
        <f>D26+D28+D30+D31+D34</f>
        <v>7206000000</v>
      </c>
      <c r="E25" s="313">
        <f>E26+E28+E30+E31+E34</f>
        <v>7211013124</v>
      </c>
      <c r="F25" s="237"/>
    </row>
    <row r="26" spans="1:6" s="238" customFormat="1" ht="12.75" customHeight="1">
      <c r="A26" s="121" t="s">
        <v>525</v>
      </c>
      <c r="B26" s="365" t="s">
        <v>534</v>
      </c>
      <c r="C26" s="326">
        <f>C27</f>
        <v>680111445</v>
      </c>
      <c r="D26" s="327">
        <f>D27</f>
        <v>670000000</v>
      </c>
      <c r="E26" s="328">
        <f>E27</f>
        <v>671221793</v>
      </c>
      <c r="F26" s="237"/>
    </row>
    <row r="27" spans="1:6" s="238" customFormat="1" ht="12.75" customHeight="1">
      <c r="A27" s="123" t="s">
        <v>808</v>
      </c>
      <c r="B27" s="366" t="s">
        <v>535</v>
      </c>
      <c r="C27" s="329">
        <v>680111445</v>
      </c>
      <c r="D27" s="330">
        <v>670000000</v>
      </c>
      <c r="E27" s="331">
        <v>671221793</v>
      </c>
      <c r="F27" s="237"/>
    </row>
    <row r="28" spans="1:6" s="238" customFormat="1" ht="12.75" customHeight="1">
      <c r="A28" s="123" t="s">
        <v>527</v>
      </c>
      <c r="B28" s="365" t="s">
        <v>537</v>
      </c>
      <c r="C28" s="329">
        <f>C29</f>
        <v>8704294357</v>
      </c>
      <c r="D28" s="330">
        <f>D29</f>
        <v>6500000000</v>
      </c>
      <c r="E28" s="331">
        <f>E29</f>
        <v>6502007879</v>
      </c>
      <c r="F28" s="237"/>
    </row>
    <row r="29" spans="1:8" s="238" customFormat="1" ht="12.75" customHeight="1">
      <c r="A29" s="123" t="s">
        <v>809</v>
      </c>
      <c r="B29" s="366" t="s">
        <v>538</v>
      </c>
      <c r="C29" s="329">
        <v>8704294357</v>
      </c>
      <c r="D29" s="330">
        <v>6500000000</v>
      </c>
      <c r="E29" s="331">
        <v>6502007879</v>
      </c>
      <c r="F29" s="237"/>
      <c r="H29" s="238" t="s">
        <v>87</v>
      </c>
    </row>
    <row r="30" spans="1:6" s="238" customFormat="1" ht="12.75" customHeight="1">
      <c r="A30" s="123" t="s">
        <v>529</v>
      </c>
      <c r="B30" s="366" t="s">
        <v>540</v>
      </c>
      <c r="C30" s="329">
        <v>0</v>
      </c>
      <c r="D30" s="330">
        <v>0</v>
      </c>
      <c r="E30" s="331">
        <v>0</v>
      </c>
      <c r="F30" s="237"/>
    </row>
    <row r="31" spans="1:6" s="238" customFormat="1" ht="12.75" customHeight="1">
      <c r="A31" s="123" t="s">
        <v>531</v>
      </c>
      <c r="B31" s="366" t="s">
        <v>542</v>
      </c>
      <c r="C31" s="329">
        <f>C32+C33</f>
        <v>18047400</v>
      </c>
      <c r="D31" s="330">
        <f>D32</f>
        <v>14000000</v>
      </c>
      <c r="E31" s="331">
        <f>E32+E33</f>
        <v>15338487</v>
      </c>
      <c r="F31" s="237"/>
    </row>
    <row r="32" spans="1:6" s="238" customFormat="1" ht="12.75" customHeight="1">
      <c r="A32" s="125" t="s">
        <v>607</v>
      </c>
      <c r="B32" s="366" t="s">
        <v>543</v>
      </c>
      <c r="C32" s="329">
        <v>18047400</v>
      </c>
      <c r="D32" s="330">
        <v>14000000</v>
      </c>
      <c r="E32" s="331">
        <v>15330087</v>
      </c>
      <c r="F32" s="237"/>
    </row>
    <row r="33" spans="1:6" s="238" customFormat="1" ht="12.75" customHeight="1">
      <c r="A33" s="125" t="s">
        <v>810</v>
      </c>
      <c r="B33" s="366" t="s">
        <v>703</v>
      </c>
      <c r="C33" s="329"/>
      <c r="D33" s="330"/>
      <c r="E33" s="331">
        <v>8400</v>
      </c>
      <c r="F33" s="237"/>
    </row>
    <row r="34" spans="1:6" s="238" customFormat="1" ht="12.75" customHeight="1" thickBot="1">
      <c r="A34" s="125" t="s">
        <v>811</v>
      </c>
      <c r="B34" s="367" t="s">
        <v>545</v>
      </c>
      <c r="C34" s="332">
        <v>32700360</v>
      </c>
      <c r="D34" s="333">
        <v>22000000</v>
      </c>
      <c r="E34" s="334">
        <v>22444965</v>
      </c>
      <c r="F34" s="237"/>
    </row>
    <row r="35" spans="1:6" s="238" customFormat="1" ht="12.75" customHeight="1" thickBot="1">
      <c r="A35" s="119" t="s">
        <v>4</v>
      </c>
      <c r="B35" s="120" t="s">
        <v>812</v>
      </c>
      <c r="C35" s="312">
        <f>SUM(C36:C46)</f>
        <v>681914911</v>
      </c>
      <c r="D35" s="321">
        <f>SUM(D36:D46)</f>
        <v>1066184540</v>
      </c>
      <c r="E35" s="313">
        <f>SUM(E36:E46)</f>
        <v>1395896968</v>
      </c>
      <c r="F35" s="237"/>
    </row>
    <row r="36" spans="1:6" s="238" customFormat="1" ht="12.75" customHeight="1">
      <c r="A36" s="121" t="s">
        <v>533</v>
      </c>
      <c r="B36" s="365" t="s">
        <v>547</v>
      </c>
      <c r="C36" s="322">
        <v>37642</v>
      </c>
      <c r="D36" s="311">
        <v>37619</v>
      </c>
      <c r="E36" s="315">
        <v>37619</v>
      </c>
      <c r="F36" s="237"/>
    </row>
    <row r="37" spans="1:6" s="238" customFormat="1" ht="12.75" customHeight="1">
      <c r="A37" s="123" t="s">
        <v>536</v>
      </c>
      <c r="B37" s="366" t="s">
        <v>549</v>
      </c>
      <c r="C37" s="322">
        <v>115860207</v>
      </c>
      <c r="D37" s="316">
        <v>107857623</v>
      </c>
      <c r="E37" s="315">
        <v>135273275</v>
      </c>
      <c r="F37" s="237"/>
    </row>
    <row r="38" spans="1:6" s="238" customFormat="1" ht="12.75" customHeight="1">
      <c r="A38" s="123" t="s">
        <v>539</v>
      </c>
      <c r="B38" s="366" t="s">
        <v>551</v>
      </c>
      <c r="C38" s="322">
        <v>12085246</v>
      </c>
      <c r="D38" s="316">
        <v>14848855</v>
      </c>
      <c r="E38" s="315">
        <v>17486587</v>
      </c>
      <c r="F38" s="237"/>
    </row>
    <row r="39" spans="1:6" s="238" customFormat="1" ht="12.75" customHeight="1">
      <c r="A39" s="123" t="s">
        <v>541</v>
      </c>
      <c r="B39" s="366" t="s">
        <v>553</v>
      </c>
      <c r="C39" s="322">
        <v>78121318</v>
      </c>
      <c r="D39" s="316">
        <v>61517110</v>
      </c>
      <c r="E39" s="315">
        <v>62481765</v>
      </c>
      <c r="F39" s="237"/>
    </row>
    <row r="40" spans="1:6" s="238" customFormat="1" ht="12.75" customHeight="1">
      <c r="A40" s="123" t="s">
        <v>544</v>
      </c>
      <c r="B40" s="366" t="s">
        <v>555</v>
      </c>
      <c r="C40" s="322">
        <v>172408965</v>
      </c>
      <c r="D40" s="316">
        <v>211881640</v>
      </c>
      <c r="E40" s="315">
        <v>237947371</v>
      </c>
      <c r="F40" s="237"/>
    </row>
    <row r="41" spans="1:6" s="238" customFormat="1" ht="12.75" customHeight="1">
      <c r="A41" s="123" t="s">
        <v>813</v>
      </c>
      <c r="B41" s="366" t="s">
        <v>556</v>
      </c>
      <c r="C41" s="322">
        <v>96956010</v>
      </c>
      <c r="D41" s="316">
        <v>95226855</v>
      </c>
      <c r="E41" s="315">
        <v>106031958</v>
      </c>
      <c r="F41" s="237"/>
    </row>
    <row r="42" spans="1:6" s="238" customFormat="1" ht="12.75" customHeight="1">
      <c r="A42" s="123" t="s">
        <v>814</v>
      </c>
      <c r="B42" s="366" t="s">
        <v>557</v>
      </c>
      <c r="C42" s="322">
        <v>0</v>
      </c>
      <c r="D42" s="316">
        <v>13934000</v>
      </c>
      <c r="E42" s="315">
        <v>13934000</v>
      </c>
      <c r="F42" s="237"/>
    </row>
    <row r="43" spans="1:6" s="238" customFormat="1" ht="12.75" customHeight="1">
      <c r="A43" s="123" t="s">
        <v>815</v>
      </c>
      <c r="B43" s="366" t="s">
        <v>608</v>
      </c>
      <c r="C43" s="322">
        <v>191550794</v>
      </c>
      <c r="D43" s="316">
        <v>547630000</v>
      </c>
      <c r="E43" s="315">
        <v>793640860</v>
      </c>
      <c r="F43" s="237"/>
    </row>
    <row r="44" spans="1:6" s="238" customFormat="1" ht="12.75" customHeight="1">
      <c r="A44" s="123" t="s">
        <v>816</v>
      </c>
      <c r="B44" s="366" t="s">
        <v>558</v>
      </c>
      <c r="C44" s="322">
        <v>0</v>
      </c>
      <c r="D44" s="361">
        <v>0</v>
      </c>
      <c r="E44" s="315">
        <v>0</v>
      </c>
      <c r="F44" s="237"/>
    </row>
    <row r="45" spans="1:6" s="238" customFormat="1" ht="12.75" customHeight="1">
      <c r="A45" s="125" t="s">
        <v>817</v>
      </c>
      <c r="B45" s="367" t="s">
        <v>559</v>
      </c>
      <c r="C45" s="322">
        <v>558444</v>
      </c>
      <c r="D45" s="361">
        <v>623468</v>
      </c>
      <c r="E45" s="315">
        <v>623468</v>
      </c>
      <c r="F45" s="237"/>
    </row>
    <row r="46" spans="1:6" s="238" customFormat="1" ht="12.75" customHeight="1" thickBot="1">
      <c r="A46" s="125" t="s">
        <v>818</v>
      </c>
      <c r="B46" s="367" t="s">
        <v>560</v>
      </c>
      <c r="C46" s="322">
        <v>14336285</v>
      </c>
      <c r="D46" s="361">
        <v>12627370</v>
      </c>
      <c r="E46" s="315">
        <v>28440065</v>
      </c>
      <c r="F46" s="237"/>
    </row>
    <row r="47" spans="1:6" s="238" customFormat="1" ht="12.75" customHeight="1" thickBot="1">
      <c r="A47" s="119" t="s">
        <v>5</v>
      </c>
      <c r="B47" s="120" t="s">
        <v>819</v>
      </c>
      <c r="C47" s="312">
        <f>SUM(C48:C52)</f>
        <v>100409974</v>
      </c>
      <c r="D47" s="321">
        <f>SUM(D48:D52)</f>
        <v>57720000</v>
      </c>
      <c r="E47" s="313">
        <f>SUM(E48:E52)</f>
        <v>82083040</v>
      </c>
      <c r="F47" s="237"/>
    </row>
    <row r="48" spans="1:6" s="238" customFormat="1" ht="12.75" customHeight="1">
      <c r="A48" s="121" t="s">
        <v>546</v>
      </c>
      <c r="B48" s="365" t="s">
        <v>562</v>
      </c>
      <c r="C48" s="322"/>
      <c r="D48" s="311"/>
      <c r="E48" s="315"/>
      <c r="F48" s="237"/>
    </row>
    <row r="49" spans="1:6" s="238" customFormat="1" ht="12.75" customHeight="1">
      <c r="A49" s="123" t="s">
        <v>548</v>
      </c>
      <c r="B49" s="366" t="s">
        <v>564</v>
      </c>
      <c r="C49" s="322">
        <v>98668117</v>
      </c>
      <c r="D49" s="311">
        <v>57720000</v>
      </c>
      <c r="E49" s="315">
        <v>81876473</v>
      </c>
      <c r="F49" s="237"/>
    </row>
    <row r="50" spans="1:6" s="238" customFormat="1" ht="12.75" customHeight="1">
      <c r="A50" s="123" t="s">
        <v>550</v>
      </c>
      <c r="B50" s="366" t="s">
        <v>566</v>
      </c>
      <c r="C50" s="322">
        <v>1741857</v>
      </c>
      <c r="D50" s="311"/>
      <c r="E50" s="315">
        <v>206567</v>
      </c>
      <c r="F50" s="237"/>
    </row>
    <row r="51" spans="1:6" s="238" customFormat="1" ht="12.75" customHeight="1">
      <c r="A51" s="123" t="s">
        <v>552</v>
      </c>
      <c r="B51" s="366" t="s">
        <v>568</v>
      </c>
      <c r="C51" s="322"/>
      <c r="D51" s="311"/>
      <c r="E51" s="315"/>
      <c r="F51" s="237"/>
    </row>
    <row r="52" spans="1:6" s="238" customFormat="1" ht="12.75" customHeight="1" thickBot="1">
      <c r="A52" s="125" t="s">
        <v>554</v>
      </c>
      <c r="B52" s="367" t="s">
        <v>570</v>
      </c>
      <c r="C52" s="322"/>
      <c r="D52" s="311"/>
      <c r="E52" s="315"/>
      <c r="F52" s="237"/>
    </row>
    <row r="53" spans="1:6" s="238" customFormat="1" ht="12.75" customHeight="1" thickBot="1">
      <c r="A53" s="119" t="s">
        <v>6</v>
      </c>
      <c r="B53" s="120" t="s">
        <v>820</v>
      </c>
      <c r="C53" s="312">
        <f>SUM(C54:C55)</f>
        <v>27714277</v>
      </c>
      <c r="D53" s="321">
        <f>SUM(D54:D55)</f>
        <v>4126263</v>
      </c>
      <c r="E53" s="313">
        <f>SUM(E54:E55)</f>
        <v>17251576</v>
      </c>
      <c r="F53" s="237"/>
    </row>
    <row r="54" spans="1:6" s="238" customFormat="1" ht="12.75" customHeight="1">
      <c r="A54" s="123" t="s">
        <v>561</v>
      </c>
      <c r="B54" s="366" t="s">
        <v>573</v>
      </c>
      <c r="C54" s="324">
        <v>0</v>
      </c>
      <c r="D54" s="316">
        <v>0</v>
      </c>
      <c r="E54" s="318">
        <v>0</v>
      </c>
      <c r="F54" s="237"/>
    </row>
    <row r="55" spans="1:6" s="238" customFormat="1" ht="12.75" customHeight="1">
      <c r="A55" s="123" t="s">
        <v>563</v>
      </c>
      <c r="B55" s="366" t="s">
        <v>574</v>
      </c>
      <c r="C55" s="324">
        <v>27714277</v>
      </c>
      <c r="D55" s="316">
        <v>4126263</v>
      </c>
      <c r="E55" s="318">
        <v>17251576</v>
      </c>
      <c r="F55" s="237"/>
    </row>
    <row r="56" spans="1:6" s="238" customFormat="1" ht="12.75" customHeight="1" thickBot="1">
      <c r="A56" s="125" t="s">
        <v>821</v>
      </c>
      <c r="B56" s="367" t="s">
        <v>822</v>
      </c>
      <c r="C56" s="324">
        <v>8297340</v>
      </c>
      <c r="D56" s="316">
        <v>576263</v>
      </c>
      <c r="E56" s="318">
        <v>576263</v>
      </c>
      <c r="F56" s="237"/>
    </row>
    <row r="57" spans="1:6" s="238" customFormat="1" ht="12.75" customHeight="1" thickBot="1">
      <c r="A57" s="119" t="s">
        <v>7</v>
      </c>
      <c r="B57" s="368" t="s">
        <v>823</v>
      </c>
      <c r="C57" s="312">
        <f>SUM(C58:C59)</f>
        <v>8129954</v>
      </c>
      <c r="D57" s="321">
        <f>SUM(D58:D59)</f>
        <v>158540490</v>
      </c>
      <c r="E57" s="313">
        <f>SUM(E58:E59)</f>
        <v>167702297</v>
      </c>
      <c r="F57" s="237"/>
    </row>
    <row r="58" spans="1:6" s="238" customFormat="1" ht="12.75" customHeight="1">
      <c r="A58" s="121" t="s">
        <v>571</v>
      </c>
      <c r="B58" s="366" t="s">
        <v>575</v>
      </c>
      <c r="C58" s="324">
        <v>7671057</v>
      </c>
      <c r="D58" s="361">
        <v>22141000</v>
      </c>
      <c r="E58" s="318">
        <v>30973045</v>
      </c>
      <c r="F58" s="237"/>
    </row>
    <row r="59" spans="1:6" s="238" customFormat="1" ht="12.75" customHeight="1">
      <c r="A59" s="123" t="s">
        <v>572</v>
      </c>
      <c r="B59" s="366" t="s">
        <v>576</v>
      </c>
      <c r="C59" s="324">
        <v>458897</v>
      </c>
      <c r="D59" s="361">
        <v>136399490</v>
      </c>
      <c r="E59" s="318">
        <v>136729252</v>
      </c>
      <c r="F59" s="237"/>
    </row>
    <row r="60" spans="1:6" s="238" customFormat="1" ht="12.75" customHeight="1" thickBot="1">
      <c r="A60" s="369" t="s">
        <v>609</v>
      </c>
      <c r="B60" s="370" t="s">
        <v>824</v>
      </c>
      <c r="C60" s="324"/>
      <c r="D60" s="362">
        <v>136399490</v>
      </c>
      <c r="E60" s="318">
        <v>136399490</v>
      </c>
      <c r="F60" s="237"/>
    </row>
    <row r="61" spans="1:6" s="238" customFormat="1" ht="15" customHeight="1" thickBot="1">
      <c r="A61" s="353" t="s">
        <v>8</v>
      </c>
      <c r="B61" s="371" t="s">
        <v>825</v>
      </c>
      <c r="C61" s="312">
        <f>+C5+C19+C25+C35+C47+C53+C57</f>
        <v>13098217728</v>
      </c>
      <c r="D61" s="321">
        <f>+D5+D19+D25+D35+D47+D53+D57</f>
        <v>11539371803</v>
      </c>
      <c r="E61" s="313">
        <f>+E5+E19+E25+E35+E47+E53+E57</f>
        <v>12004664947</v>
      </c>
      <c r="F61" s="237"/>
    </row>
    <row r="62" spans="1:6" s="238" customFormat="1" ht="12.75" customHeight="1" thickBot="1">
      <c r="A62" s="372" t="s">
        <v>9</v>
      </c>
      <c r="B62" s="368" t="s">
        <v>826</v>
      </c>
      <c r="C62" s="312">
        <f>SUM(C63:C65)</f>
        <v>0</v>
      </c>
      <c r="D62" s="321">
        <f>SUM(D63:D65)</f>
        <v>0</v>
      </c>
      <c r="E62" s="321">
        <f>SUM(E63:E65)</f>
        <v>0</v>
      </c>
      <c r="F62" s="237"/>
    </row>
    <row r="63" spans="1:6" s="238" customFormat="1" ht="12.75" customHeight="1">
      <c r="A63" s="121" t="s">
        <v>827</v>
      </c>
      <c r="B63" s="365" t="s">
        <v>578</v>
      </c>
      <c r="C63" s="324"/>
      <c r="D63" s="316"/>
      <c r="E63" s="318"/>
      <c r="F63" s="237"/>
    </row>
    <row r="64" spans="1:6" s="238" customFormat="1" ht="12.75" customHeight="1">
      <c r="A64" s="123" t="s">
        <v>828</v>
      </c>
      <c r="B64" s="366" t="s">
        <v>610</v>
      </c>
      <c r="C64" s="324"/>
      <c r="D64" s="316"/>
      <c r="E64" s="318"/>
      <c r="F64" s="237"/>
    </row>
    <row r="65" spans="1:6" s="238" customFormat="1" ht="12.75" customHeight="1" thickBot="1">
      <c r="A65" s="125" t="s">
        <v>829</v>
      </c>
      <c r="B65" s="366" t="s">
        <v>681</v>
      </c>
      <c r="C65" s="324">
        <v>0</v>
      </c>
      <c r="D65" s="316"/>
      <c r="E65" s="318">
        <v>0</v>
      </c>
      <c r="F65" s="237"/>
    </row>
    <row r="66" spans="1:8" s="238" customFormat="1" ht="12.75" customHeight="1" thickBot="1">
      <c r="A66" s="372" t="s">
        <v>10</v>
      </c>
      <c r="B66" s="368" t="s">
        <v>830</v>
      </c>
      <c r="C66" s="312">
        <f>SUM(C67:C69)</f>
        <v>5969760000</v>
      </c>
      <c r="D66" s="321">
        <f>SUM(D67:D69)</f>
        <v>1279185500</v>
      </c>
      <c r="E66" s="313">
        <f>SUM(E67:E69)</f>
        <v>1279185500</v>
      </c>
      <c r="F66" s="237"/>
      <c r="H66" s="238" t="s">
        <v>87</v>
      </c>
    </row>
    <row r="67" spans="1:6" s="238" customFormat="1" ht="12.75" customHeight="1">
      <c r="A67" s="121" t="s">
        <v>577</v>
      </c>
      <c r="B67" s="365" t="s">
        <v>582</v>
      </c>
      <c r="C67" s="324">
        <v>5469760000</v>
      </c>
      <c r="D67" s="316">
        <v>1279185500</v>
      </c>
      <c r="E67" s="318">
        <v>1279185500</v>
      </c>
      <c r="F67" s="237"/>
    </row>
    <row r="68" spans="1:6" s="238" customFormat="1" ht="12.75" customHeight="1">
      <c r="A68" s="121" t="s">
        <v>579</v>
      </c>
      <c r="B68" s="365" t="s">
        <v>685</v>
      </c>
      <c r="C68" s="324"/>
      <c r="D68" s="316"/>
      <c r="E68" s="318"/>
      <c r="F68" s="237"/>
    </row>
    <row r="69" spans="1:6" s="238" customFormat="1" ht="12.75" customHeight="1" thickBot="1">
      <c r="A69" s="123" t="s">
        <v>580</v>
      </c>
      <c r="B69" s="366" t="s">
        <v>686</v>
      </c>
      <c r="C69" s="324">
        <v>500000000</v>
      </c>
      <c r="D69" s="316"/>
      <c r="E69" s="318"/>
      <c r="F69" s="237"/>
    </row>
    <row r="70" spans="1:6" s="238" customFormat="1" ht="12.75" customHeight="1" thickBot="1">
      <c r="A70" s="372" t="s">
        <v>11</v>
      </c>
      <c r="B70" s="368" t="s">
        <v>831</v>
      </c>
      <c r="C70" s="312">
        <f>SUM(C71:C72)</f>
        <v>1468424865</v>
      </c>
      <c r="D70" s="321">
        <f>SUM(D71:D72)</f>
        <v>316292984</v>
      </c>
      <c r="E70" s="313">
        <f>SUM(E71:E72)</f>
        <v>316292984</v>
      </c>
      <c r="F70" s="237"/>
    </row>
    <row r="71" spans="1:6" s="238" customFormat="1" ht="12.75" customHeight="1">
      <c r="A71" s="121" t="s">
        <v>581</v>
      </c>
      <c r="B71" s="126" t="s">
        <v>832</v>
      </c>
      <c r="C71" s="324">
        <v>1107624865</v>
      </c>
      <c r="D71" s="316">
        <v>315782769</v>
      </c>
      <c r="E71" s="318">
        <v>315782769</v>
      </c>
      <c r="F71" s="237"/>
    </row>
    <row r="72" spans="1:6" s="238" customFormat="1" ht="12.75" customHeight="1" thickBot="1">
      <c r="A72" s="125" t="s">
        <v>583</v>
      </c>
      <c r="B72" s="126" t="s">
        <v>833</v>
      </c>
      <c r="C72" s="324">
        <v>360800000</v>
      </c>
      <c r="D72" s="335">
        <v>510215</v>
      </c>
      <c r="E72" s="318">
        <v>510215</v>
      </c>
      <c r="F72" s="237"/>
    </row>
    <row r="73" spans="1:6" s="236" customFormat="1" ht="12.75" customHeight="1" thickBot="1">
      <c r="A73" s="372" t="s">
        <v>12</v>
      </c>
      <c r="B73" s="368" t="s">
        <v>834</v>
      </c>
      <c r="C73" s="312">
        <f>SUM(C74:C76)</f>
        <v>3502401175</v>
      </c>
      <c r="D73" s="321">
        <f>SUM(D74:D76)</f>
        <v>7603193583</v>
      </c>
      <c r="E73" s="313">
        <f>SUM(E74:E76)</f>
        <v>93849064823</v>
      </c>
      <c r="F73" s="235"/>
    </row>
    <row r="74" spans="1:6" s="238" customFormat="1" ht="12.75" customHeight="1">
      <c r="A74" s="121" t="s">
        <v>584</v>
      </c>
      <c r="B74" s="365" t="s">
        <v>611</v>
      </c>
      <c r="C74" s="324">
        <v>2152401175</v>
      </c>
      <c r="D74" s="316">
        <v>3403193583</v>
      </c>
      <c r="E74" s="318">
        <v>3459940988</v>
      </c>
      <c r="F74" s="237"/>
    </row>
    <row r="75" spans="1:6" s="238" customFormat="1" ht="12.75" customHeight="1">
      <c r="A75" s="123" t="s">
        <v>585</v>
      </c>
      <c r="B75" s="366" t="s">
        <v>612</v>
      </c>
      <c r="C75" s="324">
        <v>0</v>
      </c>
      <c r="D75" s="316">
        <v>0</v>
      </c>
      <c r="E75" s="318">
        <v>0</v>
      </c>
      <c r="F75" s="237"/>
    </row>
    <row r="76" spans="1:6" s="238" customFormat="1" ht="12.75" customHeight="1" thickBot="1">
      <c r="A76" s="125" t="s">
        <v>835</v>
      </c>
      <c r="B76" s="367" t="s">
        <v>789</v>
      </c>
      <c r="C76" s="324">
        <v>1350000000</v>
      </c>
      <c r="D76" s="316">
        <v>4200000000</v>
      </c>
      <c r="E76" s="318">
        <v>90389123835</v>
      </c>
      <c r="F76" s="237"/>
    </row>
    <row r="77" spans="1:6" s="236" customFormat="1" ht="15" customHeight="1" thickBot="1">
      <c r="A77" s="372" t="s">
        <v>13</v>
      </c>
      <c r="B77" s="368" t="s">
        <v>836</v>
      </c>
      <c r="C77" s="312">
        <f>+C62+C66+C70+C73</f>
        <v>10940586040</v>
      </c>
      <c r="D77" s="321">
        <f>+D62+D66+D70+D73</f>
        <v>9198672067</v>
      </c>
      <c r="E77" s="313">
        <f>+E62+E66+E70+E73</f>
        <v>95444543307</v>
      </c>
      <c r="F77" s="235"/>
    </row>
    <row r="78" spans="1:6" s="236" customFormat="1" ht="15" customHeight="1" thickBot="1">
      <c r="A78" s="373" t="s">
        <v>14</v>
      </c>
      <c r="B78" s="374" t="s">
        <v>837</v>
      </c>
      <c r="C78" s="312">
        <f>+C61+C77</f>
        <v>24038803768</v>
      </c>
      <c r="D78" s="321">
        <f>+D61+D77</f>
        <v>20738043870</v>
      </c>
      <c r="E78" s="313">
        <f>+E61+E77</f>
        <v>107449208254</v>
      </c>
      <c r="F78" s="235"/>
    </row>
  </sheetData>
  <sheetProtection formatCells="0"/>
  <mergeCells count="6">
    <mergeCell ref="G2:O3"/>
    <mergeCell ref="D2:E2"/>
    <mergeCell ref="C2:C3"/>
    <mergeCell ref="B2:B3"/>
    <mergeCell ref="A1:E1"/>
    <mergeCell ref="A2:A3"/>
  </mergeCells>
  <printOptions horizontalCentered="1"/>
  <pageMargins left="0.2362204724409449" right="0.2362204724409449" top="0.9448818897637796" bottom="0.35433070866141736" header="0.7086614173228347" footer="0.31496062992125984"/>
  <pageSetup horizontalDpi="600" verticalDpi="600" orientation="portrait" paperSize="9" scale="72" r:id="rId1"/>
  <headerFooter alignWithMargins="0">
    <oddHeader>&amp;C&amp;"Times New Roman CE,Félkövér"TISZAÚJVÁROS VÁROS ÖNKORMÁNYZATA
2023. ÉVI ZÁRSZÁMADÁSÁNAK PÉNZÜGYI MÉRLEGE&amp;R1.1 tájékoztató tábla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6"/>
  <sheetViews>
    <sheetView zoomScale="118" zoomScaleNormal="118" zoomScaleSheetLayoutView="130" workbookViewId="0" topLeftCell="A141">
      <selection activeCell="I80" sqref="I80"/>
    </sheetView>
  </sheetViews>
  <sheetFormatPr defaultColWidth="9.00390625" defaultRowHeight="12.75"/>
  <cols>
    <col min="1" max="1" width="6.50390625" style="452" customWidth="1"/>
    <col min="2" max="2" width="85.00390625" style="452" customWidth="1"/>
    <col min="3" max="3" width="15.125" style="452" customWidth="1"/>
    <col min="4" max="4" width="16.375" style="462" customWidth="1"/>
    <col min="5" max="5" width="9.625" style="460" customWidth="1"/>
    <col min="6" max="16384" width="9.375" style="452" customWidth="1"/>
  </cols>
  <sheetData>
    <row r="1" spans="1:5" s="399" customFormat="1" ht="25.5" customHeight="1" thickBot="1">
      <c r="A1" s="397" t="s">
        <v>0</v>
      </c>
      <c r="B1" s="397" t="s">
        <v>27</v>
      </c>
      <c r="C1" s="397" t="s">
        <v>97</v>
      </c>
      <c r="D1" s="398" t="s">
        <v>98</v>
      </c>
      <c r="E1" s="627" t="s">
        <v>99</v>
      </c>
    </row>
    <row r="2" spans="1:5" s="399" customFormat="1" ht="14.25" customHeight="1" thickBot="1">
      <c r="A2" s="400"/>
      <c r="B2" s="401"/>
      <c r="C2" s="629" t="s">
        <v>660</v>
      </c>
      <c r="D2" s="630"/>
      <c r="E2" s="628"/>
    </row>
    <row r="3" spans="1:5" s="406" customFormat="1" ht="12">
      <c r="A3" s="402" t="s">
        <v>100</v>
      </c>
      <c r="B3" s="403" t="s">
        <v>101</v>
      </c>
      <c r="C3" s="404">
        <v>11199691</v>
      </c>
      <c r="D3" s="404">
        <v>14320153</v>
      </c>
      <c r="E3" s="405">
        <f>IF(C3=0,"-",D3/C3*100)</f>
        <v>127.86203655082984</v>
      </c>
    </row>
    <row r="4" spans="1:5" s="406" customFormat="1" ht="12">
      <c r="A4" s="407" t="s">
        <v>102</v>
      </c>
      <c r="B4" s="408" t="s">
        <v>103</v>
      </c>
      <c r="C4" s="409">
        <v>0</v>
      </c>
      <c r="D4" s="409">
        <v>0</v>
      </c>
      <c r="E4" s="410" t="str">
        <f>IF(C4=0,"-",D4/C4*100)</f>
        <v>-</v>
      </c>
    </row>
    <row r="5" spans="1:5" s="406" customFormat="1" ht="12.75" thickBot="1">
      <c r="A5" s="411" t="s">
        <v>104</v>
      </c>
      <c r="B5" s="412" t="s">
        <v>105</v>
      </c>
      <c r="C5" s="413">
        <v>0</v>
      </c>
      <c r="D5" s="413">
        <v>0</v>
      </c>
      <c r="E5" s="414" t="str">
        <f aca="true" t="shared" si="0" ref="E5:E70">IF(C5=0,"-",D5/C5*100)</f>
        <v>-</v>
      </c>
    </row>
    <row r="6" spans="1:5" s="406" customFormat="1" ht="12.75" thickBot="1">
      <c r="A6" s="397" t="s">
        <v>106</v>
      </c>
      <c r="B6" s="415" t="s">
        <v>107</v>
      </c>
      <c r="C6" s="416">
        <f>SUM(C3:C5)</f>
        <v>11199691</v>
      </c>
      <c r="D6" s="416">
        <f>SUM(D3:D5)</f>
        <v>14320153</v>
      </c>
      <c r="E6" s="417">
        <f t="shared" si="0"/>
        <v>127.86203655082984</v>
      </c>
    </row>
    <row r="7" spans="1:5" s="406" customFormat="1" ht="12">
      <c r="A7" s="402" t="s">
        <v>108</v>
      </c>
      <c r="B7" s="403" t="s">
        <v>109</v>
      </c>
      <c r="C7" s="418">
        <v>12999704378</v>
      </c>
      <c r="D7" s="418">
        <v>12686566474</v>
      </c>
      <c r="E7" s="405">
        <f t="shared" si="0"/>
        <v>97.59119211564582</v>
      </c>
    </row>
    <row r="8" spans="1:5" s="406" customFormat="1" ht="12">
      <c r="A8" s="407" t="s">
        <v>110</v>
      </c>
      <c r="B8" s="408" t="s">
        <v>111</v>
      </c>
      <c r="C8" s="419">
        <v>627881831</v>
      </c>
      <c r="D8" s="419">
        <v>698464245</v>
      </c>
      <c r="E8" s="410">
        <f t="shared" si="0"/>
        <v>111.24135315200736</v>
      </c>
    </row>
    <row r="9" spans="1:5" s="406" customFormat="1" ht="12">
      <c r="A9" s="407" t="s">
        <v>112</v>
      </c>
      <c r="B9" s="408" t="s">
        <v>113</v>
      </c>
      <c r="C9" s="419">
        <v>0</v>
      </c>
      <c r="D9" s="419">
        <v>0</v>
      </c>
      <c r="E9" s="420" t="str">
        <f t="shared" si="0"/>
        <v>-</v>
      </c>
    </row>
    <row r="10" spans="1:5" s="406" customFormat="1" ht="12">
      <c r="A10" s="407" t="s">
        <v>114</v>
      </c>
      <c r="B10" s="408" t="s">
        <v>115</v>
      </c>
      <c r="C10" s="419">
        <v>172006201</v>
      </c>
      <c r="D10" s="419">
        <v>201085993</v>
      </c>
      <c r="E10" s="410">
        <f t="shared" si="0"/>
        <v>116.90624630445737</v>
      </c>
    </row>
    <row r="11" spans="1:5" s="406" customFormat="1" ht="12.75" thickBot="1">
      <c r="A11" s="411" t="s">
        <v>116</v>
      </c>
      <c r="B11" s="412" t="s">
        <v>117</v>
      </c>
      <c r="C11" s="421">
        <v>0</v>
      </c>
      <c r="D11" s="421">
        <v>0</v>
      </c>
      <c r="E11" s="414" t="str">
        <f t="shared" si="0"/>
        <v>-</v>
      </c>
    </row>
    <row r="12" spans="1:5" s="406" customFormat="1" ht="12.75" thickBot="1">
      <c r="A12" s="397" t="s">
        <v>118</v>
      </c>
      <c r="B12" s="415" t="s">
        <v>119</v>
      </c>
      <c r="C12" s="416">
        <f>SUM(C7:C11)</f>
        <v>13799592410</v>
      </c>
      <c r="D12" s="416">
        <f>SUM(D7:D11)</f>
        <v>13586116712</v>
      </c>
      <c r="E12" s="417">
        <f t="shared" si="0"/>
        <v>98.4530289615996</v>
      </c>
    </row>
    <row r="13" spans="1:5" s="406" customFormat="1" ht="12">
      <c r="A13" s="402" t="s">
        <v>120</v>
      </c>
      <c r="B13" s="403" t="s">
        <v>708</v>
      </c>
      <c r="C13" s="404">
        <v>4709728500</v>
      </c>
      <c r="D13" s="404">
        <f>D15</f>
        <v>4709728500</v>
      </c>
      <c r="E13" s="405">
        <f t="shared" si="0"/>
        <v>100</v>
      </c>
    </row>
    <row r="14" spans="1:9" s="406" customFormat="1" ht="12">
      <c r="A14" s="407" t="s">
        <v>121</v>
      </c>
      <c r="B14" s="408" t="s">
        <v>122</v>
      </c>
      <c r="C14" s="409">
        <v>0</v>
      </c>
      <c r="D14" s="409">
        <v>0</v>
      </c>
      <c r="E14" s="422" t="str">
        <f t="shared" si="0"/>
        <v>-</v>
      </c>
      <c r="I14" s="406" t="s">
        <v>87</v>
      </c>
    </row>
    <row r="15" spans="1:5" s="406" customFormat="1" ht="12">
      <c r="A15" s="407" t="s">
        <v>123</v>
      </c>
      <c r="B15" s="408" t="s">
        <v>124</v>
      </c>
      <c r="C15" s="409">
        <v>4709728500</v>
      </c>
      <c r="D15" s="409">
        <v>4709728500</v>
      </c>
      <c r="E15" s="410">
        <f t="shared" si="0"/>
        <v>100</v>
      </c>
    </row>
    <row r="16" spans="1:5" s="406" customFormat="1" ht="12">
      <c r="A16" s="407" t="s">
        <v>125</v>
      </c>
      <c r="B16" s="408" t="s">
        <v>126</v>
      </c>
      <c r="C16" s="409">
        <v>0</v>
      </c>
      <c r="D16" s="409">
        <v>0</v>
      </c>
      <c r="E16" s="422" t="str">
        <f t="shared" si="0"/>
        <v>-</v>
      </c>
    </row>
    <row r="17" spans="1:5" s="406" customFormat="1" ht="12">
      <c r="A17" s="407" t="s">
        <v>127</v>
      </c>
      <c r="B17" s="408" t="s">
        <v>128</v>
      </c>
      <c r="C17" s="409">
        <v>0</v>
      </c>
      <c r="D17" s="409">
        <v>0</v>
      </c>
      <c r="E17" s="422" t="str">
        <f t="shared" si="0"/>
        <v>-</v>
      </c>
    </row>
    <row r="18" spans="1:5" s="406" customFormat="1" ht="12">
      <c r="A18" s="407" t="s">
        <v>129</v>
      </c>
      <c r="B18" s="408" t="s">
        <v>130</v>
      </c>
      <c r="C18" s="409">
        <v>0</v>
      </c>
      <c r="D18" s="409">
        <v>0</v>
      </c>
      <c r="E18" s="422" t="str">
        <f t="shared" si="0"/>
        <v>-</v>
      </c>
    </row>
    <row r="19" spans="1:5" s="406" customFormat="1" ht="12">
      <c r="A19" s="407" t="s">
        <v>131</v>
      </c>
      <c r="B19" s="408" t="s">
        <v>704</v>
      </c>
      <c r="C19" s="409">
        <v>0</v>
      </c>
      <c r="D19" s="409">
        <v>0</v>
      </c>
      <c r="E19" s="422" t="str">
        <f t="shared" si="0"/>
        <v>-</v>
      </c>
    </row>
    <row r="20" spans="1:5" s="406" customFormat="1" ht="12">
      <c r="A20" s="407" t="s">
        <v>133</v>
      </c>
      <c r="B20" s="408" t="s">
        <v>132</v>
      </c>
      <c r="C20" s="409">
        <f>SUM(C21:C22)</f>
        <v>0</v>
      </c>
      <c r="D20" s="409">
        <f>SUM(D21:D22)</f>
        <v>0</v>
      </c>
      <c r="E20" s="422" t="str">
        <f t="shared" si="0"/>
        <v>-</v>
      </c>
    </row>
    <row r="21" spans="1:5" s="406" customFormat="1" ht="12">
      <c r="A21" s="407" t="s">
        <v>135</v>
      </c>
      <c r="B21" s="408" t="s">
        <v>134</v>
      </c>
      <c r="C21" s="409">
        <v>0</v>
      </c>
      <c r="D21" s="409">
        <v>0</v>
      </c>
      <c r="E21" s="422" t="str">
        <f t="shared" si="0"/>
        <v>-</v>
      </c>
    </row>
    <row r="22" spans="1:5" s="406" customFormat="1" ht="12">
      <c r="A22" s="407" t="s">
        <v>137</v>
      </c>
      <c r="B22" s="408" t="s">
        <v>136</v>
      </c>
      <c r="C22" s="409">
        <v>0</v>
      </c>
      <c r="D22" s="409">
        <v>0</v>
      </c>
      <c r="E22" s="422" t="str">
        <f t="shared" si="0"/>
        <v>-</v>
      </c>
    </row>
    <row r="23" spans="1:5" s="406" customFormat="1" ht="12.75" thickBot="1">
      <c r="A23" s="423" t="s">
        <v>139</v>
      </c>
      <c r="B23" s="412" t="s">
        <v>138</v>
      </c>
      <c r="C23" s="413">
        <v>0</v>
      </c>
      <c r="D23" s="413">
        <v>0</v>
      </c>
      <c r="E23" s="424" t="str">
        <f t="shared" si="0"/>
        <v>-</v>
      </c>
    </row>
    <row r="24" spans="1:5" s="406" customFormat="1" ht="12.75" thickBot="1">
      <c r="A24" s="397" t="s">
        <v>141</v>
      </c>
      <c r="B24" s="415" t="s">
        <v>140</v>
      </c>
      <c r="C24" s="416">
        <f>C13+C20+C23</f>
        <v>4709728500</v>
      </c>
      <c r="D24" s="416">
        <f>D13+D20+D23</f>
        <v>4709728500</v>
      </c>
      <c r="E24" s="417">
        <f t="shared" si="0"/>
        <v>100</v>
      </c>
    </row>
    <row r="25" spans="1:5" s="406" customFormat="1" ht="12">
      <c r="A25" s="425" t="s">
        <v>143</v>
      </c>
      <c r="B25" s="403" t="s">
        <v>142</v>
      </c>
      <c r="C25" s="404">
        <v>0</v>
      </c>
      <c r="D25" s="404">
        <v>0</v>
      </c>
      <c r="E25" s="426" t="str">
        <f t="shared" si="0"/>
        <v>-</v>
      </c>
    </row>
    <row r="26" spans="1:5" s="406" customFormat="1" ht="12">
      <c r="A26" s="407" t="s">
        <v>145</v>
      </c>
      <c r="B26" s="408" t="s">
        <v>144</v>
      </c>
      <c r="C26" s="409">
        <v>0</v>
      </c>
      <c r="D26" s="409">
        <v>0</v>
      </c>
      <c r="E26" s="420" t="str">
        <f t="shared" si="0"/>
        <v>-</v>
      </c>
    </row>
    <row r="27" spans="1:5" s="406" customFormat="1" ht="12">
      <c r="A27" s="407" t="s">
        <v>147</v>
      </c>
      <c r="B27" s="408" t="s">
        <v>146</v>
      </c>
      <c r="C27" s="409">
        <v>0</v>
      </c>
      <c r="D27" s="409">
        <v>0</v>
      </c>
      <c r="E27" s="420" t="str">
        <f t="shared" si="0"/>
        <v>-</v>
      </c>
    </row>
    <row r="28" spans="1:5" s="406" customFormat="1" ht="12">
      <c r="A28" s="407" t="s">
        <v>149</v>
      </c>
      <c r="B28" s="408" t="s">
        <v>148</v>
      </c>
      <c r="C28" s="409">
        <v>0</v>
      </c>
      <c r="D28" s="409">
        <v>0</v>
      </c>
      <c r="E28" s="420" t="str">
        <f t="shared" si="0"/>
        <v>-</v>
      </c>
    </row>
    <row r="29" spans="1:5" s="406" customFormat="1" ht="12.75" thickBot="1">
      <c r="A29" s="423" t="s">
        <v>151</v>
      </c>
      <c r="B29" s="412" t="s">
        <v>150</v>
      </c>
      <c r="C29" s="413">
        <v>0</v>
      </c>
      <c r="D29" s="413">
        <v>0</v>
      </c>
      <c r="E29" s="414" t="str">
        <f t="shared" si="0"/>
        <v>-</v>
      </c>
    </row>
    <row r="30" spans="1:5" s="406" customFormat="1" ht="12.75" thickBot="1">
      <c r="A30" s="397" t="s">
        <v>153</v>
      </c>
      <c r="B30" s="415" t="s">
        <v>152</v>
      </c>
      <c r="C30" s="416">
        <f>C25+C29</f>
        <v>0</v>
      </c>
      <c r="D30" s="416">
        <f>D25+D29</f>
        <v>0</v>
      </c>
      <c r="E30" s="427" t="str">
        <f t="shared" si="0"/>
        <v>-</v>
      </c>
    </row>
    <row r="31" spans="1:5" s="406" customFormat="1" ht="25.5" customHeight="1" thickBot="1">
      <c r="A31" s="428" t="s">
        <v>155</v>
      </c>
      <c r="B31" s="415" t="s">
        <v>154</v>
      </c>
      <c r="C31" s="416">
        <f>C6+C12+C24+C30</f>
        <v>18520520601</v>
      </c>
      <c r="D31" s="416">
        <f>D6+D12+D24+D30</f>
        <v>18310165365</v>
      </c>
      <c r="E31" s="417">
        <f t="shared" si="0"/>
        <v>98.86420451923667</v>
      </c>
    </row>
    <row r="32" spans="1:5" s="406" customFormat="1" ht="12">
      <c r="A32" s="425" t="s">
        <v>157</v>
      </c>
      <c r="B32" s="403" t="s">
        <v>156</v>
      </c>
      <c r="C32" s="404">
        <v>19041157</v>
      </c>
      <c r="D32" s="404">
        <v>18876269</v>
      </c>
      <c r="E32" s="405">
        <f t="shared" si="0"/>
        <v>99.1340442180063</v>
      </c>
    </row>
    <row r="33" spans="1:5" s="406" customFormat="1" ht="12">
      <c r="A33" s="407" t="s">
        <v>159</v>
      </c>
      <c r="B33" s="408" t="s">
        <v>158</v>
      </c>
      <c r="C33" s="409">
        <v>0</v>
      </c>
      <c r="D33" s="409">
        <v>0</v>
      </c>
      <c r="E33" s="420" t="str">
        <f t="shared" si="0"/>
        <v>-</v>
      </c>
    </row>
    <row r="34" spans="1:5" s="406" customFormat="1" ht="12">
      <c r="A34" s="407" t="s">
        <v>161</v>
      </c>
      <c r="B34" s="408" t="s">
        <v>160</v>
      </c>
      <c r="C34" s="409">
        <v>0</v>
      </c>
      <c r="D34" s="409">
        <v>0</v>
      </c>
      <c r="E34" s="420" t="str">
        <f t="shared" si="0"/>
        <v>-</v>
      </c>
    </row>
    <row r="35" spans="1:5" s="406" customFormat="1" ht="12">
      <c r="A35" s="407" t="s">
        <v>163</v>
      </c>
      <c r="B35" s="408" t="s">
        <v>162</v>
      </c>
      <c r="C35" s="409">
        <v>0</v>
      </c>
      <c r="D35" s="409">
        <v>0</v>
      </c>
      <c r="E35" s="420" t="str">
        <f t="shared" si="0"/>
        <v>-</v>
      </c>
    </row>
    <row r="36" spans="1:5" s="406" customFormat="1" ht="12.75" thickBot="1">
      <c r="A36" s="423" t="s">
        <v>165</v>
      </c>
      <c r="B36" s="412" t="s">
        <v>164</v>
      </c>
      <c r="C36" s="413">
        <v>0</v>
      </c>
      <c r="D36" s="413">
        <v>0</v>
      </c>
      <c r="E36" s="414" t="str">
        <f t="shared" si="0"/>
        <v>-</v>
      </c>
    </row>
    <row r="37" spans="1:5" s="406" customFormat="1" ht="12.75" thickBot="1">
      <c r="A37" s="397" t="s">
        <v>167</v>
      </c>
      <c r="B37" s="415" t="s">
        <v>166</v>
      </c>
      <c r="C37" s="416">
        <f>SUM(C32:C36)</f>
        <v>19041157</v>
      </c>
      <c r="D37" s="416">
        <f>SUM(D32:D36)</f>
        <v>18876269</v>
      </c>
      <c r="E37" s="417">
        <f t="shared" si="0"/>
        <v>99.1340442180063</v>
      </c>
    </row>
    <row r="38" spans="1:5" s="406" customFormat="1" ht="12">
      <c r="A38" s="425" t="s">
        <v>168</v>
      </c>
      <c r="B38" s="403" t="s">
        <v>705</v>
      </c>
      <c r="C38" s="404">
        <f>SUM(C39:C40)</f>
        <v>0</v>
      </c>
      <c r="D38" s="404">
        <f>SUM(D39:D40)</f>
        <v>0</v>
      </c>
      <c r="E38" s="426" t="str">
        <f t="shared" si="0"/>
        <v>-</v>
      </c>
    </row>
    <row r="39" spans="1:5" s="406" customFormat="1" ht="12">
      <c r="A39" s="407" t="s">
        <v>170</v>
      </c>
      <c r="B39" s="429" t="s">
        <v>706</v>
      </c>
      <c r="C39" s="430">
        <v>0</v>
      </c>
      <c r="D39" s="430">
        <v>0</v>
      </c>
      <c r="E39" s="431" t="str">
        <f t="shared" si="0"/>
        <v>-</v>
      </c>
    </row>
    <row r="40" spans="1:5" s="406" customFormat="1" ht="12">
      <c r="A40" s="407" t="s">
        <v>172</v>
      </c>
      <c r="B40" s="429" t="s">
        <v>707</v>
      </c>
      <c r="C40" s="430">
        <v>0</v>
      </c>
      <c r="D40" s="430">
        <v>0</v>
      </c>
      <c r="E40" s="431" t="str">
        <f t="shared" si="0"/>
        <v>-</v>
      </c>
    </row>
    <row r="41" spans="1:5" s="406" customFormat="1" ht="12">
      <c r="A41" s="407" t="s">
        <v>174</v>
      </c>
      <c r="B41" s="408" t="s">
        <v>169</v>
      </c>
      <c r="C41" s="409">
        <f>SUM(C42:C45)</f>
        <v>1013629000</v>
      </c>
      <c r="D41" s="409">
        <f>SUM(D42:D45)</f>
        <v>203389000</v>
      </c>
      <c r="E41" s="422">
        <f t="shared" si="0"/>
        <v>20.06542827799915</v>
      </c>
    </row>
    <row r="42" spans="1:5" s="406" customFormat="1" ht="12">
      <c r="A42" s="407" t="s">
        <v>176</v>
      </c>
      <c r="B42" s="408" t="s">
        <v>171</v>
      </c>
      <c r="C42" s="409">
        <v>0</v>
      </c>
      <c r="D42" s="409">
        <v>0</v>
      </c>
      <c r="E42" s="420" t="str">
        <f t="shared" si="0"/>
        <v>-</v>
      </c>
    </row>
    <row r="43" spans="1:5" s="406" customFormat="1" ht="12">
      <c r="A43" s="407" t="s">
        <v>178</v>
      </c>
      <c r="B43" s="408" t="s">
        <v>173</v>
      </c>
      <c r="C43" s="409">
        <v>652820000</v>
      </c>
      <c r="D43" s="409">
        <v>0</v>
      </c>
      <c r="E43" s="420">
        <f t="shared" si="0"/>
        <v>0</v>
      </c>
    </row>
    <row r="44" spans="1:5" s="406" customFormat="1" ht="12">
      <c r="A44" s="407" t="s">
        <v>179</v>
      </c>
      <c r="B44" s="408" t="s">
        <v>175</v>
      </c>
      <c r="C44" s="409">
        <v>360809000</v>
      </c>
      <c r="D44" s="409">
        <v>203389000</v>
      </c>
      <c r="E44" s="420">
        <f t="shared" si="0"/>
        <v>56.37026792568921</v>
      </c>
    </row>
    <row r="45" spans="1:5" s="406" customFormat="1" ht="12.75" thickBot="1">
      <c r="A45" s="407" t="s">
        <v>181</v>
      </c>
      <c r="B45" s="408" t="s">
        <v>177</v>
      </c>
      <c r="C45" s="409">
        <v>0</v>
      </c>
      <c r="D45" s="409">
        <v>0</v>
      </c>
      <c r="E45" s="422" t="str">
        <f t="shared" si="0"/>
        <v>-</v>
      </c>
    </row>
    <row r="46" spans="1:5" s="406" customFormat="1" ht="12.75" thickBot="1">
      <c r="A46" s="397">
        <v>44</v>
      </c>
      <c r="B46" s="415" t="s">
        <v>180</v>
      </c>
      <c r="C46" s="416">
        <f>C38+C41</f>
        <v>1013629000</v>
      </c>
      <c r="D46" s="416">
        <f>D38+D41</f>
        <v>203389000</v>
      </c>
      <c r="E46" s="427">
        <f t="shared" si="0"/>
        <v>20.06542827799915</v>
      </c>
    </row>
    <row r="47" spans="1:5" s="406" customFormat="1" ht="12.75" thickBot="1">
      <c r="A47" s="397" t="s">
        <v>184</v>
      </c>
      <c r="B47" s="415" t="s">
        <v>182</v>
      </c>
      <c r="C47" s="416">
        <f>C37+C46</f>
        <v>1032670157</v>
      </c>
      <c r="D47" s="416">
        <f>D37+D46</f>
        <v>222265269</v>
      </c>
      <c r="E47" s="417">
        <f t="shared" si="0"/>
        <v>21.523355496754228</v>
      </c>
    </row>
    <row r="48" spans="1:5" s="406" customFormat="1" ht="12">
      <c r="A48" s="402" t="s">
        <v>186</v>
      </c>
      <c r="B48" s="403" t="s">
        <v>183</v>
      </c>
      <c r="C48" s="404">
        <v>4200000000</v>
      </c>
      <c r="D48" s="404">
        <v>3600000000</v>
      </c>
      <c r="E48" s="426">
        <f t="shared" si="0"/>
        <v>85.71428571428571</v>
      </c>
    </row>
    <row r="49" spans="1:5" s="406" customFormat="1" ht="12.75" thickBot="1">
      <c r="A49" s="425" t="s">
        <v>187</v>
      </c>
      <c r="B49" s="412" t="s">
        <v>185</v>
      </c>
      <c r="C49" s="413">
        <v>0</v>
      </c>
      <c r="D49" s="413">
        <v>0</v>
      </c>
      <c r="E49" s="414" t="str">
        <f t="shared" si="0"/>
        <v>-</v>
      </c>
    </row>
    <row r="50" spans="1:5" s="406" customFormat="1" ht="12.75" thickBot="1">
      <c r="A50" s="397" t="s">
        <v>189</v>
      </c>
      <c r="B50" s="415" t="s">
        <v>860</v>
      </c>
      <c r="C50" s="416">
        <f>SUM(C48:C49)</f>
        <v>4200000000</v>
      </c>
      <c r="D50" s="416">
        <f>SUM(D48:D49)</f>
        <v>3600000000</v>
      </c>
      <c r="E50" s="432">
        <f t="shared" si="0"/>
        <v>85.71428571428571</v>
      </c>
    </row>
    <row r="51" spans="1:5" s="406" customFormat="1" ht="12">
      <c r="A51" s="402" t="s">
        <v>191</v>
      </c>
      <c r="B51" s="433" t="s">
        <v>188</v>
      </c>
      <c r="C51" s="434">
        <v>1028465</v>
      </c>
      <c r="D51" s="434">
        <v>1121160</v>
      </c>
      <c r="E51" s="435">
        <f t="shared" si="0"/>
        <v>109.01294647848978</v>
      </c>
    </row>
    <row r="52" spans="1:5" s="406" customFormat="1" ht="12">
      <c r="A52" s="425" t="s">
        <v>193</v>
      </c>
      <c r="B52" s="408" t="s">
        <v>190</v>
      </c>
      <c r="C52" s="409">
        <v>0</v>
      </c>
      <c r="D52" s="409">
        <v>0</v>
      </c>
      <c r="E52" s="420" t="str">
        <f t="shared" si="0"/>
        <v>-</v>
      </c>
    </row>
    <row r="53" spans="1:5" s="406" customFormat="1" ht="12.75" thickBot="1">
      <c r="A53" s="407" t="s">
        <v>195</v>
      </c>
      <c r="B53" s="433" t="s">
        <v>192</v>
      </c>
      <c r="C53" s="434">
        <v>0</v>
      </c>
      <c r="D53" s="434">
        <v>0</v>
      </c>
      <c r="E53" s="436" t="str">
        <f t="shared" si="0"/>
        <v>-</v>
      </c>
    </row>
    <row r="54" spans="1:5" s="406" customFormat="1" ht="12.75" thickBot="1">
      <c r="A54" s="397" t="s">
        <v>197</v>
      </c>
      <c r="B54" s="415" t="s">
        <v>194</v>
      </c>
      <c r="C54" s="416">
        <f>SUM(C51:C53)</f>
        <v>1028465</v>
      </c>
      <c r="D54" s="416">
        <f>SUM(D51:D53)</f>
        <v>1121160</v>
      </c>
      <c r="E54" s="417">
        <f t="shared" si="0"/>
        <v>109.01294647848978</v>
      </c>
    </row>
    <row r="55" spans="1:5" s="406" customFormat="1" ht="12">
      <c r="A55" s="402" t="s">
        <v>199</v>
      </c>
      <c r="B55" s="433" t="s">
        <v>196</v>
      </c>
      <c r="C55" s="434">
        <v>517980733</v>
      </c>
      <c r="D55" s="434">
        <v>975277679</v>
      </c>
      <c r="E55" s="435">
        <f t="shared" si="0"/>
        <v>188.28454744860173</v>
      </c>
    </row>
    <row r="56" spans="1:5" s="406" customFormat="1" ht="12.75" thickBot="1">
      <c r="A56" s="425" t="s">
        <v>201</v>
      </c>
      <c r="B56" s="412" t="s">
        <v>198</v>
      </c>
      <c r="C56" s="413"/>
      <c r="D56" s="413">
        <v>240252932</v>
      </c>
      <c r="E56" s="424" t="str">
        <f t="shared" si="0"/>
        <v>-</v>
      </c>
    </row>
    <row r="57" spans="1:5" s="406" customFormat="1" ht="12.75" thickBot="1">
      <c r="A57" s="397" t="s">
        <v>203</v>
      </c>
      <c r="B57" s="415" t="s">
        <v>200</v>
      </c>
      <c r="C57" s="416">
        <f>SUM(C55:C56)</f>
        <v>517980733</v>
      </c>
      <c r="D57" s="416">
        <f>SUM(D55:D56)</f>
        <v>1215530611</v>
      </c>
      <c r="E57" s="417">
        <f t="shared" si="0"/>
        <v>234.66714755199206</v>
      </c>
    </row>
    <row r="58" spans="1:5" s="406" customFormat="1" ht="12">
      <c r="A58" s="402" t="s">
        <v>205</v>
      </c>
      <c r="B58" s="433" t="s">
        <v>202</v>
      </c>
      <c r="C58" s="434">
        <v>0</v>
      </c>
      <c r="D58" s="434">
        <v>0</v>
      </c>
      <c r="E58" s="436" t="str">
        <f t="shared" si="0"/>
        <v>-</v>
      </c>
    </row>
    <row r="59" spans="1:5" s="406" customFormat="1" ht="12.75" thickBot="1">
      <c r="A59" s="425" t="s">
        <v>207</v>
      </c>
      <c r="B59" s="412" t="s">
        <v>204</v>
      </c>
      <c r="C59" s="413">
        <v>0</v>
      </c>
      <c r="D59" s="413">
        <v>0</v>
      </c>
      <c r="E59" s="414" t="str">
        <f t="shared" si="0"/>
        <v>-</v>
      </c>
    </row>
    <row r="60" spans="1:5" s="406" customFormat="1" ht="12.75" thickBot="1">
      <c r="A60" s="397" t="s">
        <v>209</v>
      </c>
      <c r="B60" s="415" t="s">
        <v>206</v>
      </c>
      <c r="C60" s="416">
        <f>SUM(C58:C59)</f>
        <v>0</v>
      </c>
      <c r="D60" s="416">
        <f>SUM(D58:D59)</f>
        <v>0</v>
      </c>
      <c r="E60" s="432" t="str">
        <f t="shared" si="0"/>
        <v>-</v>
      </c>
    </row>
    <row r="61" spans="1:5" s="406" customFormat="1" ht="12.75" thickBot="1">
      <c r="A61" s="397" t="s">
        <v>211</v>
      </c>
      <c r="B61" s="415" t="s">
        <v>208</v>
      </c>
      <c r="C61" s="416">
        <f>C50+C54+C57+C60</f>
        <v>4719009198</v>
      </c>
      <c r="D61" s="416">
        <f>D50+D54+D57+D60</f>
        <v>4816651771</v>
      </c>
      <c r="E61" s="417">
        <f t="shared" si="0"/>
        <v>102.06913292394901</v>
      </c>
    </row>
    <row r="62" spans="1:5" s="406" customFormat="1" ht="24">
      <c r="A62" s="402" t="s">
        <v>213</v>
      </c>
      <c r="B62" s="403" t="s">
        <v>210</v>
      </c>
      <c r="C62" s="404">
        <v>230233550</v>
      </c>
      <c r="D62" s="404">
        <v>198344913</v>
      </c>
      <c r="E62" s="437">
        <f t="shared" si="0"/>
        <v>86.14943955822251</v>
      </c>
    </row>
    <row r="63" spans="1:5" s="406" customFormat="1" ht="24">
      <c r="A63" s="425" t="s">
        <v>215</v>
      </c>
      <c r="B63" s="408" t="s">
        <v>212</v>
      </c>
      <c r="C63" s="409">
        <v>0</v>
      </c>
      <c r="D63" s="409">
        <v>0</v>
      </c>
      <c r="E63" s="420" t="str">
        <f t="shared" si="0"/>
        <v>-</v>
      </c>
    </row>
    <row r="64" spans="1:5" s="406" customFormat="1" ht="24">
      <c r="A64" s="407" t="s">
        <v>217</v>
      </c>
      <c r="B64" s="408" t="s">
        <v>214</v>
      </c>
      <c r="C64" s="409">
        <v>0</v>
      </c>
      <c r="D64" s="409">
        <v>0</v>
      </c>
      <c r="E64" s="420" t="str">
        <f t="shared" si="0"/>
        <v>-</v>
      </c>
    </row>
    <row r="65" spans="1:5" s="406" customFormat="1" ht="24.75" thickBot="1">
      <c r="A65" s="411" t="s">
        <v>219</v>
      </c>
      <c r="B65" s="412" t="s">
        <v>216</v>
      </c>
      <c r="C65" s="413">
        <v>0</v>
      </c>
      <c r="D65" s="413">
        <v>0</v>
      </c>
      <c r="E65" s="414" t="str">
        <f t="shared" si="0"/>
        <v>-</v>
      </c>
    </row>
    <row r="66" spans="1:5" s="406" customFormat="1" ht="12">
      <c r="A66" s="425" t="s">
        <v>221</v>
      </c>
      <c r="B66" s="429" t="s">
        <v>218</v>
      </c>
      <c r="C66" s="430">
        <f>SUM(C67:C72)</f>
        <v>53231924</v>
      </c>
      <c r="D66" s="430">
        <f>SUM(D67:D72)</f>
        <v>139400085</v>
      </c>
      <c r="E66" s="449">
        <f t="shared" si="0"/>
        <v>261.8730914178492</v>
      </c>
    </row>
    <row r="67" spans="1:5" s="406" customFormat="1" ht="12">
      <c r="A67" s="407" t="s">
        <v>223</v>
      </c>
      <c r="B67" s="408" t="s">
        <v>220</v>
      </c>
      <c r="C67" s="409">
        <v>0</v>
      </c>
      <c r="D67" s="409">
        <v>0</v>
      </c>
      <c r="E67" s="420" t="str">
        <f t="shared" si="0"/>
        <v>-</v>
      </c>
    </row>
    <row r="68" spans="1:5" s="406" customFormat="1" ht="12">
      <c r="A68" s="407" t="s">
        <v>225</v>
      </c>
      <c r="B68" s="408" t="s">
        <v>222</v>
      </c>
      <c r="C68" s="409">
        <v>0</v>
      </c>
      <c r="D68" s="409">
        <v>0</v>
      </c>
      <c r="E68" s="420" t="str">
        <f t="shared" si="0"/>
        <v>-</v>
      </c>
    </row>
    <row r="69" spans="1:5" s="406" customFormat="1" ht="24">
      <c r="A69" s="407" t="s">
        <v>227</v>
      </c>
      <c r="B69" s="408" t="s">
        <v>224</v>
      </c>
      <c r="C69" s="409">
        <v>0</v>
      </c>
      <c r="D69" s="409">
        <v>0</v>
      </c>
      <c r="E69" s="420" t="str">
        <f t="shared" si="0"/>
        <v>-</v>
      </c>
    </row>
    <row r="70" spans="1:5" s="406" customFormat="1" ht="12">
      <c r="A70" s="407" t="s">
        <v>229</v>
      </c>
      <c r="B70" s="408" t="s">
        <v>226</v>
      </c>
      <c r="C70" s="409">
        <v>3212975</v>
      </c>
      <c r="D70" s="409">
        <v>46337405</v>
      </c>
      <c r="E70" s="410">
        <f t="shared" si="0"/>
        <v>1442.196251137964</v>
      </c>
    </row>
    <row r="71" spans="1:5" s="406" customFormat="1" ht="12">
      <c r="A71" s="407" t="s">
        <v>231</v>
      </c>
      <c r="B71" s="408" t="s">
        <v>228</v>
      </c>
      <c r="C71" s="409">
        <v>42799309</v>
      </c>
      <c r="D71" s="409">
        <v>40676254</v>
      </c>
      <c r="E71" s="410">
        <f aca="true" t="shared" si="1" ref="E71:E134">IF(C71=0,"-",D71/C71*100)</f>
        <v>95.03951103509638</v>
      </c>
    </row>
    <row r="72" spans="1:5" s="406" customFormat="1" ht="12">
      <c r="A72" s="407" t="s">
        <v>233</v>
      </c>
      <c r="B72" s="408" t="s">
        <v>230</v>
      </c>
      <c r="C72" s="409">
        <v>7219640</v>
      </c>
      <c r="D72" s="409">
        <v>52386426</v>
      </c>
      <c r="E72" s="410">
        <f t="shared" si="1"/>
        <v>725.6099473103922</v>
      </c>
    </row>
    <row r="73" spans="1:5" s="406" customFormat="1" ht="12">
      <c r="A73" s="407" t="s">
        <v>235</v>
      </c>
      <c r="B73" s="408" t="s">
        <v>232</v>
      </c>
      <c r="C73" s="409">
        <f>SUM(C74:C82)</f>
        <v>61292521</v>
      </c>
      <c r="D73" s="409">
        <v>82859430</v>
      </c>
      <c r="E73" s="410">
        <f t="shared" si="1"/>
        <v>135.18685256884768</v>
      </c>
    </row>
    <row r="74" spans="1:5" s="406" customFormat="1" ht="24">
      <c r="A74" s="407" t="s">
        <v>237</v>
      </c>
      <c r="B74" s="408" t="s">
        <v>234</v>
      </c>
      <c r="C74" s="409">
        <v>2582932</v>
      </c>
      <c r="D74" s="409">
        <v>6740116</v>
      </c>
      <c r="E74" s="410">
        <f t="shared" si="1"/>
        <v>260.9482557032086</v>
      </c>
    </row>
    <row r="75" spans="1:5" s="406" customFormat="1" ht="12">
      <c r="A75" s="407" t="s">
        <v>239</v>
      </c>
      <c r="B75" s="408" t="s">
        <v>236</v>
      </c>
      <c r="C75" s="409">
        <v>30208042</v>
      </c>
      <c r="D75" s="409">
        <v>41173589</v>
      </c>
      <c r="E75" s="410">
        <f t="shared" si="1"/>
        <v>136.3000918761964</v>
      </c>
    </row>
    <row r="76" spans="1:5" s="406" customFormat="1" ht="12">
      <c r="A76" s="407" t="s">
        <v>241</v>
      </c>
      <c r="B76" s="408" t="s">
        <v>238</v>
      </c>
      <c r="C76" s="409">
        <v>10196031</v>
      </c>
      <c r="D76" s="409">
        <v>14162516</v>
      </c>
      <c r="E76" s="410">
        <f t="shared" si="1"/>
        <v>138.90224539333</v>
      </c>
    </row>
    <row r="77" spans="1:5" s="406" customFormat="1" ht="12">
      <c r="A77" s="407" t="s">
        <v>243</v>
      </c>
      <c r="B77" s="408" t="s">
        <v>240</v>
      </c>
      <c r="C77" s="409">
        <v>10917512</v>
      </c>
      <c r="D77" s="409">
        <v>17238842</v>
      </c>
      <c r="E77" s="410">
        <f t="shared" si="1"/>
        <v>157.90082941974327</v>
      </c>
    </row>
    <row r="78" spans="1:5" s="406" customFormat="1" ht="12">
      <c r="A78" s="407" t="s">
        <v>244</v>
      </c>
      <c r="B78" s="408" t="s">
        <v>242</v>
      </c>
      <c r="C78" s="409"/>
      <c r="D78" s="409"/>
      <c r="E78" s="420" t="str">
        <f t="shared" si="1"/>
        <v>-</v>
      </c>
    </row>
    <row r="79" spans="1:5" s="406" customFormat="1" ht="24">
      <c r="A79" s="407" t="s">
        <v>246</v>
      </c>
      <c r="B79" s="408" t="s">
        <v>651</v>
      </c>
      <c r="C79" s="409">
        <v>0</v>
      </c>
      <c r="D79" s="409">
        <v>0</v>
      </c>
      <c r="E79" s="420" t="str">
        <f t="shared" si="1"/>
        <v>-</v>
      </c>
    </row>
    <row r="80" spans="1:5" s="406" customFormat="1" ht="12">
      <c r="A80" s="407" t="s">
        <v>248</v>
      </c>
      <c r="B80" s="408" t="s">
        <v>245</v>
      </c>
      <c r="C80" s="409">
        <v>0</v>
      </c>
      <c r="D80" s="409">
        <v>0</v>
      </c>
      <c r="E80" s="420" t="str">
        <f t="shared" si="1"/>
        <v>-</v>
      </c>
    </row>
    <row r="81" spans="1:5" s="406" customFormat="1" ht="12">
      <c r="A81" s="407" t="s">
        <v>250</v>
      </c>
      <c r="B81" s="408" t="s">
        <v>247</v>
      </c>
      <c r="C81" s="409">
        <v>0</v>
      </c>
      <c r="D81" s="409">
        <v>0</v>
      </c>
      <c r="E81" s="420" t="str">
        <f t="shared" si="1"/>
        <v>-</v>
      </c>
    </row>
    <row r="82" spans="1:5" s="406" customFormat="1" ht="12">
      <c r="A82" s="407" t="s">
        <v>252</v>
      </c>
      <c r="B82" s="408" t="s">
        <v>249</v>
      </c>
      <c r="C82" s="409">
        <v>7388004</v>
      </c>
      <c r="D82" s="409">
        <v>3544367</v>
      </c>
      <c r="E82" s="410">
        <f t="shared" si="1"/>
        <v>47.97462210361554</v>
      </c>
    </row>
    <row r="83" spans="1:5" s="406" customFormat="1" ht="12">
      <c r="A83" s="407" t="s">
        <v>254</v>
      </c>
      <c r="B83" s="408" t="s">
        <v>251</v>
      </c>
      <c r="C83" s="409">
        <f>SUM(C84:C88)</f>
        <v>491922</v>
      </c>
      <c r="D83" s="409">
        <f>SUM(D84:D88)</f>
        <v>5010847</v>
      </c>
      <c r="E83" s="410">
        <f t="shared" si="1"/>
        <v>1018.6263269380104</v>
      </c>
    </row>
    <row r="84" spans="1:5" s="406" customFormat="1" ht="12">
      <c r="A84" s="407" t="s">
        <v>256</v>
      </c>
      <c r="B84" s="408" t="s">
        <v>253</v>
      </c>
      <c r="C84" s="409">
        <v>0</v>
      </c>
      <c r="D84" s="409">
        <v>0</v>
      </c>
      <c r="E84" s="420" t="str">
        <f t="shared" si="1"/>
        <v>-</v>
      </c>
    </row>
    <row r="85" spans="1:5" s="406" customFormat="1" ht="12">
      <c r="A85" s="407" t="s">
        <v>258</v>
      </c>
      <c r="B85" s="408" t="s">
        <v>255</v>
      </c>
      <c r="C85" s="409">
        <v>491922</v>
      </c>
      <c r="D85" s="409">
        <v>5010847</v>
      </c>
      <c r="E85" s="410">
        <f t="shared" si="1"/>
        <v>1018.6263269380104</v>
      </c>
    </row>
    <row r="86" spans="1:5" s="406" customFormat="1" ht="12">
      <c r="A86" s="407" t="s">
        <v>260</v>
      </c>
      <c r="B86" s="408" t="s">
        <v>257</v>
      </c>
      <c r="C86" s="409">
        <v>0</v>
      </c>
      <c r="D86" s="409">
        <v>0</v>
      </c>
      <c r="E86" s="420" t="str">
        <f t="shared" si="1"/>
        <v>-</v>
      </c>
    </row>
    <row r="87" spans="1:5" s="406" customFormat="1" ht="12">
      <c r="A87" s="407" t="s">
        <v>262</v>
      </c>
      <c r="B87" s="408" t="s">
        <v>259</v>
      </c>
      <c r="C87" s="409">
        <v>0</v>
      </c>
      <c r="D87" s="409">
        <v>0</v>
      </c>
      <c r="E87" s="420" t="str">
        <f t="shared" si="1"/>
        <v>-</v>
      </c>
    </row>
    <row r="88" spans="1:5" s="406" customFormat="1" ht="24">
      <c r="A88" s="407" t="s">
        <v>264</v>
      </c>
      <c r="B88" s="408" t="s">
        <v>261</v>
      </c>
      <c r="C88" s="409">
        <v>0</v>
      </c>
      <c r="D88" s="409">
        <v>0</v>
      </c>
      <c r="E88" s="420" t="str">
        <f t="shared" si="1"/>
        <v>-</v>
      </c>
    </row>
    <row r="89" spans="1:5" s="406" customFormat="1" ht="24">
      <c r="A89" s="407" t="s">
        <v>266</v>
      </c>
      <c r="B89" s="408" t="s">
        <v>263</v>
      </c>
      <c r="C89" s="409">
        <f>SUM(C90:C92)</f>
        <v>0</v>
      </c>
      <c r="D89" s="409">
        <f>SUM(D90:D92)</f>
        <v>0</v>
      </c>
      <c r="E89" s="410" t="str">
        <f t="shared" si="1"/>
        <v>-</v>
      </c>
    </row>
    <row r="90" spans="1:5" s="406" customFormat="1" ht="24">
      <c r="A90" s="407" t="s">
        <v>268</v>
      </c>
      <c r="B90" s="408" t="s">
        <v>265</v>
      </c>
      <c r="C90" s="409">
        <v>0</v>
      </c>
      <c r="D90" s="409">
        <v>0</v>
      </c>
      <c r="E90" s="420" t="str">
        <f t="shared" si="1"/>
        <v>-</v>
      </c>
    </row>
    <row r="91" spans="1:5" s="406" customFormat="1" ht="24">
      <c r="A91" s="407" t="s">
        <v>270</v>
      </c>
      <c r="B91" s="408" t="s">
        <v>267</v>
      </c>
      <c r="C91" s="409">
        <v>0</v>
      </c>
      <c r="D91" s="409">
        <v>0</v>
      </c>
      <c r="E91" s="420" t="str">
        <f t="shared" si="1"/>
        <v>-</v>
      </c>
    </row>
    <row r="92" spans="1:5" s="406" customFormat="1" ht="24">
      <c r="A92" s="407" t="s">
        <v>272</v>
      </c>
      <c r="B92" s="408" t="s">
        <v>269</v>
      </c>
      <c r="C92" s="409"/>
      <c r="D92" s="409"/>
      <c r="E92" s="410" t="str">
        <f t="shared" si="1"/>
        <v>-</v>
      </c>
    </row>
    <row r="93" spans="1:5" s="406" customFormat="1" ht="24">
      <c r="A93" s="407" t="s">
        <v>274</v>
      </c>
      <c r="B93" s="408" t="s">
        <v>271</v>
      </c>
      <c r="C93" s="409">
        <f>SUM(C94:C96)</f>
        <v>58693960</v>
      </c>
      <c r="D93" s="409">
        <f>SUM(D94:D96)</f>
        <v>1766444</v>
      </c>
      <c r="E93" s="410">
        <f t="shared" si="1"/>
        <v>3.0095839503758137</v>
      </c>
    </row>
    <row r="94" spans="1:5" s="406" customFormat="1" ht="24">
      <c r="A94" s="407" t="s">
        <v>276</v>
      </c>
      <c r="B94" s="408" t="s">
        <v>273</v>
      </c>
      <c r="C94" s="409">
        <v>0</v>
      </c>
      <c r="D94" s="409">
        <v>0</v>
      </c>
      <c r="E94" s="420" t="str">
        <f t="shared" si="1"/>
        <v>-</v>
      </c>
    </row>
    <row r="95" spans="1:5" s="406" customFormat="1" ht="24">
      <c r="A95" s="407" t="s">
        <v>278</v>
      </c>
      <c r="B95" s="408" t="s">
        <v>275</v>
      </c>
      <c r="C95" s="409">
        <v>0</v>
      </c>
      <c r="D95" s="409">
        <v>0</v>
      </c>
      <c r="E95" s="420" t="str">
        <f t="shared" si="1"/>
        <v>-</v>
      </c>
    </row>
    <row r="96" spans="1:5" s="406" customFormat="1" ht="24">
      <c r="A96" s="407" t="s">
        <v>280</v>
      </c>
      <c r="B96" s="408" t="s">
        <v>277</v>
      </c>
      <c r="C96" s="409">
        <v>58693960</v>
      </c>
      <c r="D96" s="409">
        <v>1766444</v>
      </c>
      <c r="E96" s="410">
        <f t="shared" si="1"/>
        <v>3.0095839503758137</v>
      </c>
    </row>
    <row r="97" spans="1:5" s="406" customFormat="1" ht="12">
      <c r="A97" s="407" t="s">
        <v>282</v>
      </c>
      <c r="B97" s="408" t="s">
        <v>279</v>
      </c>
      <c r="C97" s="409">
        <f>SUM(C98:C104)</f>
        <v>0</v>
      </c>
      <c r="D97" s="409">
        <f>SUM(D98:D104)</f>
        <v>0</v>
      </c>
      <c r="E97" s="420" t="str">
        <f t="shared" si="1"/>
        <v>-</v>
      </c>
    </row>
    <row r="98" spans="1:5" s="406" customFormat="1" ht="24">
      <c r="A98" s="407" t="s">
        <v>284</v>
      </c>
      <c r="B98" s="408" t="s">
        <v>281</v>
      </c>
      <c r="C98" s="409">
        <v>0</v>
      </c>
      <c r="D98" s="409">
        <v>0</v>
      </c>
      <c r="E98" s="420" t="str">
        <f t="shared" si="1"/>
        <v>-</v>
      </c>
    </row>
    <row r="99" spans="1:5" s="406" customFormat="1" ht="24">
      <c r="A99" s="407" t="s">
        <v>286</v>
      </c>
      <c r="B99" s="408" t="s">
        <v>283</v>
      </c>
      <c r="C99" s="409">
        <v>0</v>
      </c>
      <c r="D99" s="409">
        <v>0</v>
      </c>
      <c r="E99" s="420" t="str">
        <f t="shared" si="1"/>
        <v>-</v>
      </c>
    </row>
    <row r="100" spans="1:5" s="406" customFormat="1" ht="24">
      <c r="A100" s="407" t="s">
        <v>288</v>
      </c>
      <c r="B100" s="408" t="s">
        <v>285</v>
      </c>
      <c r="C100" s="409">
        <v>0</v>
      </c>
      <c r="D100" s="409">
        <v>0</v>
      </c>
      <c r="E100" s="420" t="str">
        <f t="shared" si="1"/>
        <v>-</v>
      </c>
    </row>
    <row r="101" spans="1:5" s="406" customFormat="1" ht="24">
      <c r="A101" s="407" t="s">
        <v>290</v>
      </c>
      <c r="B101" s="408" t="s">
        <v>287</v>
      </c>
      <c r="C101" s="409">
        <v>0</v>
      </c>
      <c r="D101" s="409">
        <v>0</v>
      </c>
      <c r="E101" s="420" t="str">
        <f t="shared" si="1"/>
        <v>-</v>
      </c>
    </row>
    <row r="102" spans="1:5" s="406" customFormat="1" ht="24">
      <c r="A102" s="407" t="s">
        <v>292</v>
      </c>
      <c r="B102" s="408" t="s">
        <v>289</v>
      </c>
      <c r="C102" s="409">
        <v>0</v>
      </c>
      <c r="D102" s="409">
        <v>0</v>
      </c>
      <c r="E102" s="420" t="str">
        <f t="shared" si="1"/>
        <v>-</v>
      </c>
    </row>
    <row r="103" spans="1:5" s="406" customFormat="1" ht="24">
      <c r="A103" s="407" t="s">
        <v>294</v>
      </c>
      <c r="B103" s="408" t="s">
        <v>291</v>
      </c>
      <c r="C103" s="409">
        <v>0</v>
      </c>
      <c r="D103" s="409">
        <v>0</v>
      </c>
      <c r="E103" s="420" t="str">
        <f t="shared" si="1"/>
        <v>-</v>
      </c>
    </row>
    <row r="104" spans="1:5" s="406" customFormat="1" ht="24.75" thickBot="1">
      <c r="A104" s="407" t="s">
        <v>296</v>
      </c>
      <c r="B104" s="412" t="s">
        <v>293</v>
      </c>
      <c r="C104" s="413">
        <v>0</v>
      </c>
      <c r="D104" s="413">
        <v>0</v>
      </c>
      <c r="E104" s="414" t="str">
        <f t="shared" si="1"/>
        <v>-</v>
      </c>
    </row>
    <row r="105" spans="1:5" s="406" customFormat="1" ht="12.75" thickBot="1">
      <c r="A105" s="397" t="s">
        <v>298</v>
      </c>
      <c r="B105" s="415" t="s">
        <v>295</v>
      </c>
      <c r="C105" s="416">
        <f>C62+C64+C66+C73+C83+C89+C93+C97</f>
        <v>403943877</v>
      </c>
      <c r="D105" s="416">
        <f>D62+D64+D66+D73+D83+D89+D93+D97</f>
        <v>427381719</v>
      </c>
      <c r="E105" s="417">
        <f t="shared" si="1"/>
        <v>105.80225207869655</v>
      </c>
    </row>
    <row r="106" spans="1:5" s="406" customFormat="1" ht="24">
      <c r="A106" s="402" t="s">
        <v>300</v>
      </c>
      <c r="B106" s="403" t="s">
        <v>297</v>
      </c>
      <c r="C106" s="404">
        <v>0</v>
      </c>
      <c r="D106" s="404">
        <v>0</v>
      </c>
      <c r="E106" s="426" t="str">
        <f t="shared" si="1"/>
        <v>-</v>
      </c>
    </row>
    <row r="107" spans="1:5" s="406" customFormat="1" ht="24">
      <c r="A107" s="425" t="s">
        <v>302</v>
      </c>
      <c r="B107" s="408" t="s">
        <v>299</v>
      </c>
      <c r="C107" s="409">
        <v>0</v>
      </c>
      <c r="D107" s="409">
        <v>0</v>
      </c>
      <c r="E107" s="420" t="str">
        <f t="shared" si="1"/>
        <v>-</v>
      </c>
    </row>
    <row r="108" spans="1:5" s="406" customFormat="1" ht="24">
      <c r="A108" s="407" t="s">
        <v>304</v>
      </c>
      <c r="B108" s="408" t="s">
        <v>301</v>
      </c>
      <c r="C108" s="409">
        <v>0</v>
      </c>
      <c r="D108" s="409">
        <v>0</v>
      </c>
      <c r="E108" s="420" t="str">
        <f t="shared" si="1"/>
        <v>-</v>
      </c>
    </row>
    <row r="109" spans="1:5" s="406" customFormat="1" ht="24">
      <c r="A109" s="407" t="s">
        <v>306</v>
      </c>
      <c r="B109" s="408" t="s">
        <v>303</v>
      </c>
      <c r="C109" s="409">
        <v>0</v>
      </c>
      <c r="D109" s="409">
        <v>0</v>
      </c>
      <c r="E109" s="420" t="str">
        <f t="shared" si="1"/>
        <v>-</v>
      </c>
    </row>
    <row r="110" spans="1:5" s="406" customFormat="1" ht="12">
      <c r="A110" s="407" t="s">
        <v>308</v>
      </c>
      <c r="B110" s="408" t="s">
        <v>305</v>
      </c>
      <c r="C110" s="409">
        <f>SUM(C111:C116)</f>
        <v>3000650176</v>
      </c>
      <c r="D110" s="409">
        <f>SUM(D111:D116)</f>
        <v>2722887183</v>
      </c>
      <c r="E110" s="422">
        <f t="shared" si="1"/>
        <v>90.74323974111937</v>
      </c>
    </row>
    <row r="111" spans="1:5" s="406" customFormat="1" ht="12">
      <c r="A111" s="407" t="s">
        <v>310</v>
      </c>
      <c r="B111" s="408" t="s">
        <v>307</v>
      </c>
      <c r="C111" s="409">
        <v>0</v>
      </c>
      <c r="D111" s="409">
        <v>0</v>
      </c>
      <c r="E111" s="420" t="str">
        <f t="shared" si="1"/>
        <v>-</v>
      </c>
    </row>
    <row r="112" spans="1:5" s="406" customFormat="1" ht="24">
      <c r="A112" s="407" t="s">
        <v>312</v>
      </c>
      <c r="B112" s="408" t="s">
        <v>309</v>
      </c>
      <c r="C112" s="409">
        <v>0</v>
      </c>
      <c r="D112" s="409">
        <v>0</v>
      </c>
      <c r="E112" s="420" t="str">
        <f t="shared" si="1"/>
        <v>-</v>
      </c>
    </row>
    <row r="113" spans="1:5" s="406" customFormat="1" ht="24">
      <c r="A113" s="407" t="s">
        <v>314</v>
      </c>
      <c r="B113" s="408" t="s">
        <v>311</v>
      </c>
      <c r="C113" s="409">
        <v>0</v>
      </c>
      <c r="D113" s="409">
        <v>0</v>
      </c>
      <c r="E113" s="420" t="str">
        <f t="shared" si="1"/>
        <v>-</v>
      </c>
    </row>
    <row r="114" spans="1:5" s="406" customFormat="1" ht="12">
      <c r="A114" s="407" t="s">
        <v>316</v>
      </c>
      <c r="B114" s="408" t="s">
        <v>313</v>
      </c>
      <c r="C114" s="409">
        <v>1201725</v>
      </c>
      <c r="D114" s="409">
        <v>293048</v>
      </c>
      <c r="E114" s="422">
        <f t="shared" si="1"/>
        <v>24.3856123489151</v>
      </c>
    </row>
    <row r="115" spans="1:5" s="406" customFormat="1" ht="12">
      <c r="A115" s="407" t="s">
        <v>318</v>
      </c>
      <c r="B115" s="408" t="s">
        <v>315</v>
      </c>
      <c r="C115" s="409">
        <v>2999448451</v>
      </c>
      <c r="D115" s="409">
        <v>2722594135</v>
      </c>
      <c r="E115" s="422">
        <f t="shared" si="1"/>
        <v>90.76982583555659</v>
      </c>
    </row>
    <row r="116" spans="1:5" s="406" customFormat="1" ht="12">
      <c r="A116" s="407" t="s">
        <v>320</v>
      </c>
      <c r="B116" s="408" t="s">
        <v>317</v>
      </c>
      <c r="C116" s="409">
        <v>0</v>
      </c>
      <c r="D116" s="409">
        <v>0</v>
      </c>
      <c r="E116" s="420" t="str">
        <f t="shared" si="1"/>
        <v>-</v>
      </c>
    </row>
    <row r="117" spans="1:5" s="406" customFormat="1" ht="12">
      <c r="A117" s="407" t="s">
        <v>322</v>
      </c>
      <c r="B117" s="408" t="s">
        <v>319</v>
      </c>
      <c r="C117" s="409">
        <f>SUM(C118:C126)</f>
        <v>22500</v>
      </c>
      <c r="D117" s="409">
        <f>SUM(D118:D126)</f>
        <v>3100000</v>
      </c>
      <c r="E117" s="422">
        <f t="shared" si="1"/>
        <v>13777.777777777777</v>
      </c>
    </row>
    <row r="118" spans="1:5" s="406" customFormat="1" ht="24">
      <c r="A118" s="407" t="s">
        <v>324</v>
      </c>
      <c r="B118" s="408" t="s">
        <v>321</v>
      </c>
      <c r="C118" s="409">
        <v>22500</v>
      </c>
      <c r="D118" s="409"/>
      <c r="E118" s="422">
        <f t="shared" si="1"/>
        <v>0</v>
      </c>
    </row>
    <row r="119" spans="1:5" s="406" customFormat="1" ht="12">
      <c r="A119" s="407" t="s">
        <v>326</v>
      </c>
      <c r="B119" s="408" t="s">
        <v>323</v>
      </c>
      <c r="C119" s="409">
        <v>0</v>
      </c>
      <c r="D119" s="409">
        <v>0</v>
      </c>
      <c r="E119" s="420" t="str">
        <f t="shared" si="1"/>
        <v>-</v>
      </c>
    </row>
    <row r="120" spans="1:5" s="406" customFormat="1" ht="12">
      <c r="A120" s="407" t="s">
        <v>328</v>
      </c>
      <c r="B120" s="408" t="s">
        <v>325</v>
      </c>
      <c r="C120" s="409">
        <v>0</v>
      </c>
      <c r="D120" s="409">
        <v>0</v>
      </c>
      <c r="E120" s="420" t="str">
        <f t="shared" si="1"/>
        <v>-</v>
      </c>
    </row>
    <row r="121" spans="1:5" s="406" customFormat="1" ht="24">
      <c r="A121" s="407" t="s">
        <v>330</v>
      </c>
      <c r="B121" s="408" t="s">
        <v>327</v>
      </c>
      <c r="C121" s="409">
        <v>0</v>
      </c>
      <c r="D121" s="409">
        <v>0</v>
      </c>
      <c r="E121" s="420" t="str">
        <f t="shared" si="1"/>
        <v>-</v>
      </c>
    </row>
    <row r="122" spans="1:5" s="406" customFormat="1" ht="24">
      <c r="A122" s="407" t="s">
        <v>331</v>
      </c>
      <c r="B122" s="408" t="s">
        <v>329</v>
      </c>
      <c r="C122" s="409">
        <v>0</v>
      </c>
      <c r="D122" s="409">
        <v>3100000</v>
      </c>
      <c r="E122" s="420" t="str">
        <f t="shared" si="1"/>
        <v>-</v>
      </c>
    </row>
    <row r="123" spans="1:5" s="406" customFormat="1" ht="24">
      <c r="A123" s="407" t="s">
        <v>333</v>
      </c>
      <c r="B123" s="408" t="s">
        <v>652</v>
      </c>
      <c r="C123" s="409">
        <v>0</v>
      </c>
      <c r="D123" s="409">
        <v>0</v>
      </c>
      <c r="E123" s="420" t="str">
        <f t="shared" si="1"/>
        <v>-</v>
      </c>
    </row>
    <row r="124" spans="1:5" s="406" customFormat="1" ht="24">
      <c r="A124" s="407" t="s">
        <v>335</v>
      </c>
      <c r="B124" s="408" t="s">
        <v>332</v>
      </c>
      <c r="C124" s="409">
        <v>0</v>
      </c>
      <c r="D124" s="409">
        <v>0</v>
      </c>
      <c r="E124" s="420" t="str">
        <f t="shared" si="1"/>
        <v>-</v>
      </c>
    </row>
    <row r="125" spans="1:5" s="406" customFormat="1" ht="12">
      <c r="A125" s="407" t="s">
        <v>337</v>
      </c>
      <c r="B125" s="408" t="s">
        <v>334</v>
      </c>
      <c r="C125" s="409">
        <v>0</v>
      </c>
      <c r="D125" s="409">
        <v>0</v>
      </c>
      <c r="E125" s="420" t="str">
        <f t="shared" si="1"/>
        <v>-</v>
      </c>
    </row>
    <row r="126" spans="1:5" s="406" customFormat="1" ht="12">
      <c r="A126" s="407" t="s">
        <v>339</v>
      </c>
      <c r="B126" s="408" t="s">
        <v>336</v>
      </c>
      <c r="C126" s="409">
        <v>0</v>
      </c>
      <c r="D126" s="409">
        <v>0</v>
      </c>
      <c r="E126" s="420" t="str">
        <f t="shared" si="1"/>
        <v>-</v>
      </c>
    </row>
    <row r="127" spans="1:5" s="406" customFormat="1" ht="24">
      <c r="A127" s="407" t="s">
        <v>341</v>
      </c>
      <c r="B127" s="408" t="s">
        <v>338</v>
      </c>
      <c r="C127" s="409">
        <v>0</v>
      </c>
      <c r="D127" s="409">
        <v>0</v>
      </c>
      <c r="E127" s="420" t="str">
        <f t="shared" si="1"/>
        <v>-</v>
      </c>
    </row>
    <row r="128" spans="1:5" s="406" customFormat="1" ht="12">
      <c r="A128" s="407" t="s">
        <v>343</v>
      </c>
      <c r="B128" s="408" t="s">
        <v>340</v>
      </c>
      <c r="C128" s="409">
        <v>0</v>
      </c>
      <c r="D128" s="409">
        <v>0</v>
      </c>
      <c r="E128" s="420" t="str">
        <f t="shared" si="1"/>
        <v>-</v>
      </c>
    </row>
    <row r="129" spans="1:5" s="406" customFormat="1" ht="12">
      <c r="A129" s="407" t="s">
        <v>345</v>
      </c>
      <c r="B129" s="408" t="s">
        <v>342</v>
      </c>
      <c r="C129" s="409">
        <v>0</v>
      </c>
      <c r="D129" s="409">
        <v>0</v>
      </c>
      <c r="E129" s="420" t="str">
        <f t="shared" si="1"/>
        <v>-</v>
      </c>
    </row>
    <row r="130" spans="1:5" s="406" customFormat="1" ht="24">
      <c r="A130" s="407" t="s">
        <v>347</v>
      </c>
      <c r="B130" s="408" t="s">
        <v>344</v>
      </c>
      <c r="C130" s="409">
        <v>0</v>
      </c>
      <c r="D130" s="409">
        <v>0</v>
      </c>
      <c r="E130" s="420" t="str">
        <f t="shared" si="1"/>
        <v>-</v>
      </c>
    </row>
    <row r="131" spans="1:5" s="406" customFormat="1" ht="12">
      <c r="A131" s="407" t="s">
        <v>349</v>
      </c>
      <c r="B131" s="408" t="s">
        <v>346</v>
      </c>
      <c r="C131" s="409">
        <v>0</v>
      </c>
      <c r="D131" s="409">
        <v>0</v>
      </c>
      <c r="E131" s="420" t="str">
        <f t="shared" si="1"/>
        <v>-</v>
      </c>
    </row>
    <row r="132" spans="1:5" s="406" customFormat="1" ht="24">
      <c r="A132" s="407" t="s">
        <v>351</v>
      </c>
      <c r="B132" s="408" t="s">
        <v>348</v>
      </c>
      <c r="C132" s="409">
        <v>0</v>
      </c>
      <c r="D132" s="409">
        <v>0</v>
      </c>
      <c r="E132" s="420" t="str">
        <f t="shared" si="1"/>
        <v>-</v>
      </c>
    </row>
    <row r="133" spans="1:5" s="406" customFormat="1" ht="24">
      <c r="A133" s="407" t="s">
        <v>353</v>
      </c>
      <c r="B133" s="408" t="s">
        <v>350</v>
      </c>
      <c r="C133" s="409">
        <f>SUM(C134:C136)</f>
        <v>0</v>
      </c>
      <c r="D133" s="409">
        <f>SUM(D134:D136)</f>
        <v>0</v>
      </c>
      <c r="E133" s="420" t="str">
        <f t="shared" si="1"/>
        <v>-</v>
      </c>
    </row>
    <row r="134" spans="1:5" s="406" customFormat="1" ht="24">
      <c r="A134" s="407" t="s">
        <v>355</v>
      </c>
      <c r="B134" s="408" t="s">
        <v>352</v>
      </c>
      <c r="C134" s="409">
        <v>0</v>
      </c>
      <c r="D134" s="409">
        <v>0</v>
      </c>
      <c r="E134" s="420" t="str">
        <f t="shared" si="1"/>
        <v>-</v>
      </c>
    </row>
    <row r="135" spans="1:5" s="406" customFormat="1" ht="24">
      <c r="A135" s="407" t="s">
        <v>357</v>
      </c>
      <c r="B135" s="408" t="s">
        <v>354</v>
      </c>
      <c r="C135" s="409">
        <v>0</v>
      </c>
      <c r="D135" s="409">
        <v>0</v>
      </c>
      <c r="E135" s="420" t="str">
        <f aca="true" t="shared" si="2" ref="E135:E198">IF(C135=0,"-",D135/C135*100)</f>
        <v>-</v>
      </c>
    </row>
    <row r="136" spans="1:5" s="406" customFormat="1" ht="24">
      <c r="A136" s="407" t="s">
        <v>359</v>
      </c>
      <c r="B136" s="408" t="s">
        <v>356</v>
      </c>
      <c r="C136" s="409">
        <v>0</v>
      </c>
      <c r="D136" s="409">
        <v>0</v>
      </c>
      <c r="E136" s="420" t="str">
        <f t="shared" si="2"/>
        <v>-</v>
      </c>
    </row>
    <row r="137" spans="1:5" s="406" customFormat="1" ht="24">
      <c r="A137" s="407" t="s">
        <v>361</v>
      </c>
      <c r="B137" s="408" t="s">
        <v>358</v>
      </c>
      <c r="C137" s="409">
        <f>SUM(C138:C140)</f>
        <v>128849563</v>
      </c>
      <c r="D137" s="409">
        <f>SUM(D138:D140)</f>
        <v>388602416</v>
      </c>
      <c r="E137" s="410">
        <f t="shared" si="2"/>
        <v>301.5938952000947</v>
      </c>
    </row>
    <row r="138" spans="1:5" s="406" customFormat="1" ht="24">
      <c r="A138" s="407" t="s">
        <v>363</v>
      </c>
      <c r="B138" s="408" t="s">
        <v>360</v>
      </c>
      <c r="C138" s="409">
        <v>0</v>
      </c>
      <c r="D138" s="409">
        <v>0</v>
      </c>
      <c r="E138" s="420" t="str">
        <f t="shared" si="2"/>
        <v>-</v>
      </c>
    </row>
    <row r="139" spans="1:5" s="406" customFormat="1" ht="24">
      <c r="A139" s="407" t="s">
        <v>365</v>
      </c>
      <c r="B139" s="408" t="s">
        <v>362</v>
      </c>
      <c r="C139" s="409">
        <v>0</v>
      </c>
      <c r="D139" s="409">
        <v>0</v>
      </c>
      <c r="E139" s="420" t="str">
        <f t="shared" si="2"/>
        <v>-</v>
      </c>
    </row>
    <row r="140" spans="1:5" s="406" customFormat="1" ht="24">
      <c r="A140" s="407" t="s">
        <v>366</v>
      </c>
      <c r="B140" s="408" t="s">
        <v>364</v>
      </c>
      <c r="C140" s="409">
        <v>128849563</v>
      </c>
      <c r="D140" s="409">
        <v>388602416</v>
      </c>
      <c r="E140" s="410">
        <f t="shared" si="2"/>
        <v>301.5938952000947</v>
      </c>
    </row>
    <row r="141" spans="1:5" s="406" customFormat="1" ht="24">
      <c r="A141" s="407" t="s">
        <v>368</v>
      </c>
      <c r="B141" s="408" t="s">
        <v>653</v>
      </c>
      <c r="C141" s="409">
        <f>SUM(C142:C145)</f>
        <v>0</v>
      </c>
      <c r="D141" s="409">
        <f>SUM(D142:D145)</f>
        <v>0</v>
      </c>
      <c r="E141" s="420" t="str">
        <f t="shared" si="2"/>
        <v>-</v>
      </c>
    </row>
    <row r="142" spans="1:5" s="406" customFormat="1" ht="24">
      <c r="A142" s="407" t="s">
        <v>369</v>
      </c>
      <c r="B142" s="408" t="s">
        <v>367</v>
      </c>
      <c r="C142" s="409">
        <v>0</v>
      </c>
      <c r="D142" s="409">
        <v>0</v>
      </c>
      <c r="E142" s="420" t="str">
        <f t="shared" si="2"/>
        <v>-</v>
      </c>
    </row>
    <row r="143" spans="1:5" s="406" customFormat="1" ht="24">
      <c r="A143" s="407" t="s">
        <v>370</v>
      </c>
      <c r="B143" s="408" t="s">
        <v>642</v>
      </c>
      <c r="C143" s="409">
        <v>0</v>
      </c>
      <c r="D143" s="409">
        <v>0</v>
      </c>
      <c r="E143" s="420" t="str">
        <f t="shared" si="2"/>
        <v>-</v>
      </c>
    </row>
    <row r="144" spans="1:5" s="406" customFormat="1" ht="24">
      <c r="A144" s="407" t="s">
        <v>372</v>
      </c>
      <c r="B144" s="408" t="s">
        <v>643</v>
      </c>
      <c r="C144" s="409">
        <v>0</v>
      </c>
      <c r="D144" s="409">
        <v>0</v>
      </c>
      <c r="E144" s="420" t="str">
        <f t="shared" si="2"/>
        <v>-</v>
      </c>
    </row>
    <row r="145" spans="1:5" s="406" customFormat="1" ht="24.75" thickBot="1">
      <c r="A145" s="407" t="s">
        <v>374</v>
      </c>
      <c r="B145" s="412" t="s">
        <v>644</v>
      </c>
      <c r="C145" s="413">
        <v>0</v>
      </c>
      <c r="D145" s="413">
        <v>0</v>
      </c>
      <c r="E145" s="414" t="str">
        <f t="shared" si="2"/>
        <v>-</v>
      </c>
    </row>
    <row r="146" spans="1:5" s="406" customFormat="1" ht="12.75" thickBot="1">
      <c r="A146" s="397" t="s">
        <v>376</v>
      </c>
      <c r="B146" s="415" t="s">
        <v>371</v>
      </c>
      <c r="C146" s="416">
        <f>C106+C108+C110+C117+C127+C133+C137+C141</f>
        <v>3129522239</v>
      </c>
      <c r="D146" s="416">
        <f>D106+D108+D110+D117+D127+D133+D137+D141</f>
        <v>3114589599</v>
      </c>
      <c r="E146" s="417">
        <f t="shared" si="2"/>
        <v>99.52284601739173</v>
      </c>
    </row>
    <row r="147" spans="1:5" s="406" customFormat="1" ht="12">
      <c r="A147" s="402" t="s">
        <v>377</v>
      </c>
      <c r="B147" s="403" t="s">
        <v>373</v>
      </c>
      <c r="C147" s="404">
        <v>2429553</v>
      </c>
      <c r="D147" s="404">
        <f>SUM(D148:D153)</f>
        <v>936220</v>
      </c>
      <c r="E147" s="437">
        <f t="shared" si="2"/>
        <v>38.53466049104506</v>
      </c>
    </row>
    <row r="148" spans="1:5" s="406" customFormat="1" ht="12">
      <c r="A148" s="425" t="s">
        <v>379</v>
      </c>
      <c r="B148" s="408" t="s">
        <v>375</v>
      </c>
      <c r="C148" s="409">
        <v>0</v>
      </c>
      <c r="D148" s="409">
        <v>0</v>
      </c>
      <c r="E148" s="420" t="str">
        <f t="shared" si="2"/>
        <v>-</v>
      </c>
    </row>
    <row r="149" spans="1:5" s="406" customFormat="1" ht="12">
      <c r="A149" s="407" t="s">
        <v>381</v>
      </c>
      <c r="B149" s="408" t="s">
        <v>658</v>
      </c>
      <c r="C149" s="409">
        <v>936220</v>
      </c>
      <c r="D149" s="409">
        <v>936220</v>
      </c>
      <c r="E149" s="420">
        <f t="shared" si="2"/>
        <v>100</v>
      </c>
    </row>
    <row r="150" spans="1:5" s="406" customFormat="1" ht="12">
      <c r="A150" s="407" t="s">
        <v>383</v>
      </c>
      <c r="B150" s="408" t="s">
        <v>378</v>
      </c>
      <c r="C150" s="409">
        <v>0</v>
      </c>
      <c r="D150" s="409">
        <v>0</v>
      </c>
      <c r="E150" s="420" t="str">
        <f t="shared" si="2"/>
        <v>-</v>
      </c>
    </row>
    <row r="151" spans="1:5" s="406" customFormat="1" ht="12">
      <c r="A151" s="407" t="s">
        <v>385</v>
      </c>
      <c r="B151" s="408" t="s">
        <v>380</v>
      </c>
      <c r="C151" s="409">
        <v>0</v>
      </c>
      <c r="D151" s="409">
        <v>0</v>
      </c>
      <c r="E151" s="420" t="str">
        <f t="shared" si="2"/>
        <v>-</v>
      </c>
    </row>
    <row r="152" spans="1:5" s="406" customFormat="1" ht="12">
      <c r="A152" s="407" t="s">
        <v>387</v>
      </c>
      <c r="B152" s="408" t="s">
        <v>382</v>
      </c>
      <c r="C152" s="409">
        <v>193333</v>
      </c>
      <c r="D152" s="409">
        <v>0</v>
      </c>
      <c r="E152" s="422">
        <f t="shared" si="2"/>
        <v>0</v>
      </c>
    </row>
    <row r="153" spans="1:5" s="406" customFormat="1" ht="12">
      <c r="A153" s="407" t="s">
        <v>389</v>
      </c>
      <c r="B153" s="408" t="s">
        <v>384</v>
      </c>
      <c r="C153" s="409">
        <v>1300000</v>
      </c>
      <c r="D153" s="409">
        <v>0</v>
      </c>
      <c r="E153" s="420">
        <f t="shared" si="2"/>
        <v>0</v>
      </c>
    </row>
    <row r="154" spans="1:5" s="406" customFormat="1" ht="12">
      <c r="A154" s="407" t="s">
        <v>391</v>
      </c>
      <c r="B154" s="408" t="s">
        <v>386</v>
      </c>
      <c r="C154" s="409">
        <v>0</v>
      </c>
      <c r="D154" s="409">
        <v>0</v>
      </c>
      <c r="E154" s="420" t="str">
        <f t="shared" si="2"/>
        <v>-</v>
      </c>
    </row>
    <row r="155" spans="1:5" s="406" customFormat="1" ht="12">
      <c r="A155" s="407" t="s">
        <v>393</v>
      </c>
      <c r="B155" s="408" t="s">
        <v>388</v>
      </c>
      <c r="C155" s="409">
        <v>0</v>
      </c>
      <c r="D155" s="409">
        <v>0</v>
      </c>
      <c r="E155" s="420" t="str">
        <f t="shared" si="2"/>
        <v>-</v>
      </c>
    </row>
    <row r="156" spans="1:5" s="406" customFormat="1" ht="12">
      <c r="A156" s="407" t="s">
        <v>395</v>
      </c>
      <c r="B156" s="408" t="s">
        <v>390</v>
      </c>
      <c r="C156" s="409">
        <v>2290000</v>
      </c>
      <c r="D156" s="409">
        <v>1920000</v>
      </c>
      <c r="E156" s="422">
        <f t="shared" si="2"/>
        <v>83.84279475982532</v>
      </c>
    </row>
    <row r="157" spans="1:5" s="406" customFormat="1" ht="12">
      <c r="A157" s="407" t="s">
        <v>397</v>
      </c>
      <c r="B157" s="408" t="s">
        <v>392</v>
      </c>
      <c r="C157" s="409">
        <v>0</v>
      </c>
      <c r="D157" s="409">
        <v>0</v>
      </c>
      <c r="E157" s="420" t="str">
        <f t="shared" si="2"/>
        <v>-</v>
      </c>
    </row>
    <row r="158" spans="1:5" s="406" customFormat="1" ht="24">
      <c r="A158" s="407" t="s">
        <v>398</v>
      </c>
      <c r="B158" s="408" t="s">
        <v>394</v>
      </c>
      <c r="C158" s="409">
        <v>0</v>
      </c>
      <c r="D158" s="409">
        <v>0</v>
      </c>
      <c r="E158" s="420" t="str">
        <f t="shared" si="2"/>
        <v>-</v>
      </c>
    </row>
    <row r="159" spans="1:5" s="406" customFormat="1" ht="12">
      <c r="A159" s="407" t="s">
        <v>400</v>
      </c>
      <c r="B159" s="408" t="s">
        <v>396</v>
      </c>
      <c r="C159" s="409">
        <v>0</v>
      </c>
      <c r="D159" s="409">
        <v>0</v>
      </c>
      <c r="E159" s="420" t="str">
        <f t="shared" si="2"/>
        <v>-</v>
      </c>
    </row>
    <row r="160" spans="1:5" s="406" customFormat="1" ht="12">
      <c r="A160" s="407" t="s">
        <v>402</v>
      </c>
      <c r="B160" s="408" t="s">
        <v>654</v>
      </c>
      <c r="C160" s="409">
        <v>0</v>
      </c>
      <c r="D160" s="409">
        <v>0</v>
      </c>
      <c r="E160" s="420" t="str">
        <f t="shared" si="2"/>
        <v>-</v>
      </c>
    </row>
    <row r="161" spans="1:5" s="406" customFormat="1" ht="12.75" thickBot="1">
      <c r="A161" s="407" t="s">
        <v>404</v>
      </c>
      <c r="B161" s="412" t="s">
        <v>399</v>
      </c>
      <c r="C161" s="413">
        <v>200000</v>
      </c>
      <c r="D161" s="413">
        <v>200000</v>
      </c>
      <c r="E161" s="424">
        <f t="shared" si="2"/>
        <v>100</v>
      </c>
    </row>
    <row r="162" spans="1:5" s="406" customFormat="1" ht="12.75" thickBot="1">
      <c r="A162" s="397" t="s">
        <v>405</v>
      </c>
      <c r="B162" s="415" t="s">
        <v>401</v>
      </c>
      <c r="C162" s="416">
        <f>C147+C154+C155+C156+C157+C158+C159+C160+C161</f>
        <v>4919553</v>
      </c>
      <c r="D162" s="416">
        <f>D147+D154+D155+D156+D157+D158+D159+D160+D161</f>
        <v>3056220</v>
      </c>
      <c r="E162" s="427">
        <f t="shared" si="2"/>
        <v>62.12393686987415</v>
      </c>
    </row>
    <row r="163" spans="1:5" s="406" customFormat="1" ht="12.75" thickBot="1">
      <c r="A163" s="397" t="s">
        <v>406</v>
      </c>
      <c r="B163" s="415" t="s">
        <v>403</v>
      </c>
      <c r="C163" s="416">
        <f>C105+C146+C162</f>
        <v>3538385669</v>
      </c>
      <c r="D163" s="416">
        <f>D105+D146+D162</f>
        <v>3545027538</v>
      </c>
      <c r="E163" s="417">
        <f t="shared" si="2"/>
        <v>100.1877090182167</v>
      </c>
    </row>
    <row r="164" spans="1:5" s="406" customFormat="1" ht="12">
      <c r="A164" s="402" t="s">
        <v>407</v>
      </c>
      <c r="B164" s="438" t="s">
        <v>629</v>
      </c>
      <c r="C164" s="409">
        <v>0</v>
      </c>
      <c r="D164" s="409">
        <v>0</v>
      </c>
      <c r="E164" s="420" t="str">
        <f t="shared" si="2"/>
        <v>-</v>
      </c>
    </row>
    <row r="165" spans="1:5" s="406" customFormat="1" ht="12">
      <c r="A165" s="425" t="s">
        <v>409</v>
      </c>
      <c r="B165" s="438" t="s">
        <v>630</v>
      </c>
      <c r="C165" s="409">
        <v>4056000</v>
      </c>
      <c r="D165" s="409"/>
      <c r="E165" s="439">
        <f t="shared" si="2"/>
        <v>0</v>
      </c>
    </row>
    <row r="166" spans="1:5" s="406" customFormat="1" ht="12">
      <c r="A166" s="407" t="s">
        <v>411</v>
      </c>
      <c r="B166" s="438" t="s">
        <v>631</v>
      </c>
      <c r="C166" s="409">
        <v>252780</v>
      </c>
      <c r="D166" s="409">
        <v>252780</v>
      </c>
      <c r="E166" s="420">
        <f t="shared" si="2"/>
        <v>100</v>
      </c>
    </row>
    <row r="167" spans="1:5" s="406" customFormat="1" ht="12.75" thickBot="1">
      <c r="A167" s="407" t="s">
        <v>413</v>
      </c>
      <c r="B167" s="440" t="s">
        <v>632</v>
      </c>
      <c r="C167" s="409">
        <v>0</v>
      </c>
      <c r="D167" s="409">
        <v>0</v>
      </c>
      <c r="E167" s="420" t="str">
        <f t="shared" si="2"/>
        <v>-</v>
      </c>
    </row>
    <row r="168" spans="1:5" s="406" customFormat="1" ht="12.75" thickBot="1">
      <c r="A168" s="397" t="s">
        <v>415</v>
      </c>
      <c r="B168" s="441" t="s">
        <v>638</v>
      </c>
      <c r="C168" s="416">
        <f>SUM(C164:C167)</f>
        <v>4308780</v>
      </c>
      <c r="D168" s="416">
        <f>SUM(D164:D167)</f>
        <v>252780</v>
      </c>
      <c r="E168" s="427">
        <f t="shared" si="2"/>
        <v>5.866625819837633</v>
      </c>
    </row>
    <row r="169" spans="1:5" s="406" customFormat="1" ht="12">
      <c r="A169" s="402" t="s">
        <v>417</v>
      </c>
      <c r="B169" s="442" t="s">
        <v>633</v>
      </c>
      <c r="C169" s="409">
        <v>0</v>
      </c>
      <c r="D169" s="409">
        <v>0</v>
      </c>
      <c r="E169" s="422" t="str">
        <f t="shared" si="2"/>
        <v>-</v>
      </c>
    </row>
    <row r="170" spans="1:5" s="406" customFormat="1" ht="12.75" thickBot="1">
      <c r="A170" s="425" t="s">
        <v>419</v>
      </c>
      <c r="B170" s="440" t="s">
        <v>634</v>
      </c>
      <c r="C170" s="409">
        <v>-217658</v>
      </c>
      <c r="D170" s="409">
        <v>-53940</v>
      </c>
      <c r="E170" s="439">
        <f t="shared" si="2"/>
        <v>24.78199744553382</v>
      </c>
    </row>
    <row r="171" spans="1:5" s="406" customFormat="1" ht="12.75" thickBot="1">
      <c r="A171" s="397" t="s">
        <v>421</v>
      </c>
      <c r="B171" s="443" t="s">
        <v>637</v>
      </c>
      <c r="C171" s="416">
        <f>SUM(C169:C170)</f>
        <v>-217658</v>
      </c>
      <c r="D171" s="416">
        <f>SUM(D169:D170)</f>
        <v>-53940</v>
      </c>
      <c r="E171" s="427">
        <f t="shared" si="2"/>
        <v>24.78199744553382</v>
      </c>
    </row>
    <row r="172" spans="1:5" s="406" customFormat="1" ht="12">
      <c r="A172" s="402" t="s">
        <v>423</v>
      </c>
      <c r="B172" s="444" t="s">
        <v>635</v>
      </c>
      <c r="C172" s="430">
        <v>0</v>
      </c>
      <c r="D172" s="430">
        <v>0</v>
      </c>
      <c r="E172" s="445" t="str">
        <f t="shared" si="2"/>
        <v>-</v>
      </c>
    </row>
    <row r="173" spans="1:5" s="406" customFormat="1" ht="24.75" thickBot="1">
      <c r="A173" s="425" t="s">
        <v>425</v>
      </c>
      <c r="B173" s="446" t="s">
        <v>636</v>
      </c>
      <c r="C173" s="447">
        <v>0</v>
      </c>
      <c r="D173" s="447">
        <v>0</v>
      </c>
      <c r="E173" s="420" t="str">
        <f t="shared" si="2"/>
        <v>-</v>
      </c>
    </row>
    <row r="174" spans="1:5" s="406" customFormat="1" ht="12.75" thickBot="1">
      <c r="A174" s="397" t="s">
        <v>427</v>
      </c>
      <c r="B174" s="415" t="s">
        <v>639</v>
      </c>
      <c r="C174" s="416">
        <f>SUM(C172:C173)</f>
        <v>0</v>
      </c>
      <c r="D174" s="416">
        <f>SUM(D172:D173)</f>
        <v>0</v>
      </c>
      <c r="E174" s="427" t="str">
        <f t="shared" si="2"/>
        <v>-</v>
      </c>
    </row>
    <row r="175" spans="1:5" s="406" customFormat="1" ht="12.75" thickBot="1">
      <c r="A175" s="397" t="s">
        <v>429</v>
      </c>
      <c r="B175" s="415" t="s">
        <v>640</v>
      </c>
      <c r="C175" s="416">
        <f>C168+C171+C174</f>
        <v>4091122</v>
      </c>
      <c r="D175" s="416">
        <f>D168+D171+D174</f>
        <v>198840</v>
      </c>
      <c r="E175" s="417">
        <f t="shared" si="2"/>
        <v>4.86028038274097</v>
      </c>
    </row>
    <row r="176" spans="1:5" s="406" customFormat="1" ht="12">
      <c r="A176" s="402" t="s">
        <v>431</v>
      </c>
      <c r="B176" s="433" t="s">
        <v>408</v>
      </c>
      <c r="C176" s="434">
        <v>25791640</v>
      </c>
      <c r="D176" s="434">
        <v>25526550</v>
      </c>
      <c r="E176" s="435">
        <f t="shared" si="2"/>
        <v>98.97218633634775</v>
      </c>
    </row>
    <row r="177" spans="1:5" s="406" customFormat="1" ht="12">
      <c r="A177" s="425" t="s">
        <v>433</v>
      </c>
      <c r="B177" s="408" t="s">
        <v>410</v>
      </c>
      <c r="C177" s="409">
        <v>0</v>
      </c>
      <c r="D177" s="409">
        <v>0</v>
      </c>
      <c r="E177" s="420" t="str">
        <f t="shared" si="2"/>
        <v>-</v>
      </c>
    </row>
    <row r="178" spans="1:5" s="406" customFormat="1" ht="12.75" thickBot="1">
      <c r="A178" s="407" t="s">
        <v>435</v>
      </c>
      <c r="B178" s="412" t="s">
        <v>412</v>
      </c>
      <c r="C178" s="413">
        <v>0</v>
      </c>
      <c r="D178" s="413">
        <v>0</v>
      </c>
      <c r="E178" s="414" t="str">
        <f t="shared" si="2"/>
        <v>-</v>
      </c>
    </row>
    <row r="179" spans="1:5" s="406" customFormat="1" ht="12.75" thickBot="1">
      <c r="A179" s="397" t="s">
        <v>437</v>
      </c>
      <c r="B179" s="415" t="s">
        <v>414</v>
      </c>
      <c r="C179" s="416">
        <f>SUM(C176:C178)</f>
        <v>25791640</v>
      </c>
      <c r="D179" s="416">
        <f>SUM(D176:D178)</f>
        <v>25526550</v>
      </c>
      <c r="E179" s="417">
        <f t="shared" si="2"/>
        <v>98.97218633634775</v>
      </c>
    </row>
    <row r="180" spans="1:5" s="406" customFormat="1" ht="12.75" thickBot="1">
      <c r="A180" s="397" t="s">
        <v>439</v>
      </c>
      <c r="B180" s="415" t="s">
        <v>416</v>
      </c>
      <c r="C180" s="416">
        <f>C31+C47+C61+C163+C175+C179</f>
        <v>27840468387</v>
      </c>
      <c r="D180" s="416">
        <f>D31+D47+D61+D163+D175+D179</f>
        <v>26919835333</v>
      </c>
      <c r="E180" s="417">
        <f t="shared" si="2"/>
        <v>96.69318403267279</v>
      </c>
    </row>
    <row r="181" spans="1:5" s="406" customFormat="1" ht="12">
      <c r="A181" s="402" t="s">
        <v>441</v>
      </c>
      <c r="B181" s="403" t="s">
        <v>418</v>
      </c>
      <c r="C181" s="404">
        <v>18892347792</v>
      </c>
      <c r="D181" s="404">
        <v>18892347792</v>
      </c>
      <c r="E181" s="410">
        <f t="shared" si="2"/>
        <v>100</v>
      </c>
    </row>
    <row r="182" spans="1:5" s="406" customFormat="1" ht="12">
      <c r="A182" s="425" t="s">
        <v>443</v>
      </c>
      <c r="B182" s="408" t="s">
        <v>420</v>
      </c>
      <c r="C182" s="409">
        <v>-958205368</v>
      </c>
      <c r="D182" s="409">
        <v>-958205368</v>
      </c>
      <c r="E182" s="422">
        <f t="shared" si="2"/>
        <v>100</v>
      </c>
    </row>
    <row r="183" spans="1:5" s="406" customFormat="1" ht="12">
      <c r="A183" s="407" t="s">
        <v>445</v>
      </c>
      <c r="B183" s="408" t="s">
        <v>422</v>
      </c>
      <c r="C183" s="409">
        <v>1674176800</v>
      </c>
      <c r="D183" s="409">
        <v>1674176800</v>
      </c>
      <c r="E183" s="410">
        <f t="shared" si="2"/>
        <v>100</v>
      </c>
    </row>
    <row r="184" spans="1:5" s="406" customFormat="1" ht="12">
      <c r="A184" s="407" t="s">
        <v>447</v>
      </c>
      <c r="B184" s="408" t="s">
        <v>424</v>
      </c>
      <c r="C184" s="430">
        <v>3045492251</v>
      </c>
      <c r="D184" s="430">
        <v>6876416574</v>
      </c>
      <c r="E184" s="410">
        <f t="shared" si="2"/>
        <v>225.78998753787997</v>
      </c>
    </row>
    <row r="185" spans="1:5" s="406" customFormat="1" ht="12">
      <c r="A185" s="407" t="s">
        <v>709</v>
      </c>
      <c r="B185" s="408" t="s">
        <v>426</v>
      </c>
      <c r="C185" s="409"/>
      <c r="D185" s="409"/>
      <c r="E185" s="420" t="str">
        <f t="shared" si="2"/>
        <v>-</v>
      </c>
    </row>
    <row r="186" spans="1:5" s="406" customFormat="1" ht="12.75" thickBot="1">
      <c r="A186" s="407" t="s">
        <v>710</v>
      </c>
      <c r="B186" s="412" t="s">
        <v>428</v>
      </c>
      <c r="C186" s="413">
        <v>3830924323</v>
      </c>
      <c r="D186" s="413">
        <v>-1230613521</v>
      </c>
      <c r="E186" s="448">
        <f t="shared" si="2"/>
        <v>-32.123148808022016</v>
      </c>
    </row>
    <row r="187" spans="1:5" s="406" customFormat="1" ht="12.75" thickBot="1">
      <c r="A187" s="397" t="s">
        <v>711</v>
      </c>
      <c r="B187" s="415" t="s">
        <v>430</v>
      </c>
      <c r="C187" s="416">
        <f>C181+C182+C183+C184+C185+C186</f>
        <v>26484735798</v>
      </c>
      <c r="D187" s="416">
        <f>D181+D182+D183+D184+D185+D186</f>
        <v>25254122277</v>
      </c>
      <c r="E187" s="417">
        <f t="shared" si="2"/>
        <v>95.35349897244234</v>
      </c>
    </row>
    <row r="188" spans="1:5" s="406" customFormat="1" ht="12">
      <c r="A188" s="402" t="s">
        <v>712</v>
      </c>
      <c r="B188" s="403" t="s">
        <v>432</v>
      </c>
      <c r="C188" s="404">
        <v>0</v>
      </c>
      <c r="D188" s="404">
        <v>0</v>
      </c>
      <c r="E188" s="437" t="str">
        <f t="shared" si="2"/>
        <v>-</v>
      </c>
    </row>
    <row r="189" spans="1:5" s="406" customFormat="1" ht="24">
      <c r="A189" s="425" t="s">
        <v>713</v>
      </c>
      <c r="B189" s="408" t="s">
        <v>434</v>
      </c>
      <c r="C189" s="409">
        <v>0</v>
      </c>
      <c r="D189" s="409">
        <v>0</v>
      </c>
      <c r="E189" s="420" t="str">
        <f t="shared" si="2"/>
        <v>-</v>
      </c>
    </row>
    <row r="190" spans="1:5" s="406" customFormat="1" ht="12">
      <c r="A190" s="407" t="s">
        <v>714</v>
      </c>
      <c r="B190" s="429" t="s">
        <v>436</v>
      </c>
      <c r="C190" s="430">
        <v>17749018</v>
      </c>
      <c r="D190" s="430">
        <v>24957303</v>
      </c>
      <c r="E190" s="449">
        <f t="shared" si="2"/>
        <v>140.61230317080077</v>
      </c>
    </row>
    <row r="191" spans="1:5" s="406" customFormat="1" ht="12">
      <c r="A191" s="407" t="s">
        <v>715</v>
      </c>
      <c r="B191" s="408" t="s">
        <v>438</v>
      </c>
      <c r="C191" s="409">
        <v>0</v>
      </c>
      <c r="D191" s="409">
        <v>0</v>
      </c>
      <c r="E191" s="420" t="str">
        <f t="shared" si="2"/>
        <v>-</v>
      </c>
    </row>
    <row r="192" spans="1:5" s="406" customFormat="1" ht="24">
      <c r="A192" s="407" t="s">
        <v>716</v>
      </c>
      <c r="B192" s="408" t="s">
        <v>440</v>
      </c>
      <c r="C192" s="409">
        <v>0</v>
      </c>
      <c r="D192" s="409">
        <v>0</v>
      </c>
      <c r="E192" s="420" t="str">
        <f t="shared" si="2"/>
        <v>-</v>
      </c>
    </row>
    <row r="193" spans="1:5" s="406" customFormat="1" ht="24">
      <c r="A193" s="407" t="s">
        <v>717</v>
      </c>
      <c r="B193" s="408" t="s">
        <v>442</v>
      </c>
      <c r="C193" s="409">
        <v>0</v>
      </c>
      <c r="D193" s="409">
        <v>0</v>
      </c>
      <c r="E193" s="420" t="str">
        <f t="shared" si="2"/>
        <v>-</v>
      </c>
    </row>
    <row r="194" spans="1:5" s="406" customFormat="1" ht="24">
      <c r="A194" s="407" t="s">
        <v>718</v>
      </c>
      <c r="B194" s="408" t="s">
        <v>444</v>
      </c>
      <c r="C194" s="409">
        <v>0</v>
      </c>
      <c r="D194" s="409">
        <v>0</v>
      </c>
      <c r="E194" s="420" t="str">
        <f t="shared" si="2"/>
        <v>-</v>
      </c>
    </row>
    <row r="195" spans="1:5" s="406" customFormat="1" ht="12">
      <c r="A195" s="407" t="s">
        <v>719</v>
      </c>
      <c r="B195" s="408" t="s">
        <v>446</v>
      </c>
      <c r="C195" s="409">
        <v>0</v>
      </c>
      <c r="D195" s="409">
        <v>0</v>
      </c>
      <c r="E195" s="410" t="str">
        <f t="shared" si="2"/>
        <v>-</v>
      </c>
    </row>
    <row r="196" spans="1:5" s="406" customFormat="1" ht="12">
      <c r="A196" s="407" t="s">
        <v>720</v>
      </c>
      <c r="B196" s="408" t="s">
        <v>448</v>
      </c>
      <c r="C196" s="409">
        <v>0</v>
      </c>
      <c r="D196" s="409">
        <v>0</v>
      </c>
      <c r="E196" s="410" t="str">
        <f t="shared" si="2"/>
        <v>-</v>
      </c>
    </row>
    <row r="197" spans="1:5" s="406" customFormat="1" ht="24">
      <c r="A197" s="407" t="s">
        <v>721</v>
      </c>
      <c r="B197" s="408" t="s">
        <v>449</v>
      </c>
      <c r="C197" s="409">
        <v>0</v>
      </c>
      <c r="D197" s="409">
        <v>0</v>
      </c>
      <c r="E197" s="420" t="str">
        <f t="shared" si="2"/>
        <v>-</v>
      </c>
    </row>
    <row r="198" spans="1:5" s="406" customFormat="1" ht="24">
      <c r="A198" s="407" t="s">
        <v>722</v>
      </c>
      <c r="B198" s="408" t="s">
        <v>450</v>
      </c>
      <c r="C198" s="409">
        <v>0</v>
      </c>
      <c r="D198" s="409">
        <v>0</v>
      </c>
      <c r="E198" s="420" t="str">
        <f t="shared" si="2"/>
        <v>-</v>
      </c>
    </row>
    <row r="199" spans="1:5" s="406" customFormat="1" ht="24">
      <c r="A199" s="407" t="s">
        <v>723</v>
      </c>
      <c r="B199" s="408" t="s">
        <v>451</v>
      </c>
      <c r="C199" s="409">
        <v>0</v>
      </c>
      <c r="D199" s="409">
        <v>0</v>
      </c>
      <c r="E199" s="420" t="str">
        <f aca="true" t="shared" si="3" ref="E199:E255">IF(C199=0,"-",D199/C199*100)</f>
        <v>-</v>
      </c>
    </row>
    <row r="200" spans="1:5" s="406" customFormat="1" ht="12">
      <c r="A200" s="407" t="s">
        <v>724</v>
      </c>
      <c r="B200" s="408" t="s">
        <v>452</v>
      </c>
      <c r="C200" s="409">
        <v>0</v>
      </c>
      <c r="D200" s="409">
        <v>0</v>
      </c>
      <c r="E200" s="420" t="str">
        <f t="shared" si="3"/>
        <v>-</v>
      </c>
    </row>
    <row r="201" spans="1:5" s="406" customFormat="1" ht="24">
      <c r="A201" s="407" t="s">
        <v>725</v>
      </c>
      <c r="B201" s="408" t="s">
        <v>453</v>
      </c>
      <c r="C201" s="409">
        <v>0</v>
      </c>
      <c r="D201" s="409">
        <v>0</v>
      </c>
      <c r="E201" s="420" t="str">
        <f t="shared" si="3"/>
        <v>-</v>
      </c>
    </row>
    <row r="202" spans="1:5" s="406" customFormat="1" ht="24">
      <c r="A202" s="407" t="s">
        <v>726</v>
      </c>
      <c r="B202" s="408" t="s">
        <v>454</v>
      </c>
      <c r="C202" s="409">
        <v>0</v>
      </c>
      <c r="D202" s="409">
        <v>0</v>
      </c>
      <c r="E202" s="420" t="str">
        <f t="shared" si="3"/>
        <v>-</v>
      </c>
    </row>
    <row r="203" spans="1:5" s="406" customFormat="1" ht="12">
      <c r="A203" s="407" t="s">
        <v>727</v>
      </c>
      <c r="B203" s="408" t="s">
        <v>455</v>
      </c>
      <c r="C203" s="409">
        <v>0</v>
      </c>
      <c r="D203" s="409">
        <v>0</v>
      </c>
      <c r="E203" s="420" t="str">
        <f t="shared" si="3"/>
        <v>-</v>
      </c>
    </row>
    <row r="204" spans="1:5" s="406" customFormat="1" ht="24">
      <c r="A204" s="407" t="s">
        <v>728</v>
      </c>
      <c r="B204" s="408" t="s">
        <v>456</v>
      </c>
      <c r="C204" s="409">
        <v>0</v>
      </c>
      <c r="D204" s="409">
        <v>0</v>
      </c>
      <c r="E204" s="420" t="str">
        <f t="shared" si="3"/>
        <v>-</v>
      </c>
    </row>
    <row r="205" spans="1:5" s="406" customFormat="1" ht="12">
      <c r="A205" s="407" t="s">
        <v>729</v>
      </c>
      <c r="B205" s="408" t="s">
        <v>457</v>
      </c>
      <c r="C205" s="409">
        <v>0</v>
      </c>
      <c r="D205" s="409">
        <v>0</v>
      </c>
      <c r="E205" s="420" t="str">
        <f t="shared" si="3"/>
        <v>-</v>
      </c>
    </row>
    <row r="206" spans="1:5" s="406" customFormat="1" ht="24">
      <c r="A206" s="407" t="s">
        <v>730</v>
      </c>
      <c r="B206" s="408" t="s">
        <v>458</v>
      </c>
      <c r="C206" s="409">
        <v>0</v>
      </c>
      <c r="D206" s="409">
        <v>0</v>
      </c>
      <c r="E206" s="420" t="str">
        <f t="shared" si="3"/>
        <v>-</v>
      </c>
    </row>
    <row r="207" spans="1:5" s="406" customFormat="1" ht="24">
      <c r="A207" s="407" t="s">
        <v>731</v>
      </c>
      <c r="B207" s="408" t="s">
        <v>459</v>
      </c>
      <c r="C207" s="409">
        <v>0</v>
      </c>
      <c r="D207" s="409">
        <v>0</v>
      </c>
      <c r="E207" s="420" t="str">
        <f t="shared" si="3"/>
        <v>-</v>
      </c>
    </row>
    <row r="208" spans="1:5" s="406" customFormat="1" ht="12">
      <c r="A208" s="407" t="s">
        <v>732</v>
      </c>
      <c r="B208" s="408" t="s">
        <v>460</v>
      </c>
      <c r="C208" s="409">
        <v>0</v>
      </c>
      <c r="D208" s="409">
        <v>0</v>
      </c>
      <c r="E208" s="420" t="str">
        <f t="shared" si="3"/>
        <v>-</v>
      </c>
    </row>
    <row r="209" spans="1:5" s="406" customFormat="1" ht="12">
      <c r="A209" s="407" t="s">
        <v>733</v>
      </c>
      <c r="B209" s="408" t="s">
        <v>461</v>
      </c>
      <c r="C209" s="409">
        <v>0</v>
      </c>
      <c r="D209" s="409">
        <v>0</v>
      </c>
      <c r="E209" s="420" t="str">
        <f t="shared" si="3"/>
        <v>-</v>
      </c>
    </row>
    <row r="210" spans="1:5" s="406" customFormat="1" ht="24">
      <c r="A210" s="407" t="s">
        <v>734</v>
      </c>
      <c r="B210" s="408" t="s">
        <v>462</v>
      </c>
      <c r="C210" s="409">
        <v>0</v>
      </c>
      <c r="D210" s="409">
        <v>0</v>
      </c>
      <c r="E210" s="420" t="str">
        <f t="shared" si="3"/>
        <v>-</v>
      </c>
    </row>
    <row r="211" spans="1:5" s="406" customFormat="1" ht="24">
      <c r="A211" s="407" t="s">
        <v>735</v>
      </c>
      <c r="B211" s="408" t="s">
        <v>463</v>
      </c>
      <c r="C211" s="409">
        <v>0</v>
      </c>
      <c r="D211" s="409">
        <v>0</v>
      </c>
      <c r="E211" s="420" t="str">
        <f t="shared" si="3"/>
        <v>-</v>
      </c>
    </row>
    <row r="212" spans="1:5" s="406" customFormat="1" ht="12.75" thickBot="1">
      <c r="A212" s="407" t="s">
        <v>736</v>
      </c>
      <c r="B212" s="412" t="s">
        <v>464</v>
      </c>
      <c r="C212" s="413">
        <v>0</v>
      </c>
      <c r="D212" s="413">
        <v>0</v>
      </c>
      <c r="E212" s="414" t="str">
        <f t="shared" si="3"/>
        <v>-</v>
      </c>
    </row>
    <row r="213" spans="1:5" s="406" customFormat="1" ht="12.75" thickBot="1">
      <c r="A213" s="397" t="s">
        <v>737</v>
      </c>
      <c r="B213" s="415" t="s">
        <v>465</v>
      </c>
      <c r="C213" s="416">
        <f>C188+C189+C190+C191+C192+C195+C196+C197+C200</f>
        <v>17749018</v>
      </c>
      <c r="D213" s="416">
        <f>D188+D189+D190+D191+D192+D195+D196+D197+D200</f>
        <v>24957303</v>
      </c>
      <c r="E213" s="417">
        <f t="shared" si="3"/>
        <v>140.61230317080077</v>
      </c>
    </row>
    <row r="214" spans="1:5" ht="12">
      <c r="A214" s="402" t="s">
        <v>738</v>
      </c>
      <c r="B214" s="450" t="s">
        <v>466</v>
      </c>
      <c r="C214" s="451">
        <v>0</v>
      </c>
      <c r="D214" s="404">
        <v>285714</v>
      </c>
      <c r="E214" s="426" t="str">
        <f t="shared" si="3"/>
        <v>-</v>
      </c>
    </row>
    <row r="215" spans="1:5" ht="24">
      <c r="A215" s="425" t="s">
        <v>739</v>
      </c>
      <c r="B215" s="453" t="s">
        <v>467</v>
      </c>
      <c r="C215" s="454">
        <v>0</v>
      </c>
      <c r="D215" s="409">
        <v>0</v>
      </c>
      <c r="E215" s="420" t="str">
        <f t="shared" si="3"/>
        <v>-</v>
      </c>
    </row>
    <row r="216" spans="1:5" ht="12">
      <c r="A216" s="407" t="s">
        <v>740</v>
      </c>
      <c r="B216" s="453" t="s">
        <v>468</v>
      </c>
      <c r="C216" s="454">
        <v>38682584</v>
      </c>
      <c r="D216" s="409">
        <v>49899413</v>
      </c>
      <c r="E216" s="420">
        <f t="shared" si="3"/>
        <v>128.99710370951433</v>
      </c>
    </row>
    <row r="217" spans="1:5" ht="12">
      <c r="A217" s="407" t="s">
        <v>741</v>
      </c>
      <c r="B217" s="453" t="s">
        <v>469</v>
      </c>
      <c r="C217" s="454">
        <v>0</v>
      </c>
      <c r="D217" s="409">
        <v>0</v>
      </c>
      <c r="E217" s="420" t="str">
        <f t="shared" si="3"/>
        <v>-</v>
      </c>
    </row>
    <row r="218" spans="1:5" ht="24">
      <c r="A218" s="407" t="s">
        <v>742</v>
      </c>
      <c r="B218" s="453" t="s">
        <v>470</v>
      </c>
      <c r="C218" s="454">
        <v>0</v>
      </c>
      <c r="D218" s="409">
        <v>0</v>
      </c>
      <c r="E218" s="420" t="str">
        <f t="shared" si="3"/>
        <v>-</v>
      </c>
    </row>
    <row r="219" spans="1:5" ht="24">
      <c r="A219" s="407" t="s">
        <v>743</v>
      </c>
      <c r="B219" s="453" t="s">
        <v>471</v>
      </c>
      <c r="C219" s="454">
        <v>0</v>
      </c>
      <c r="D219" s="409">
        <v>0</v>
      </c>
      <c r="E219" s="420" t="str">
        <f t="shared" si="3"/>
        <v>-</v>
      </c>
    </row>
    <row r="220" spans="1:5" ht="24">
      <c r="A220" s="407" t="s">
        <v>744</v>
      </c>
      <c r="B220" s="453" t="s">
        <v>472</v>
      </c>
      <c r="C220" s="454">
        <v>0</v>
      </c>
      <c r="D220" s="409">
        <v>0</v>
      </c>
      <c r="E220" s="420" t="str">
        <f t="shared" si="3"/>
        <v>-</v>
      </c>
    </row>
    <row r="221" spans="1:5" ht="12">
      <c r="A221" s="407" t="s">
        <v>745</v>
      </c>
      <c r="B221" s="453" t="s">
        <v>473</v>
      </c>
      <c r="C221" s="454">
        <v>0</v>
      </c>
      <c r="D221" s="409">
        <v>0</v>
      </c>
      <c r="E221" s="420" t="str">
        <f t="shared" si="3"/>
        <v>-</v>
      </c>
    </row>
    <row r="222" spans="1:5" ht="12">
      <c r="A222" s="407" t="s">
        <v>746</v>
      </c>
      <c r="B222" s="453" t="s">
        <v>474</v>
      </c>
      <c r="C222" s="454">
        <v>15826642</v>
      </c>
      <c r="D222" s="409">
        <v>0</v>
      </c>
      <c r="E222" s="420">
        <f t="shared" si="3"/>
        <v>0</v>
      </c>
    </row>
    <row r="223" spans="1:5" ht="24">
      <c r="A223" s="407" t="s">
        <v>747</v>
      </c>
      <c r="B223" s="453" t="s">
        <v>475</v>
      </c>
      <c r="C223" s="454">
        <v>0</v>
      </c>
      <c r="D223" s="409">
        <v>0</v>
      </c>
      <c r="E223" s="420" t="str">
        <f t="shared" si="3"/>
        <v>-</v>
      </c>
    </row>
    <row r="224" spans="1:5" ht="24">
      <c r="A224" s="407" t="s">
        <v>748</v>
      </c>
      <c r="B224" s="453" t="s">
        <v>476</v>
      </c>
      <c r="C224" s="454">
        <v>0</v>
      </c>
      <c r="D224" s="409">
        <v>0</v>
      </c>
      <c r="E224" s="420" t="str">
        <f t="shared" si="3"/>
        <v>-</v>
      </c>
    </row>
    <row r="225" spans="1:5" ht="24">
      <c r="A225" s="407" t="s">
        <v>749</v>
      </c>
      <c r="B225" s="453" t="s">
        <v>477</v>
      </c>
      <c r="C225" s="454">
        <v>0</v>
      </c>
      <c r="D225" s="409">
        <v>0</v>
      </c>
      <c r="E225" s="420" t="str">
        <f t="shared" si="3"/>
        <v>-</v>
      </c>
    </row>
    <row r="226" spans="1:5" ht="24">
      <c r="A226" s="407" t="s">
        <v>750</v>
      </c>
      <c r="B226" s="453" t="s">
        <v>655</v>
      </c>
      <c r="C226" s="454">
        <f>SUM(C227:C236)</f>
        <v>52821826</v>
      </c>
      <c r="D226" s="409">
        <f>SUM(D227:D236)</f>
        <v>56747405</v>
      </c>
      <c r="E226" s="410">
        <f t="shared" si="3"/>
        <v>107.43173664613563</v>
      </c>
    </row>
    <row r="227" spans="1:5" ht="24">
      <c r="A227" s="407" t="s">
        <v>751</v>
      </c>
      <c r="B227" s="453" t="s">
        <v>478</v>
      </c>
      <c r="C227" s="454">
        <v>0</v>
      </c>
      <c r="D227" s="409">
        <v>0</v>
      </c>
      <c r="E227" s="420" t="str">
        <f t="shared" si="3"/>
        <v>-</v>
      </c>
    </row>
    <row r="228" spans="1:5" ht="12">
      <c r="A228" s="407" t="s">
        <v>752</v>
      </c>
      <c r="B228" s="453" t="s">
        <v>479</v>
      </c>
      <c r="C228" s="454">
        <v>0</v>
      </c>
      <c r="D228" s="409">
        <v>0</v>
      </c>
      <c r="E228" s="420" t="str">
        <f t="shared" si="3"/>
        <v>-</v>
      </c>
    </row>
    <row r="229" spans="1:5" ht="12">
      <c r="A229" s="407" t="s">
        <v>753</v>
      </c>
      <c r="B229" s="453" t="s">
        <v>480</v>
      </c>
      <c r="C229" s="454">
        <v>0</v>
      </c>
      <c r="D229" s="409">
        <v>0</v>
      </c>
      <c r="E229" s="420" t="str">
        <f t="shared" si="3"/>
        <v>-</v>
      </c>
    </row>
    <row r="230" spans="1:5" ht="24">
      <c r="A230" s="407" t="s">
        <v>754</v>
      </c>
      <c r="B230" s="453" t="s">
        <v>481</v>
      </c>
      <c r="C230" s="454">
        <v>0</v>
      </c>
      <c r="D230" s="409">
        <v>0</v>
      </c>
      <c r="E230" s="420" t="str">
        <f t="shared" si="3"/>
        <v>-</v>
      </c>
    </row>
    <row r="231" spans="1:5" ht="24">
      <c r="A231" s="407" t="s">
        <v>755</v>
      </c>
      <c r="B231" s="453" t="s">
        <v>645</v>
      </c>
      <c r="C231" s="454">
        <v>52821826</v>
      </c>
      <c r="D231" s="409">
        <v>56747405</v>
      </c>
      <c r="E231" s="422">
        <f t="shared" si="3"/>
        <v>107.43173664613563</v>
      </c>
    </row>
    <row r="232" spans="1:5" ht="12">
      <c r="A232" s="407" t="s">
        <v>756</v>
      </c>
      <c r="B232" s="408" t="s">
        <v>646</v>
      </c>
      <c r="C232" s="454">
        <v>0</v>
      </c>
      <c r="D232" s="409">
        <v>0</v>
      </c>
      <c r="E232" s="420" t="str">
        <f t="shared" si="3"/>
        <v>-</v>
      </c>
    </row>
    <row r="233" spans="1:5" ht="24">
      <c r="A233" s="407" t="s">
        <v>757</v>
      </c>
      <c r="B233" s="408" t="s">
        <v>647</v>
      </c>
      <c r="C233" s="454">
        <v>0</v>
      </c>
      <c r="D233" s="409">
        <v>0</v>
      </c>
      <c r="E233" s="420" t="str">
        <f t="shared" si="3"/>
        <v>-</v>
      </c>
    </row>
    <row r="234" spans="1:5" ht="24">
      <c r="A234" s="407" t="s">
        <v>758</v>
      </c>
      <c r="B234" s="408" t="s">
        <v>648</v>
      </c>
      <c r="C234" s="454">
        <v>0</v>
      </c>
      <c r="D234" s="409">
        <v>0</v>
      </c>
      <c r="E234" s="420" t="str">
        <f t="shared" si="3"/>
        <v>-</v>
      </c>
    </row>
    <row r="235" spans="1:5" ht="24">
      <c r="A235" s="407" t="s">
        <v>759</v>
      </c>
      <c r="B235" s="408" t="s">
        <v>649</v>
      </c>
      <c r="C235" s="454">
        <v>0</v>
      </c>
      <c r="D235" s="409">
        <v>0</v>
      </c>
      <c r="E235" s="420" t="str">
        <f t="shared" si="3"/>
        <v>-</v>
      </c>
    </row>
    <row r="236" spans="1:5" ht="12.75" thickBot="1">
      <c r="A236" s="407" t="s">
        <v>760</v>
      </c>
      <c r="B236" s="408" t="s">
        <v>650</v>
      </c>
      <c r="C236" s="454">
        <v>0</v>
      </c>
      <c r="D236" s="409">
        <v>0</v>
      </c>
      <c r="E236" s="420" t="str">
        <f t="shared" si="3"/>
        <v>-</v>
      </c>
    </row>
    <row r="237" spans="1:5" ht="12.75" thickBot="1">
      <c r="A237" s="397" t="s">
        <v>761</v>
      </c>
      <c r="B237" s="455" t="s">
        <v>482</v>
      </c>
      <c r="C237" s="456">
        <f>C214+C215+C216+C217+C218+C221+C222+C223+C226</f>
        <v>107331052</v>
      </c>
      <c r="D237" s="416">
        <f>D214+D215+D216+D217+D218+D221+D222+D223+D226</f>
        <v>106932532</v>
      </c>
      <c r="E237" s="417">
        <f t="shared" si="3"/>
        <v>99.62870018268339</v>
      </c>
    </row>
    <row r="238" spans="1:5" ht="12">
      <c r="A238" s="402" t="s">
        <v>762</v>
      </c>
      <c r="B238" s="450" t="s">
        <v>641</v>
      </c>
      <c r="C238" s="451">
        <v>207888547</v>
      </c>
      <c r="D238" s="404">
        <v>159467845</v>
      </c>
      <c r="E238" s="405">
        <f t="shared" si="3"/>
        <v>76.70833593348459</v>
      </c>
    </row>
    <row r="239" spans="1:5" ht="12">
      <c r="A239" s="425" t="s">
        <v>763</v>
      </c>
      <c r="B239" s="453" t="s">
        <v>483</v>
      </c>
      <c r="C239" s="454">
        <v>0</v>
      </c>
      <c r="D239" s="409">
        <v>68750</v>
      </c>
      <c r="E239" s="410" t="str">
        <f t="shared" si="3"/>
        <v>-</v>
      </c>
    </row>
    <row r="240" spans="1:5" ht="12">
      <c r="A240" s="407" t="s">
        <v>764</v>
      </c>
      <c r="B240" s="453" t="s">
        <v>484</v>
      </c>
      <c r="C240" s="454">
        <v>0</v>
      </c>
      <c r="D240" s="409">
        <v>0</v>
      </c>
      <c r="E240" s="410" t="str">
        <f t="shared" si="3"/>
        <v>-</v>
      </c>
    </row>
    <row r="241" spans="1:5" ht="12">
      <c r="A241" s="407" t="s">
        <v>765</v>
      </c>
      <c r="B241" s="453" t="s">
        <v>485</v>
      </c>
      <c r="C241" s="454">
        <v>0</v>
      </c>
      <c r="D241" s="409">
        <v>0</v>
      </c>
      <c r="E241" s="422" t="str">
        <f t="shared" si="3"/>
        <v>-</v>
      </c>
    </row>
    <row r="242" spans="1:5" ht="24">
      <c r="A242" s="407" t="s">
        <v>766</v>
      </c>
      <c r="B242" s="453" t="s">
        <v>656</v>
      </c>
      <c r="C242" s="454">
        <v>0</v>
      </c>
      <c r="D242" s="409">
        <v>0</v>
      </c>
      <c r="E242" s="422" t="str">
        <f t="shared" si="3"/>
        <v>-</v>
      </c>
    </row>
    <row r="243" spans="1:5" ht="24">
      <c r="A243" s="407" t="s">
        <v>767</v>
      </c>
      <c r="B243" s="453" t="s">
        <v>486</v>
      </c>
      <c r="C243" s="454">
        <v>0</v>
      </c>
      <c r="D243" s="409">
        <v>0</v>
      </c>
      <c r="E243" s="422" t="str">
        <f t="shared" si="3"/>
        <v>-</v>
      </c>
    </row>
    <row r="244" spans="1:5" ht="12">
      <c r="A244" s="407" t="s">
        <v>768</v>
      </c>
      <c r="B244" s="453" t="s">
        <v>1143</v>
      </c>
      <c r="C244" s="454">
        <v>0</v>
      </c>
      <c r="D244" s="409">
        <v>484848</v>
      </c>
      <c r="E244" s="422" t="str">
        <f t="shared" si="3"/>
        <v>-</v>
      </c>
    </row>
    <row r="245" spans="1:5" ht="12">
      <c r="A245" s="407" t="s">
        <v>769</v>
      </c>
      <c r="B245" s="453" t="s">
        <v>487</v>
      </c>
      <c r="C245" s="454"/>
      <c r="D245" s="409"/>
      <c r="E245" s="422" t="str">
        <f t="shared" si="3"/>
        <v>-</v>
      </c>
    </row>
    <row r="246" spans="1:5" ht="12">
      <c r="A246" s="407" t="s">
        <v>770</v>
      </c>
      <c r="B246" s="453" t="s">
        <v>488</v>
      </c>
      <c r="C246" s="454">
        <v>0</v>
      </c>
      <c r="D246" s="409">
        <v>0</v>
      </c>
      <c r="E246" s="422" t="str">
        <f t="shared" si="3"/>
        <v>-</v>
      </c>
    </row>
    <row r="247" spans="1:5" ht="12.75" thickBot="1">
      <c r="A247" s="407" t="s">
        <v>771</v>
      </c>
      <c r="B247" s="457" t="s">
        <v>489</v>
      </c>
      <c r="C247" s="458">
        <v>0</v>
      </c>
      <c r="D247" s="413">
        <v>0</v>
      </c>
      <c r="E247" s="424" t="str">
        <f t="shared" si="3"/>
        <v>-</v>
      </c>
    </row>
    <row r="248" spans="1:5" ht="12.75" thickBot="1">
      <c r="A248" s="397">
        <v>246</v>
      </c>
      <c r="B248" s="455" t="s">
        <v>490</v>
      </c>
      <c r="C248" s="456">
        <f>SUM(C238:C247)</f>
        <v>207888547</v>
      </c>
      <c r="D248" s="416">
        <f>SUM(D238:D247)</f>
        <v>160021443</v>
      </c>
      <c r="E248" s="417">
        <f t="shared" si="3"/>
        <v>76.97463150771841</v>
      </c>
    </row>
    <row r="249" spans="1:5" ht="12.75" thickBot="1">
      <c r="A249" s="397">
        <v>247</v>
      </c>
      <c r="B249" s="455" t="s">
        <v>491</v>
      </c>
      <c r="C249" s="456">
        <f>C213+C237+C248</f>
        <v>332968617</v>
      </c>
      <c r="D249" s="416">
        <f>D213+D237+D248</f>
        <v>291911278</v>
      </c>
      <c r="E249" s="417">
        <f t="shared" si="3"/>
        <v>87.66930668423926</v>
      </c>
    </row>
    <row r="250" spans="1:5" ht="12.75" thickBot="1">
      <c r="A250" s="397">
        <v>248</v>
      </c>
      <c r="B250" s="455" t="s">
        <v>71</v>
      </c>
      <c r="C250" s="456">
        <v>0</v>
      </c>
      <c r="D250" s="416">
        <v>0</v>
      </c>
      <c r="E250" s="432" t="str">
        <f t="shared" si="3"/>
        <v>-</v>
      </c>
    </row>
    <row r="251" spans="1:5" ht="12">
      <c r="A251" s="402">
        <v>249</v>
      </c>
      <c r="B251" s="450" t="s">
        <v>492</v>
      </c>
      <c r="C251" s="451">
        <v>0</v>
      </c>
      <c r="D251" s="404">
        <v>0</v>
      </c>
      <c r="E251" s="426" t="str">
        <f t="shared" si="3"/>
        <v>-</v>
      </c>
    </row>
    <row r="252" spans="1:5" ht="12">
      <c r="A252" s="425">
        <v>250</v>
      </c>
      <c r="B252" s="453" t="s">
        <v>493</v>
      </c>
      <c r="C252" s="454">
        <v>282052451</v>
      </c>
      <c r="D252" s="409">
        <v>310494656</v>
      </c>
      <c r="E252" s="410">
        <f t="shared" si="3"/>
        <v>110.0840127072677</v>
      </c>
    </row>
    <row r="253" spans="1:5" ht="12.75" thickBot="1">
      <c r="A253" s="407">
        <v>251</v>
      </c>
      <c r="B253" s="457" t="s">
        <v>494</v>
      </c>
      <c r="C253" s="458">
        <v>740711521</v>
      </c>
      <c r="D253" s="413">
        <v>1063307122</v>
      </c>
      <c r="E253" s="424">
        <f t="shared" si="3"/>
        <v>143.55212412039694</v>
      </c>
    </row>
    <row r="254" spans="1:5" ht="12.75" thickBot="1">
      <c r="A254" s="423">
        <v>252</v>
      </c>
      <c r="B254" s="455" t="s">
        <v>495</v>
      </c>
      <c r="C254" s="456">
        <f>SUM(C251:C253)</f>
        <v>1022763972</v>
      </c>
      <c r="D254" s="416">
        <f>SUM(D251:D253)</f>
        <v>1373801778</v>
      </c>
      <c r="E254" s="417">
        <f t="shared" si="3"/>
        <v>134.3224649684864</v>
      </c>
    </row>
    <row r="255" spans="1:5" ht="12.75" thickBot="1">
      <c r="A255" s="397" t="s">
        <v>772</v>
      </c>
      <c r="B255" s="455" t="s">
        <v>496</v>
      </c>
      <c r="C255" s="416">
        <f>C187+C249+C250+C254</f>
        <v>27840468387</v>
      </c>
      <c r="D255" s="416">
        <f>D187+D249+D250+D254</f>
        <v>26919835333</v>
      </c>
      <c r="E255" s="417">
        <f t="shared" si="3"/>
        <v>96.69318403267279</v>
      </c>
    </row>
    <row r="256" ht="12">
      <c r="A256" s="459"/>
    </row>
  </sheetData>
  <sheetProtection formatCells="0" formatColumns="0" formatRows="0" insertColumns="0" insertRows="0" insertHyperlinks="0" deleteColumns="0" deleteRows="0" sort="0" autoFilter="0" pivotTables="0"/>
  <mergeCells count="2">
    <mergeCell ref="E1:E2"/>
    <mergeCell ref="C2:D2"/>
  </mergeCells>
  <printOptions/>
  <pageMargins left="0.5118110236220472" right="0.4724409448818898" top="1.4566929133858268" bottom="0.5511811023622047" header="0.7086614173228347" footer="0.31496062992125984"/>
  <pageSetup horizontalDpi="600" verticalDpi="600" orientation="portrait" paperSize="9" scale="75" r:id="rId1"/>
  <headerFooter>
    <oddHeader>&amp;L&amp;12Tiszaújváros Város Önkormányzata&amp;C&amp;"Times New Roman CE,Félkövér"&amp;12MÉRLEG
2023. év
&amp;R&amp;12 8. tájékoztató tábla</oddHeader>
    <oddFooter>&amp;C&amp;P</oddFooter>
  </headerFooter>
  <rowBreaks count="4" manualBreakCount="4">
    <brk id="65" max="4" man="1"/>
    <brk id="112" max="4" man="1"/>
    <brk id="163" max="4" man="1"/>
    <brk id="2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SheetLayoutView="120" workbookViewId="0" topLeftCell="A1">
      <selection activeCell="I80" sqref="I80"/>
    </sheetView>
  </sheetViews>
  <sheetFormatPr defaultColWidth="9.00390625" defaultRowHeight="12.75"/>
  <cols>
    <col min="1" max="1" width="11.125" style="138" customWidth="1"/>
    <col min="2" max="2" width="69.375" style="139" customWidth="1"/>
    <col min="3" max="5" width="17.875" style="140" customWidth="1"/>
    <col min="6" max="16384" width="9.375" style="375" customWidth="1"/>
  </cols>
  <sheetData>
    <row r="1" spans="1:5" ht="12.75" thickBot="1">
      <c r="A1" s="567" t="s">
        <v>659</v>
      </c>
      <c r="B1" s="567"/>
      <c r="C1" s="567"/>
      <c r="D1" s="567"/>
      <c r="E1" s="567"/>
    </row>
    <row r="2" spans="1:5" s="236" customFormat="1" ht="12" customHeight="1">
      <c r="A2" s="575" t="s">
        <v>56</v>
      </c>
      <c r="B2" s="573" t="s">
        <v>613</v>
      </c>
      <c r="C2" s="571" t="s">
        <v>773</v>
      </c>
      <c r="D2" s="569" t="s">
        <v>863</v>
      </c>
      <c r="E2" s="570"/>
    </row>
    <row r="3" spans="1:14" s="232" customFormat="1" ht="55.5" customHeight="1" thickBot="1">
      <c r="A3" s="576"/>
      <c r="B3" s="574"/>
      <c r="C3" s="572"/>
      <c r="D3" s="143" t="s">
        <v>627</v>
      </c>
      <c r="E3" s="376" t="s">
        <v>33</v>
      </c>
      <c r="H3" s="559"/>
      <c r="I3" s="559"/>
      <c r="J3" s="559"/>
      <c r="K3" s="559"/>
      <c r="L3" s="559"/>
      <c r="M3" s="559"/>
      <c r="N3" s="559"/>
    </row>
    <row r="4" spans="1:5" s="232" customFormat="1" ht="14.25" customHeight="1" thickBot="1">
      <c r="A4" s="116" t="s">
        <v>61</v>
      </c>
      <c r="B4" s="117" t="s">
        <v>62</v>
      </c>
      <c r="C4" s="118" t="s">
        <v>63</v>
      </c>
      <c r="D4" s="117" t="s">
        <v>64</v>
      </c>
      <c r="E4" s="234" t="s">
        <v>65</v>
      </c>
    </row>
    <row r="5" spans="1:5" s="236" customFormat="1" ht="15" customHeight="1" thickBot="1">
      <c r="A5" s="127" t="s">
        <v>1</v>
      </c>
      <c r="B5" s="377" t="s">
        <v>838</v>
      </c>
      <c r="C5" s="336">
        <f>C6+C8+C9+C10+C11+C18</f>
        <v>9353700479</v>
      </c>
      <c r="D5" s="378">
        <f>D6+D8+D9+D10+D11</f>
        <v>14987617472</v>
      </c>
      <c r="E5" s="337">
        <f>E6+E8+E9+E10+E11+E18</f>
        <v>11535418095</v>
      </c>
    </row>
    <row r="6" spans="1:17" ht="15" customHeight="1">
      <c r="A6" s="128" t="s">
        <v>507</v>
      </c>
      <c r="B6" s="379" t="s">
        <v>586</v>
      </c>
      <c r="C6" s="338">
        <v>3210473677</v>
      </c>
      <c r="D6" s="380">
        <v>3735961483</v>
      </c>
      <c r="E6" s="314">
        <v>3670781670</v>
      </c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</row>
    <row r="7" spans="1:5" ht="15" customHeight="1">
      <c r="A7" s="123" t="s">
        <v>614</v>
      </c>
      <c r="B7" s="381" t="s">
        <v>587</v>
      </c>
      <c r="C7" s="322">
        <v>124127361</v>
      </c>
      <c r="D7" s="311">
        <v>142058224</v>
      </c>
      <c r="E7" s="315">
        <v>136103864</v>
      </c>
    </row>
    <row r="8" spans="1:5" ht="15" customHeight="1">
      <c r="A8" s="123" t="s">
        <v>509</v>
      </c>
      <c r="B8" s="129" t="s">
        <v>588</v>
      </c>
      <c r="C8" s="322">
        <v>489326101</v>
      </c>
      <c r="D8" s="316">
        <v>576010577</v>
      </c>
      <c r="E8" s="315">
        <v>549559775</v>
      </c>
    </row>
    <row r="9" spans="1:5" ht="15" customHeight="1">
      <c r="A9" s="123" t="s">
        <v>510</v>
      </c>
      <c r="B9" s="129" t="s">
        <v>589</v>
      </c>
      <c r="C9" s="322">
        <v>1926030305</v>
      </c>
      <c r="D9" s="319">
        <v>2419306164</v>
      </c>
      <c r="E9" s="315">
        <v>2132171877</v>
      </c>
    </row>
    <row r="10" spans="1:5" ht="15" customHeight="1">
      <c r="A10" s="123" t="s">
        <v>511</v>
      </c>
      <c r="B10" s="129" t="s">
        <v>590</v>
      </c>
      <c r="C10" s="322">
        <v>200223938</v>
      </c>
      <c r="D10" s="319">
        <v>239928000</v>
      </c>
      <c r="E10" s="315">
        <v>214443375</v>
      </c>
    </row>
    <row r="11" spans="1:5" ht="15" customHeight="1">
      <c r="A11" s="123" t="s">
        <v>513</v>
      </c>
      <c r="B11" s="137" t="s">
        <v>591</v>
      </c>
      <c r="C11" s="316">
        <f>SUM(C12:C18)</f>
        <v>3527646458</v>
      </c>
      <c r="D11" s="319">
        <f>SUM(D12:D18)</f>
        <v>8016411248</v>
      </c>
      <c r="E11" s="318">
        <f>SUM(E12:E18)</f>
        <v>4968461398</v>
      </c>
    </row>
    <row r="12" spans="1:5" ht="15" customHeight="1">
      <c r="A12" s="123" t="s">
        <v>615</v>
      </c>
      <c r="B12" s="382" t="s">
        <v>839</v>
      </c>
      <c r="C12" s="322">
        <v>8993645</v>
      </c>
      <c r="D12" s="319"/>
      <c r="E12" s="315"/>
    </row>
    <row r="13" spans="1:5" ht="15" customHeight="1">
      <c r="A13" s="123" t="s">
        <v>616</v>
      </c>
      <c r="B13" s="383" t="s">
        <v>776</v>
      </c>
      <c r="C13" s="322">
        <v>1908749237</v>
      </c>
      <c r="D13" s="319">
        <v>3222984305</v>
      </c>
      <c r="E13" s="315">
        <v>3222984305</v>
      </c>
    </row>
    <row r="14" spans="1:5" ht="15" customHeight="1">
      <c r="A14" s="123" t="s">
        <v>617</v>
      </c>
      <c r="B14" s="383" t="s">
        <v>777</v>
      </c>
      <c r="C14" s="322">
        <v>0</v>
      </c>
      <c r="D14" s="319">
        <v>0</v>
      </c>
      <c r="E14" s="315">
        <v>0</v>
      </c>
    </row>
    <row r="15" spans="1:5" ht="15" customHeight="1">
      <c r="A15" s="123" t="s">
        <v>618</v>
      </c>
      <c r="B15" s="383" t="s">
        <v>778</v>
      </c>
      <c r="C15" s="322">
        <v>63518432</v>
      </c>
      <c r="D15" s="319">
        <v>83859338</v>
      </c>
      <c r="E15" s="315">
        <v>77895084</v>
      </c>
    </row>
    <row r="16" spans="1:5" ht="15" customHeight="1">
      <c r="A16" s="123" t="s">
        <v>619</v>
      </c>
      <c r="B16" s="383" t="s">
        <v>779</v>
      </c>
      <c r="C16" s="322">
        <v>0</v>
      </c>
      <c r="D16" s="319">
        <v>0</v>
      </c>
      <c r="E16" s="315">
        <v>0</v>
      </c>
    </row>
    <row r="17" spans="1:5" ht="15" customHeight="1">
      <c r="A17" s="123" t="s">
        <v>840</v>
      </c>
      <c r="B17" s="383" t="s">
        <v>780</v>
      </c>
      <c r="C17" s="322">
        <v>1546385144</v>
      </c>
      <c r="D17" s="319">
        <v>1765875658</v>
      </c>
      <c r="E17" s="315">
        <v>1667582009</v>
      </c>
    </row>
    <row r="18" spans="1:5" ht="15" customHeight="1">
      <c r="A18" s="123" t="s">
        <v>841</v>
      </c>
      <c r="B18" s="384" t="s">
        <v>781</v>
      </c>
      <c r="C18" s="322">
        <v>0</v>
      </c>
      <c r="D18" s="385">
        <f>+D19+D20</f>
        <v>2943691947</v>
      </c>
      <c r="E18" s="315">
        <f>+E19+E20</f>
        <v>0</v>
      </c>
    </row>
    <row r="19" spans="1:5" ht="15" customHeight="1">
      <c r="A19" s="121" t="s">
        <v>842</v>
      </c>
      <c r="B19" s="386" t="s">
        <v>782</v>
      </c>
      <c r="C19" s="322">
        <v>0</v>
      </c>
      <c r="D19" s="311">
        <v>100000000</v>
      </c>
      <c r="E19" s="315">
        <v>0</v>
      </c>
    </row>
    <row r="20" spans="1:5" ht="15" customHeight="1">
      <c r="A20" s="125" t="s">
        <v>843</v>
      </c>
      <c r="B20" s="387" t="s">
        <v>783</v>
      </c>
      <c r="C20" s="322">
        <v>0</v>
      </c>
      <c r="D20" s="316">
        <f>+D21+D22</f>
        <v>2843691947</v>
      </c>
      <c r="E20" s="315">
        <f>E21+E22</f>
        <v>0</v>
      </c>
    </row>
    <row r="21" spans="1:5" ht="15" customHeight="1">
      <c r="A21" s="125" t="s">
        <v>844</v>
      </c>
      <c r="B21" s="388" t="s">
        <v>784</v>
      </c>
      <c r="C21" s="322">
        <v>0</v>
      </c>
      <c r="D21" s="316">
        <v>2802691947</v>
      </c>
      <c r="E21" s="315">
        <v>0</v>
      </c>
    </row>
    <row r="22" spans="1:5" ht="15" customHeight="1" thickBot="1">
      <c r="A22" s="125" t="s">
        <v>845</v>
      </c>
      <c r="B22" s="388" t="s">
        <v>785</v>
      </c>
      <c r="C22" s="322">
        <v>0</v>
      </c>
      <c r="D22" s="316">
        <v>41000000</v>
      </c>
      <c r="E22" s="315">
        <v>0</v>
      </c>
    </row>
    <row r="23" spans="1:5" ht="15" customHeight="1" thickBot="1">
      <c r="A23" s="119" t="s">
        <v>2</v>
      </c>
      <c r="B23" s="131" t="s">
        <v>846</v>
      </c>
      <c r="C23" s="312">
        <f>+C24+C26+C28</f>
        <v>889602878</v>
      </c>
      <c r="D23" s="321">
        <f>+D24+D26+D28</f>
        <v>1825465489</v>
      </c>
      <c r="E23" s="313">
        <f>+E24+E26+E28</f>
        <v>1139766087</v>
      </c>
    </row>
    <row r="24" spans="1:5" ht="15" customHeight="1">
      <c r="A24" s="121" t="s">
        <v>517</v>
      </c>
      <c r="B24" s="129" t="s">
        <v>594</v>
      </c>
      <c r="C24" s="322">
        <v>250628615</v>
      </c>
      <c r="D24" s="311">
        <v>458702890</v>
      </c>
      <c r="E24" s="315">
        <v>334848075</v>
      </c>
    </row>
    <row r="25" spans="1:5" ht="15" customHeight="1">
      <c r="A25" s="121" t="s">
        <v>620</v>
      </c>
      <c r="B25" s="132" t="s">
        <v>595</v>
      </c>
      <c r="C25" s="322">
        <v>0</v>
      </c>
      <c r="D25" s="311">
        <v>188851803</v>
      </c>
      <c r="E25" s="315">
        <v>131957503</v>
      </c>
    </row>
    <row r="26" spans="1:5" ht="15" customHeight="1">
      <c r="A26" s="121" t="s">
        <v>519</v>
      </c>
      <c r="B26" s="132" t="s">
        <v>596</v>
      </c>
      <c r="C26" s="322">
        <v>345213094</v>
      </c>
      <c r="D26" s="316">
        <v>648377599</v>
      </c>
      <c r="E26" s="315">
        <v>179680123</v>
      </c>
    </row>
    <row r="27" spans="1:5" ht="15" customHeight="1">
      <c r="A27" s="121" t="s">
        <v>621</v>
      </c>
      <c r="B27" s="132" t="s">
        <v>622</v>
      </c>
      <c r="C27" s="322">
        <v>0</v>
      </c>
      <c r="D27" s="316">
        <v>172803287</v>
      </c>
      <c r="E27" s="315">
        <v>4699000</v>
      </c>
    </row>
    <row r="28" spans="1:5" ht="15" customHeight="1">
      <c r="A28" s="121" t="s">
        <v>521</v>
      </c>
      <c r="B28" s="367" t="s">
        <v>597</v>
      </c>
      <c r="C28" s="316">
        <f>SUM(C29:C32)</f>
        <v>293761169</v>
      </c>
      <c r="D28" s="316">
        <f>SUM(D29:D32)</f>
        <v>718385000</v>
      </c>
      <c r="E28" s="315">
        <f>E29+E30+E31+E32</f>
        <v>625237889</v>
      </c>
    </row>
    <row r="29" spans="1:5" ht="15" customHeight="1">
      <c r="A29" s="121" t="s">
        <v>623</v>
      </c>
      <c r="B29" s="130" t="s">
        <v>592</v>
      </c>
      <c r="C29" s="322">
        <v>0</v>
      </c>
      <c r="D29" s="316"/>
      <c r="E29" s="315"/>
    </row>
    <row r="30" spans="1:5" ht="15" customHeight="1">
      <c r="A30" s="121" t="s">
        <v>624</v>
      </c>
      <c r="B30" s="130" t="s">
        <v>598</v>
      </c>
      <c r="C30" s="322">
        <v>47483000</v>
      </c>
      <c r="D30" s="316">
        <v>31613000</v>
      </c>
      <c r="E30" s="315">
        <v>30000000</v>
      </c>
    </row>
    <row r="31" spans="1:5" ht="15" customHeight="1">
      <c r="A31" s="121" t="s">
        <v>625</v>
      </c>
      <c r="B31" s="130" t="s">
        <v>593</v>
      </c>
      <c r="C31" s="322">
        <v>138573335</v>
      </c>
      <c r="D31" s="316">
        <v>291600000</v>
      </c>
      <c r="E31" s="315">
        <v>235600000</v>
      </c>
    </row>
    <row r="32" spans="1:5" ht="15" customHeight="1" thickBot="1">
      <c r="A32" s="121" t="s">
        <v>626</v>
      </c>
      <c r="B32" s="130" t="s">
        <v>599</v>
      </c>
      <c r="C32" s="322">
        <v>107704834</v>
      </c>
      <c r="D32" s="316">
        <v>395172000</v>
      </c>
      <c r="E32" s="315">
        <v>359637889</v>
      </c>
    </row>
    <row r="33" spans="1:5" ht="15" customHeight="1" thickBot="1">
      <c r="A33" s="119" t="s">
        <v>3</v>
      </c>
      <c r="B33" s="134" t="s">
        <v>847</v>
      </c>
      <c r="C33" s="312">
        <f>+C5+C23</f>
        <v>10243303357</v>
      </c>
      <c r="D33" s="321">
        <f>+D5+D23</f>
        <v>16813082961</v>
      </c>
      <c r="E33" s="313">
        <f>+E5+E23</f>
        <v>12675184182</v>
      </c>
    </row>
    <row r="34" spans="1:5" ht="15" customHeight="1" thickBot="1">
      <c r="A34" s="119" t="s">
        <v>4</v>
      </c>
      <c r="B34" s="134" t="s">
        <v>848</v>
      </c>
      <c r="C34" s="312">
        <f>C35+C36+C37</f>
        <v>0</v>
      </c>
      <c r="D34" s="321">
        <f>+D35+D36+D37</f>
        <v>0</v>
      </c>
      <c r="E34" s="313">
        <f>E35+E36+E37</f>
        <v>0</v>
      </c>
    </row>
    <row r="35" spans="1:5" s="236" customFormat="1" ht="15" customHeight="1">
      <c r="A35" s="121" t="s">
        <v>533</v>
      </c>
      <c r="B35" s="135" t="s">
        <v>849</v>
      </c>
      <c r="C35" s="324"/>
      <c r="D35" s="316"/>
      <c r="E35" s="318"/>
    </row>
    <row r="36" spans="1:5" ht="15" customHeight="1">
      <c r="A36" s="121" t="s">
        <v>536</v>
      </c>
      <c r="B36" s="135" t="s">
        <v>600</v>
      </c>
      <c r="C36" s="324">
        <v>0</v>
      </c>
      <c r="D36" s="316"/>
      <c r="E36" s="318">
        <v>0</v>
      </c>
    </row>
    <row r="37" spans="1:5" ht="15" customHeight="1" thickBot="1">
      <c r="A37" s="136" t="s">
        <v>539</v>
      </c>
      <c r="B37" s="137" t="s">
        <v>601</v>
      </c>
      <c r="C37" s="324">
        <v>0</v>
      </c>
      <c r="D37" s="316"/>
      <c r="E37" s="318">
        <v>0</v>
      </c>
    </row>
    <row r="38" spans="1:5" ht="15" customHeight="1" thickBot="1">
      <c r="A38" s="119" t="s">
        <v>5</v>
      </c>
      <c r="B38" s="134" t="s">
        <v>850</v>
      </c>
      <c r="C38" s="312">
        <f>+C40+C41+C39</f>
        <v>5783389000</v>
      </c>
      <c r="D38" s="321">
        <f>+D39+D41+D40</f>
        <v>468945500</v>
      </c>
      <c r="E38" s="313">
        <f>+E40+E41+E39</f>
        <v>468945500</v>
      </c>
    </row>
    <row r="39" spans="1:5" ht="15" customHeight="1">
      <c r="A39" s="121" t="s">
        <v>546</v>
      </c>
      <c r="B39" s="135" t="s">
        <v>851</v>
      </c>
      <c r="C39" s="463">
        <v>5580000000</v>
      </c>
      <c r="D39" s="316">
        <v>468945500</v>
      </c>
      <c r="E39" s="339">
        <v>468945500</v>
      </c>
    </row>
    <row r="40" spans="1:5" ht="15" customHeight="1">
      <c r="A40" s="121" t="s">
        <v>548</v>
      </c>
      <c r="B40" s="135" t="s">
        <v>852</v>
      </c>
      <c r="C40" s="464">
        <v>0</v>
      </c>
      <c r="D40" s="316"/>
      <c r="E40" s="340"/>
    </row>
    <row r="41" spans="1:10" ht="15" customHeight="1" thickBot="1">
      <c r="A41" s="121" t="s">
        <v>550</v>
      </c>
      <c r="B41" s="366" t="s">
        <v>853</v>
      </c>
      <c r="C41" s="464">
        <v>203389000</v>
      </c>
      <c r="D41" s="316"/>
      <c r="E41" s="340"/>
      <c r="J41" s="375" t="s">
        <v>87</v>
      </c>
    </row>
    <row r="42" spans="1:9" ht="15" customHeight="1" thickBot="1">
      <c r="A42" s="119" t="s">
        <v>6</v>
      </c>
      <c r="B42" s="134" t="s">
        <v>854</v>
      </c>
      <c r="C42" s="341">
        <f>SUM(C43:C47)</f>
        <v>7695818427</v>
      </c>
      <c r="D42" s="389">
        <f>SUM(D43:D47)</f>
        <v>3456015409</v>
      </c>
      <c r="E42" s="342">
        <f>SUM(E43:E47)</f>
        <v>93245139244</v>
      </c>
      <c r="I42" s="390"/>
    </row>
    <row r="43" spans="1:5" ht="15" customHeight="1">
      <c r="A43" s="121" t="s">
        <v>561</v>
      </c>
      <c r="B43" s="135" t="s">
        <v>602</v>
      </c>
      <c r="C43" s="324"/>
      <c r="D43" s="316"/>
      <c r="E43" s="318">
        <v>0</v>
      </c>
    </row>
    <row r="44" spans="1:5" ht="15" customHeight="1">
      <c r="A44" s="121" t="s">
        <v>563</v>
      </c>
      <c r="B44" s="135" t="s">
        <v>603</v>
      </c>
      <c r="C44" s="324"/>
      <c r="D44" s="316"/>
      <c r="E44" s="318"/>
    </row>
    <row r="45" spans="1:5" s="236" customFormat="1" ht="15" customHeight="1">
      <c r="A45" s="121" t="s">
        <v>565</v>
      </c>
      <c r="B45" s="135" t="s">
        <v>855</v>
      </c>
      <c r="C45" s="324">
        <v>5550000000</v>
      </c>
      <c r="D45" s="316"/>
      <c r="E45" s="318">
        <v>89789123835</v>
      </c>
    </row>
    <row r="46" spans="1:5" s="236" customFormat="1" ht="15" customHeight="1">
      <c r="A46" s="123" t="s">
        <v>567</v>
      </c>
      <c r="B46" s="129" t="s">
        <v>604</v>
      </c>
      <c r="C46" s="324">
        <v>0</v>
      </c>
      <c r="D46" s="316"/>
      <c r="E46" s="318">
        <v>0</v>
      </c>
    </row>
    <row r="47" spans="1:5" s="236" customFormat="1" ht="15" customHeight="1" thickBot="1">
      <c r="A47" s="136" t="s">
        <v>569</v>
      </c>
      <c r="B47" s="137" t="s">
        <v>605</v>
      </c>
      <c r="C47" s="324">
        <v>2145818427</v>
      </c>
      <c r="D47" s="316">
        <v>3456015409</v>
      </c>
      <c r="E47" s="318">
        <v>3456015409</v>
      </c>
    </row>
    <row r="48" spans="1:5" ht="15" customHeight="1" thickBot="1">
      <c r="A48" s="119" t="s">
        <v>7</v>
      </c>
      <c r="B48" s="134" t="s">
        <v>856</v>
      </c>
      <c r="C48" s="343">
        <f>+C34+C38+C42</f>
        <v>13479207427</v>
      </c>
      <c r="D48" s="391">
        <f>+D34+D38+D42</f>
        <v>3924960909</v>
      </c>
      <c r="E48" s="344">
        <f>+E34+E38+E42</f>
        <v>93714084744</v>
      </c>
    </row>
    <row r="49" spans="1:5" ht="15" customHeight="1" thickBot="1">
      <c r="A49" s="373" t="s">
        <v>8</v>
      </c>
      <c r="B49" s="374" t="s">
        <v>857</v>
      </c>
      <c r="C49" s="343">
        <f>+C33+C48</f>
        <v>23722510784</v>
      </c>
      <c r="D49" s="391">
        <f>+D33+D48</f>
        <v>20738043870</v>
      </c>
      <c r="E49" s="344">
        <f>+E33+E48</f>
        <v>106389268926</v>
      </c>
    </row>
  </sheetData>
  <sheetProtection formatCells="0"/>
  <mergeCells count="7">
    <mergeCell ref="A1:E1"/>
    <mergeCell ref="G6:Q6"/>
    <mergeCell ref="H3:N3"/>
    <mergeCell ref="D2:E2"/>
    <mergeCell ref="C2:C3"/>
    <mergeCell ref="B2:B3"/>
    <mergeCell ref="A2:A3"/>
  </mergeCells>
  <printOptions horizontalCentered="1"/>
  <pageMargins left="0.2362204724409449" right="0.2362204724409449" top="1.141732283464567" bottom="0.7480314960629921" header="0.7086614173228347" footer="0.31496062992125984"/>
  <pageSetup horizontalDpi="600" verticalDpi="600" orientation="portrait" paperSize="9" scale="75" r:id="rId1"/>
  <headerFooter alignWithMargins="0">
    <oddHeader>&amp;C&amp;"Times New Roman CE,Félkövér"TISZAÚJVÁROS VÁROS ÖNKORMÁNYZATA
2023. ÉVI ZÁRSZÁMADÁSÁNAK PÉNZÜGYI MÉRLEGE&amp;R1.2.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66"/>
  </sheetPr>
  <dimension ref="A2:R240"/>
  <sheetViews>
    <sheetView view="pageBreakPreview" zoomScale="106" zoomScaleNormal="112" zoomScaleSheetLayoutView="106" workbookViewId="0" topLeftCell="A2">
      <pane xSplit="2" ySplit="3" topLeftCell="C224" activePane="bottomRight" state="frozen"/>
      <selection pane="topLeft" activeCell="I80" sqref="I80"/>
      <selection pane="topRight" activeCell="I80" sqref="I80"/>
      <selection pane="bottomLeft" activeCell="I80" sqref="I80"/>
      <selection pane="bottomRight" activeCell="I80" sqref="I80"/>
    </sheetView>
  </sheetViews>
  <sheetFormatPr defaultColWidth="9.00390625" defaultRowHeight="12.75"/>
  <cols>
    <col min="1" max="1" width="6.875" style="175" customWidth="1"/>
    <col min="2" max="2" width="50.875" style="258" customWidth="1"/>
    <col min="3" max="3" width="13.625" style="173" customWidth="1"/>
    <col min="4" max="4" width="15.875" style="268" customWidth="1"/>
    <col min="5" max="5" width="14.625" style="175" customWidth="1"/>
    <col min="6" max="9" width="13.625" style="175" bestFit="1" customWidth="1"/>
    <col min="10" max="10" width="15.125" style="173" customWidth="1"/>
    <col min="11" max="11" width="9.375" style="174" customWidth="1"/>
    <col min="12" max="12" width="14.875" style="539" customWidth="1"/>
    <col min="13" max="16384" width="9.375" style="174" customWidth="1"/>
  </cols>
  <sheetData>
    <row r="1" ht="12" hidden="1"/>
    <row r="2" ht="20.25" customHeight="1" thickBot="1">
      <c r="J2" s="176" t="s">
        <v>659</v>
      </c>
    </row>
    <row r="3" spans="1:12" s="178" customFormat="1" ht="26.25" customHeight="1">
      <c r="A3" s="581" t="s">
        <v>28</v>
      </c>
      <c r="B3" s="583" t="s">
        <v>73</v>
      </c>
      <c r="C3" s="585" t="s">
        <v>948</v>
      </c>
      <c r="D3" s="587" t="s">
        <v>687</v>
      </c>
      <c r="E3" s="585" t="s">
        <v>864</v>
      </c>
      <c r="F3" s="583" t="s">
        <v>34</v>
      </c>
      <c r="G3" s="583"/>
      <c r="H3" s="583"/>
      <c r="I3" s="583"/>
      <c r="J3" s="577" t="s">
        <v>35</v>
      </c>
      <c r="L3" s="540"/>
    </row>
    <row r="4" spans="1:12" s="181" customFormat="1" ht="32.25" customHeight="1" thickBot="1">
      <c r="A4" s="582"/>
      <c r="B4" s="584"/>
      <c r="C4" s="586"/>
      <c r="D4" s="588"/>
      <c r="E4" s="586"/>
      <c r="F4" s="179" t="s">
        <v>699</v>
      </c>
      <c r="G4" s="489" t="s">
        <v>774</v>
      </c>
      <c r="H4" s="490" t="s">
        <v>865</v>
      </c>
      <c r="I4" s="180" t="s">
        <v>866</v>
      </c>
      <c r="J4" s="578"/>
      <c r="L4" s="541"/>
    </row>
    <row r="5" spans="1:12" s="175" customFormat="1" ht="21" customHeight="1" thickBot="1">
      <c r="A5" s="486">
        <v>1</v>
      </c>
      <c r="B5" s="487">
        <v>2</v>
      </c>
      <c r="C5" s="487">
        <v>3</v>
      </c>
      <c r="D5" s="487">
        <v>4</v>
      </c>
      <c r="E5" s="487">
        <v>5</v>
      </c>
      <c r="F5" s="487">
        <v>6</v>
      </c>
      <c r="G5" s="487">
        <v>7</v>
      </c>
      <c r="H5" s="487">
        <v>8</v>
      </c>
      <c r="I5" s="487">
        <v>9</v>
      </c>
      <c r="J5" s="488" t="s">
        <v>694</v>
      </c>
      <c r="L5" s="542"/>
    </row>
    <row r="6" spans="1:10" ht="24.75" customHeight="1" thickBot="1">
      <c r="A6" s="269" t="s">
        <v>74</v>
      </c>
      <c r="B6" s="182" t="s">
        <v>36</v>
      </c>
      <c r="C6" s="183"/>
      <c r="D6" s="203">
        <f aca="true" t="shared" si="0" ref="D6:J6">D14+D17+D20+D23+D26+D29+D32</f>
        <v>45459968</v>
      </c>
      <c r="E6" s="203">
        <f t="shared" si="0"/>
        <v>6215380</v>
      </c>
      <c r="F6" s="203">
        <f t="shared" si="0"/>
        <v>39244588</v>
      </c>
      <c r="G6" s="203">
        <f t="shared" si="0"/>
        <v>0</v>
      </c>
      <c r="H6" s="203">
        <f t="shared" si="0"/>
        <v>0</v>
      </c>
      <c r="I6" s="203">
        <f t="shared" si="0"/>
        <v>0</v>
      </c>
      <c r="J6" s="204">
        <f t="shared" si="0"/>
        <v>39244588</v>
      </c>
    </row>
    <row r="7" spans="1:12" s="198" customFormat="1" ht="24.75" customHeight="1" thickBot="1">
      <c r="A7" s="352"/>
      <c r="B7" s="263"/>
      <c r="C7" s="351"/>
      <c r="D7" s="264"/>
      <c r="E7" s="264"/>
      <c r="F7" s="264"/>
      <c r="G7" s="264"/>
      <c r="H7" s="264"/>
      <c r="I7" s="264"/>
      <c r="J7" s="265"/>
      <c r="L7" s="543"/>
    </row>
    <row r="8" spans="1:12" s="198" customFormat="1" ht="24.75" customHeight="1">
      <c r="A8" s="352" t="s">
        <v>1</v>
      </c>
      <c r="B8" s="263" t="s">
        <v>937</v>
      </c>
      <c r="C8" s="351" t="s">
        <v>943</v>
      </c>
      <c r="D8" s="264">
        <v>3058646</v>
      </c>
      <c r="E8" s="264"/>
      <c r="F8" s="264">
        <v>3058646</v>
      </c>
      <c r="G8" s="264"/>
      <c r="H8" s="264"/>
      <c r="I8" s="264"/>
      <c r="J8" s="265">
        <f aca="true" t="shared" si="1" ref="J8:J13">SUM(F8:I8)</f>
        <v>3058646</v>
      </c>
      <c r="L8" s="543"/>
    </row>
    <row r="9" spans="1:12" s="198" customFormat="1" ht="24.75" customHeight="1">
      <c r="A9" s="480" t="s">
        <v>2</v>
      </c>
      <c r="B9" s="481" t="s">
        <v>938</v>
      </c>
      <c r="C9" s="482" t="s">
        <v>944</v>
      </c>
      <c r="D9" s="483">
        <v>13957300</v>
      </c>
      <c r="E9" s="483">
        <v>1397000</v>
      </c>
      <c r="F9" s="483">
        <v>12560300</v>
      </c>
      <c r="G9" s="483"/>
      <c r="H9" s="483"/>
      <c r="I9" s="483"/>
      <c r="J9" s="253">
        <f t="shared" si="1"/>
        <v>12560300</v>
      </c>
      <c r="L9" s="543"/>
    </row>
    <row r="10" spans="1:12" s="198" customFormat="1" ht="24.75" customHeight="1">
      <c r="A10" s="480" t="s">
        <v>3</v>
      </c>
      <c r="B10" s="481" t="s">
        <v>939</v>
      </c>
      <c r="C10" s="482" t="s">
        <v>944</v>
      </c>
      <c r="D10" s="483">
        <v>736600</v>
      </c>
      <c r="E10" s="483">
        <v>584200</v>
      </c>
      <c r="F10" s="483">
        <v>152400</v>
      </c>
      <c r="G10" s="483"/>
      <c r="H10" s="483"/>
      <c r="I10" s="483"/>
      <c r="J10" s="253">
        <f t="shared" si="1"/>
        <v>152400</v>
      </c>
      <c r="L10" s="543"/>
    </row>
    <row r="11" spans="1:12" s="198" customFormat="1" ht="24.75" customHeight="1">
      <c r="A11" s="480" t="s">
        <v>4</v>
      </c>
      <c r="B11" s="481" t="s">
        <v>940</v>
      </c>
      <c r="C11" s="482" t="s">
        <v>943</v>
      </c>
      <c r="D11" s="483">
        <v>1511300</v>
      </c>
      <c r="E11" s="483"/>
      <c r="F11" s="483">
        <v>1511300</v>
      </c>
      <c r="G11" s="483"/>
      <c r="H11" s="483"/>
      <c r="I11" s="483"/>
      <c r="J11" s="253">
        <f t="shared" si="1"/>
        <v>1511300</v>
      </c>
      <c r="L11" s="543"/>
    </row>
    <row r="12" spans="1:12" s="198" customFormat="1" ht="24.75" customHeight="1">
      <c r="A12" s="480" t="s">
        <v>5</v>
      </c>
      <c r="B12" s="248" t="s">
        <v>941</v>
      </c>
      <c r="C12" s="247" t="s">
        <v>944</v>
      </c>
      <c r="D12" s="58">
        <v>12010000</v>
      </c>
      <c r="E12" s="58"/>
      <c r="F12" s="58">
        <v>12010000</v>
      </c>
      <c r="G12" s="58"/>
      <c r="H12" s="58"/>
      <c r="I12" s="58"/>
      <c r="J12" s="484">
        <f t="shared" si="1"/>
        <v>12010000</v>
      </c>
      <c r="L12" s="543"/>
    </row>
    <row r="13" spans="1:12" s="198" customFormat="1" ht="24.75" customHeight="1" thickBot="1">
      <c r="A13" s="480" t="s">
        <v>6</v>
      </c>
      <c r="B13" s="248" t="s">
        <v>942</v>
      </c>
      <c r="C13" s="247" t="s">
        <v>943</v>
      </c>
      <c r="D13" s="58">
        <v>4786122</v>
      </c>
      <c r="E13" s="58">
        <v>4234180</v>
      </c>
      <c r="F13" s="58">
        <v>551942</v>
      </c>
      <c r="G13" s="58"/>
      <c r="H13" s="58"/>
      <c r="I13" s="58"/>
      <c r="J13" s="484">
        <f t="shared" si="1"/>
        <v>551942</v>
      </c>
      <c r="L13" s="543"/>
    </row>
    <row r="14" spans="1:10" ht="24.75" customHeight="1" thickBot="1">
      <c r="A14" s="303"/>
      <c r="B14" s="187" t="s">
        <v>86</v>
      </c>
      <c r="C14" s="188"/>
      <c r="D14" s="205">
        <f>SUM(E14:I14)</f>
        <v>36059968</v>
      </c>
      <c r="E14" s="205">
        <f aca="true" t="shared" si="2" ref="E14:J14">SUM(E7:E13)</f>
        <v>6215380</v>
      </c>
      <c r="F14" s="205">
        <f t="shared" si="2"/>
        <v>29844588</v>
      </c>
      <c r="G14" s="205">
        <f t="shared" si="2"/>
        <v>0</v>
      </c>
      <c r="H14" s="205">
        <f t="shared" si="2"/>
        <v>0</v>
      </c>
      <c r="I14" s="205">
        <f t="shared" si="2"/>
        <v>0</v>
      </c>
      <c r="J14" s="206">
        <f t="shared" si="2"/>
        <v>29844588</v>
      </c>
    </row>
    <row r="15" spans="1:14" ht="24.75" customHeight="1" hidden="1">
      <c r="A15" s="270"/>
      <c r="B15" s="263"/>
      <c r="C15" s="263"/>
      <c r="D15" s="264">
        <f aca="true" t="shared" si="3" ref="D15:D40">SUM(E15:I15)</f>
        <v>0</v>
      </c>
      <c r="E15" s="264"/>
      <c r="F15" s="264"/>
      <c r="G15" s="264"/>
      <c r="H15" s="264"/>
      <c r="I15" s="264"/>
      <c r="J15" s="265">
        <f>SUM(F15:I15)</f>
        <v>0</v>
      </c>
      <c r="N15" s="174" t="s">
        <v>87</v>
      </c>
    </row>
    <row r="16" spans="1:10" ht="24.75" customHeight="1" hidden="1" thickBot="1">
      <c r="A16" s="302"/>
      <c r="B16" s="254"/>
      <c r="C16" s="249"/>
      <c r="D16" s="255">
        <f t="shared" si="3"/>
        <v>0</v>
      </c>
      <c r="E16" s="61"/>
      <c r="F16" s="61"/>
      <c r="G16" s="61"/>
      <c r="H16" s="61"/>
      <c r="I16" s="61"/>
      <c r="J16" s="256">
        <f>SUM(F16:I16)</f>
        <v>0</v>
      </c>
    </row>
    <row r="17" spans="1:10" ht="24.75" customHeight="1" hidden="1" thickBot="1">
      <c r="A17" s="303"/>
      <c r="B17" s="187" t="s">
        <v>661</v>
      </c>
      <c r="C17" s="188"/>
      <c r="D17" s="205">
        <f t="shared" si="3"/>
        <v>0</v>
      </c>
      <c r="E17" s="205">
        <f aca="true" t="shared" si="4" ref="E17:J17">SUM(E15:E16)</f>
        <v>0</v>
      </c>
      <c r="F17" s="205">
        <f t="shared" si="4"/>
        <v>0</v>
      </c>
      <c r="G17" s="205">
        <f t="shared" si="4"/>
        <v>0</v>
      </c>
      <c r="H17" s="205">
        <f t="shared" si="4"/>
        <v>0</v>
      </c>
      <c r="I17" s="205">
        <f t="shared" si="4"/>
        <v>0</v>
      </c>
      <c r="J17" s="206">
        <f t="shared" si="4"/>
        <v>0</v>
      </c>
    </row>
    <row r="18" spans="1:10" ht="24.75" customHeight="1" hidden="1">
      <c r="A18" s="299"/>
      <c r="B18" s="184"/>
      <c r="C18" s="185"/>
      <c r="D18" s="186">
        <f t="shared" si="3"/>
        <v>0</v>
      </c>
      <c r="E18" s="186"/>
      <c r="F18" s="186"/>
      <c r="G18" s="207"/>
      <c r="H18" s="207"/>
      <c r="I18" s="208"/>
      <c r="J18" s="209">
        <f>SUM(F18:I18)</f>
        <v>0</v>
      </c>
    </row>
    <row r="19" spans="1:10" ht="24.75" customHeight="1" hidden="1" thickBot="1">
      <c r="A19" s="299"/>
      <c r="B19" s="184"/>
      <c r="C19" s="185"/>
      <c r="D19" s="186">
        <f t="shared" si="3"/>
        <v>0</v>
      </c>
      <c r="E19" s="186"/>
      <c r="F19" s="186"/>
      <c r="G19" s="207"/>
      <c r="H19" s="207"/>
      <c r="I19" s="208"/>
      <c r="J19" s="209">
        <f>SUM(F19:I19)</f>
        <v>0</v>
      </c>
    </row>
    <row r="20" spans="1:10" ht="24.75" customHeight="1" hidden="1" thickBot="1">
      <c r="A20" s="304"/>
      <c r="B20" s="187" t="s">
        <v>81</v>
      </c>
      <c r="C20" s="188"/>
      <c r="D20" s="205">
        <f t="shared" si="3"/>
        <v>0</v>
      </c>
      <c r="E20" s="205">
        <f aca="true" t="shared" si="5" ref="E20:J20">SUM(E18:E19)</f>
        <v>0</v>
      </c>
      <c r="F20" s="205">
        <f t="shared" si="5"/>
        <v>0</v>
      </c>
      <c r="G20" s="205">
        <f t="shared" si="5"/>
        <v>0</v>
      </c>
      <c r="H20" s="205">
        <f t="shared" si="5"/>
        <v>0</v>
      </c>
      <c r="I20" s="205">
        <f t="shared" si="5"/>
        <v>0</v>
      </c>
      <c r="J20" s="206">
        <f t="shared" si="5"/>
        <v>0</v>
      </c>
    </row>
    <row r="21" spans="1:10" ht="24.75" customHeight="1" hidden="1">
      <c r="A21" s="300"/>
      <c r="B21" s="189"/>
      <c r="C21" s="177"/>
      <c r="D21" s="210">
        <f t="shared" si="3"/>
        <v>0</v>
      </c>
      <c r="E21" s="210"/>
      <c r="F21" s="210"/>
      <c r="G21" s="210"/>
      <c r="H21" s="210"/>
      <c r="I21" s="210"/>
      <c r="J21" s="209">
        <f>F21+G21+H21+I21</f>
        <v>0</v>
      </c>
    </row>
    <row r="22" spans="1:10" ht="24.75" customHeight="1" hidden="1" thickBot="1">
      <c r="A22" s="301"/>
      <c r="B22" s="196"/>
      <c r="C22" s="257"/>
      <c r="D22" s="211">
        <f t="shared" si="3"/>
        <v>0</v>
      </c>
      <c r="E22" s="211"/>
      <c r="F22" s="211"/>
      <c r="G22" s="211"/>
      <c r="H22" s="211"/>
      <c r="I22" s="211"/>
      <c r="J22" s="212">
        <f>F22+G22+H22+I22</f>
        <v>0</v>
      </c>
    </row>
    <row r="23" spans="1:10" ht="24.75" customHeight="1" hidden="1" thickBot="1">
      <c r="A23" s="305"/>
      <c r="B23" s="187" t="s">
        <v>83</v>
      </c>
      <c r="C23" s="188"/>
      <c r="D23" s="205">
        <f t="shared" si="3"/>
        <v>0</v>
      </c>
      <c r="E23" s="205">
        <f aca="true" t="shared" si="6" ref="E23:J23">SUM(E21:E22)</f>
        <v>0</v>
      </c>
      <c r="F23" s="205">
        <f t="shared" si="6"/>
        <v>0</v>
      </c>
      <c r="G23" s="205">
        <f t="shared" si="6"/>
        <v>0</v>
      </c>
      <c r="H23" s="205">
        <f t="shared" si="6"/>
        <v>0</v>
      </c>
      <c r="I23" s="205">
        <f t="shared" si="6"/>
        <v>0</v>
      </c>
      <c r="J23" s="206">
        <f t="shared" si="6"/>
        <v>0</v>
      </c>
    </row>
    <row r="24" spans="1:10" ht="27.75" customHeight="1" hidden="1">
      <c r="A24" s="310"/>
      <c r="B24" s="248"/>
      <c r="C24" s="247"/>
      <c r="D24" s="58"/>
      <c r="E24" s="58"/>
      <c r="F24" s="58"/>
      <c r="G24" s="58"/>
      <c r="H24" s="58"/>
      <c r="I24" s="58"/>
      <c r="J24" s="253">
        <f>SUM(F24:I24)</f>
        <v>0</v>
      </c>
    </row>
    <row r="25" spans="1:10" ht="24.75" customHeight="1" hidden="1" thickBot="1">
      <c r="A25" s="310"/>
      <c r="B25" s="248"/>
      <c r="C25" s="482"/>
      <c r="D25" s="58"/>
      <c r="E25" s="58"/>
      <c r="F25" s="58"/>
      <c r="G25" s="58"/>
      <c r="H25" s="58"/>
      <c r="I25" s="58"/>
      <c r="J25" s="251">
        <f>SUM(F25:I25)</f>
        <v>0</v>
      </c>
    </row>
    <row r="26" spans="1:10" ht="24.75" customHeight="1" hidden="1" thickBot="1">
      <c r="A26" s="303"/>
      <c r="B26" s="187" t="s">
        <v>82</v>
      </c>
      <c r="C26" s="188"/>
      <c r="D26" s="205">
        <f t="shared" si="3"/>
        <v>0</v>
      </c>
      <c r="E26" s="205">
        <f aca="true" t="shared" si="7" ref="E26:J26">SUM(E24:E25)</f>
        <v>0</v>
      </c>
      <c r="F26" s="205">
        <f t="shared" si="7"/>
        <v>0</v>
      </c>
      <c r="G26" s="205">
        <f t="shared" si="7"/>
        <v>0</v>
      </c>
      <c r="H26" s="205">
        <f t="shared" si="7"/>
        <v>0</v>
      </c>
      <c r="I26" s="205">
        <f t="shared" si="7"/>
        <v>0</v>
      </c>
      <c r="J26" s="206">
        <f t="shared" si="7"/>
        <v>0</v>
      </c>
    </row>
    <row r="27" spans="1:10" ht="24.75" customHeight="1" hidden="1">
      <c r="A27" s="306"/>
      <c r="B27" s="190"/>
      <c r="C27" s="191"/>
      <c r="D27" s="213">
        <f t="shared" si="3"/>
        <v>0</v>
      </c>
      <c r="E27" s="213"/>
      <c r="F27" s="213"/>
      <c r="G27" s="213"/>
      <c r="H27" s="213"/>
      <c r="I27" s="213"/>
      <c r="J27" s="209">
        <f>F27+G27+H27+I27</f>
        <v>0</v>
      </c>
    </row>
    <row r="28" spans="1:10" ht="24.75" customHeight="1" hidden="1" thickBot="1">
      <c r="A28" s="307"/>
      <c r="B28" s="196"/>
      <c r="C28" s="257"/>
      <c r="D28" s="214">
        <f t="shared" si="3"/>
        <v>0</v>
      </c>
      <c r="E28" s="214"/>
      <c r="F28" s="214"/>
      <c r="G28" s="214"/>
      <c r="H28" s="214"/>
      <c r="I28" s="214"/>
      <c r="J28" s="212">
        <f>F28+G28+H28+I28</f>
        <v>0</v>
      </c>
    </row>
    <row r="29" spans="1:10" ht="24.75" customHeight="1" hidden="1" thickBot="1">
      <c r="A29" s="303"/>
      <c r="B29" s="187" t="s">
        <v>676</v>
      </c>
      <c r="C29" s="188"/>
      <c r="D29" s="205">
        <f t="shared" si="3"/>
        <v>0</v>
      </c>
      <c r="E29" s="205">
        <f aca="true" t="shared" si="8" ref="E29:J29">SUM(E27:E28)</f>
        <v>0</v>
      </c>
      <c r="F29" s="205">
        <f t="shared" si="8"/>
        <v>0</v>
      </c>
      <c r="G29" s="205">
        <f t="shared" si="8"/>
        <v>0</v>
      </c>
      <c r="H29" s="205">
        <f t="shared" si="8"/>
        <v>0</v>
      </c>
      <c r="I29" s="205">
        <f t="shared" si="8"/>
        <v>0</v>
      </c>
      <c r="J29" s="206">
        <f t="shared" si="8"/>
        <v>0</v>
      </c>
    </row>
    <row r="30" spans="1:10" ht="27.75" customHeight="1">
      <c r="A30" s="310" t="s">
        <v>1</v>
      </c>
      <c r="B30" s="248" t="s">
        <v>1050</v>
      </c>
      <c r="C30" s="247" t="s">
        <v>1051</v>
      </c>
      <c r="D30" s="58">
        <v>8000000</v>
      </c>
      <c r="E30" s="58"/>
      <c r="F30" s="58">
        <v>8000000</v>
      </c>
      <c r="G30" s="58"/>
      <c r="H30" s="58"/>
      <c r="I30" s="58"/>
      <c r="J30" s="253">
        <f>SUM(F30:I30)</f>
        <v>8000000</v>
      </c>
    </row>
    <row r="31" spans="1:10" ht="24.75" customHeight="1" thickBot="1">
      <c r="A31" s="310" t="s">
        <v>2</v>
      </c>
      <c r="B31" s="248" t="s">
        <v>1052</v>
      </c>
      <c r="C31" s="482" t="s">
        <v>1051</v>
      </c>
      <c r="D31" s="58">
        <v>1400000</v>
      </c>
      <c r="E31" s="58"/>
      <c r="F31" s="58">
        <v>1400000</v>
      </c>
      <c r="G31" s="58"/>
      <c r="H31" s="58"/>
      <c r="I31" s="58"/>
      <c r="J31" s="251">
        <f>SUM(F31:I31)</f>
        <v>1400000</v>
      </c>
    </row>
    <row r="32" spans="1:10" ht="24.75" customHeight="1" thickBot="1">
      <c r="A32" s="303"/>
      <c r="B32" s="187" t="s">
        <v>85</v>
      </c>
      <c r="C32" s="188"/>
      <c r="D32" s="205">
        <f t="shared" si="3"/>
        <v>9400000</v>
      </c>
      <c r="E32" s="205">
        <f aca="true" t="shared" si="9" ref="E32:J32">SUM(E30:E31)</f>
        <v>0</v>
      </c>
      <c r="F32" s="205">
        <f t="shared" si="9"/>
        <v>9400000</v>
      </c>
      <c r="G32" s="205">
        <f t="shared" si="9"/>
        <v>0</v>
      </c>
      <c r="H32" s="205">
        <f t="shared" si="9"/>
        <v>0</v>
      </c>
      <c r="I32" s="205">
        <f t="shared" si="9"/>
        <v>0</v>
      </c>
      <c r="J32" s="205">
        <f t="shared" si="9"/>
        <v>9400000</v>
      </c>
    </row>
    <row r="33" spans="1:10" ht="9.75" customHeight="1" thickBot="1">
      <c r="A33" s="299"/>
      <c r="B33" s="184"/>
      <c r="C33" s="185"/>
      <c r="D33" s="186">
        <f t="shared" si="3"/>
        <v>0</v>
      </c>
      <c r="E33" s="186"/>
      <c r="F33" s="186"/>
      <c r="G33" s="207"/>
      <c r="H33" s="207"/>
      <c r="I33" s="208"/>
      <c r="J33" s="209"/>
    </row>
    <row r="34" spans="1:14" ht="24.75" customHeight="1" thickBot="1">
      <c r="A34" s="269" t="s">
        <v>75</v>
      </c>
      <c r="B34" s="182" t="s">
        <v>37</v>
      </c>
      <c r="C34" s="183"/>
      <c r="D34" s="203">
        <f>SUM(E34:I34)</f>
        <v>26688813</v>
      </c>
      <c r="E34" s="203">
        <f aca="true" t="shared" si="10" ref="E34:J34">E40+E43+E45</f>
        <v>18757900</v>
      </c>
      <c r="F34" s="203">
        <f t="shared" si="10"/>
        <v>7930913</v>
      </c>
      <c r="G34" s="203">
        <f t="shared" si="10"/>
        <v>0</v>
      </c>
      <c r="H34" s="203">
        <f t="shared" si="10"/>
        <v>0</v>
      </c>
      <c r="I34" s="203">
        <f t="shared" si="10"/>
        <v>0</v>
      </c>
      <c r="J34" s="204">
        <f t="shared" si="10"/>
        <v>7930913</v>
      </c>
      <c r="K34" s="192"/>
      <c r="N34" s="174" t="s">
        <v>87</v>
      </c>
    </row>
    <row r="35" spans="1:12" s="198" customFormat="1" ht="24.75" customHeight="1" thickBot="1">
      <c r="A35" s="352"/>
      <c r="B35" s="263"/>
      <c r="C35" s="263"/>
      <c r="D35" s="264"/>
      <c r="E35" s="264"/>
      <c r="F35" s="264"/>
      <c r="G35" s="264"/>
      <c r="H35" s="264"/>
      <c r="I35" s="264"/>
      <c r="J35" s="265"/>
      <c r="L35" s="543"/>
    </row>
    <row r="36" spans="1:12" s="198" customFormat="1" ht="24.75" customHeight="1">
      <c r="A36" s="352" t="s">
        <v>1</v>
      </c>
      <c r="B36" s="263" t="s">
        <v>938</v>
      </c>
      <c r="C36" s="263" t="s">
        <v>945</v>
      </c>
      <c r="D36" s="264">
        <v>9652000</v>
      </c>
      <c r="E36" s="264">
        <v>7721600</v>
      </c>
      <c r="F36" s="264">
        <v>1930400</v>
      </c>
      <c r="G36" s="264"/>
      <c r="H36" s="264"/>
      <c r="I36" s="264"/>
      <c r="J36" s="265">
        <f>SUM(F36:I36)</f>
        <v>1930400</v>
      </c>
      <c r="L36" s="543"/>
    </row>
    <row r="37" spans="1:12" s="198" customFormat="1" ht="24.75" customHeight="1">
      <c r="A37" s="310" t="s">
        <v>2</v>
      </c>
      <c r="B37" s="248" t="s">
        <v>942</v>
      </c>
      <c r="C37" s="248" t="s">
        <v>943</v>
      </c>
      <c r="D37" s="58">
        <v>5014419</v>
      </c>
      <c r="E37" s="58"/>
      <c r="F37" s="58">
        <v>5014419</v>
      </c>
      <c r="G37" s="58"/>
      <c r="H37" s="58"/>
      <c r="I37" s="58"/>
      <c r="J37" s="253">
        <f>SUM(F37:I37)</f>
        <v>5014419</v>
      </c>
      <c r="L37" s="543"/>
    </row>
    <row r="38" spans="1:12" s="198" customFormat="1" ht="24.75" customHeight="1">
      <c r="A38" s="310" t="s">
        <v>3</v>
      </c>
      <c r="B38" s="248" t="s">
        <v>946</v>
      </c>
      <c r="C38" s="248" t="s">
        <v>945</v>
      </c>
      <c r="D38" s="58">
        <v>11557000</v>
      </c>
      <c r="E38" s="58">
        <v>11036300</v>
      </c>
      <c r="F38" s="58">
        <v>520700</v>
      </c>
      <c r="G38" s="58"/>
      <c r="H38" s="58"/>
      <c r="I38" s="58"/>
      <c r="J38" s="253">
        <f>SUM(F38:I38)</f>
        <v>520700</v>
      </c>
      <c r="L38" s="543"/>
    </row>
    <row r="39" spans="1:18" s="198" customFormat="1" ht="24.75" customHeight="1" thickBot="1">
      <c r="A39" s="310" t="s">
        <v>4</v>
      </c>
      <c r="B39" s="248" t="s">
        <v>947</v>
      </c>
      <c r="C39" s="248" t="s">
        <v>943</v>
      </c>
      <c r="D39" s="58">
        <v>465394</v>
      </c>
      <c r="E39" s="58"/>
      <c r="F39" s="58">
        <v>465394</v>
      </c>
      <c r="G39" s="58"/>
      <c r="H39" s="58"/>
      <c r="I39" s="58"/>
      <c r="J39" s="253">
        <f>SUM(F39:I39)</f>
        <v>465394</v>
      </c>
      <c r="L39" s="543"/>
      <c r="R39" s="198" t="s">
        <v>786</v>
      </c>
    </row>
    <row r="40" spans="1:11" ht="24.75" customHeight="1" thickBot="1">
      <c r="A40" s="303"/>
      <c r="B40" s="187" t="s">
        <v>86</v>
      </c>
      <c r="C40" s="188"/>
      <c r="D40" s="205">
        <f t="shared" si="3"/>
        <v>26688813</v>
      </c>
      <c r="E40" s="205">
        <f aca="true" t="shared" si="11" ref="E40:J40">SUM(E35:E39)</f>
        <v>18757900</v>
      </c>
      <c r="F40" s="205">
        <f t="shared" si="11"/>
        <v>7930913</v>
      </c>
      <c r="G40" s="205">
        <f t="shared" si="11"/>
        <v>0</v>
      </c>
      <c r="H40" s="205">
        <f t="shared" si="11"/>
        <v>0</v>
      </c>
      <c r="I40" s="205">
        <f t="shared" si="11"/>
        <v>0</v>
      </c>
      <c r="J40" s="206">
        <f t="shared" si="11"/>
        <v>7930913</v>
      </c>
      <c r="K40" s="192"/>
    </row>
    <row r="41" spans="1:11" ht="24.75" customHeight="1" hidden="1">
      <c r="A41" s="308"/>
      <c r="B41" s="259"/>
      <c r="C41" s="193"/>
      <c r="D41" s="207"/>
      <c r="E41" s="207"/>
      <c r="F41" s="207"/>
      <c r="G41" s="207"/>
      <c r="H41" s="207"/>
      <c r="I41" s="207"/>
      <c r="J41" s="209">
        <v>0</v>
      </c>
      <c r="K41" s="192"/>
    </row>
    <row r="42" spans="1:11" ht="24.75" customHeight="1" hidden="1" thickBot="1">
      <c r="A42" s="308"/>
      <c r="B42" s="260"/>
      <c r="C42" s="185"/>
      <c r="D42" s="186"/>
      <c r="E42" s="186"/>
      <c r="F42" s="186"/>
      <c r="G42" s="186"/>
      <c r="H42" s="186"/>
      <c r="I42" s="186"/>
      <c r="J42" s="209">
        <v>0</v>
      </c>
      <c r="K42" s="192"/>
    </row>
    <row r="43" spans="1:10" ht="24.75" customHeight="1" hidden="1" thickBot="1">
      <c r="A43" s="303"/>
      <c r="B43" s="261" t="s">
        <v>88</v>
      </c>
      <c r="C43" s="188"/>
      <c r="D43" s="205">
        <f aca="true" t="shared" si="12" ref="D43:J43">SUM(D41:D42)</f>
        <v>0</v>
      </c>
      <c r="E43" s="205">
        <f t="shared" si="12"/>
        <v>0</v>
      </c>
      <c r="F43" s="205">
        <f t="shared" si="12"/>
        <v>0</v>
      </c>
      <c r="G43" s="205">
        <f t="shared" si="12"/>
        <v>0</v>
      </c>
      <c r="H43" s="205">
        <f t="shared" si="12"/>
        <v>0</v>
      </c>
      <c r="I43" s="205">
        <f t="shared" si="12"/>
        <v>0</v>
      </c>
      <c r="J43" s="206">
        <f t="shared" si="12"/>
        <v>0</v>
      </c>
    </row>
    <row r="44" spans="1:12" s="198" customFormat="1" ht="24.75" customHeight="1" hidden="1" thickBot="1">
      <c r="A44" s="309"/>
      <c r="B44" s="220"/>
      <c r="C44" s="201"/>
      <c r="D44" s="215"/>
      <c r="E44" s="215"/>
      <c r="F44" s="217"/>
      <c r="G44" s="215"/>
      <c r="H44" s="215"/>
      <c r="I44" s="215"/>
      <c r="J44" s="216">
        <f>SUM(F44:I44)</f>
        <v>0</v>
      </c>
      <c r="L44" s="543"/>
    </row>
    <row r="45" spans="1:10" ht="24.75" customHeight="1" hidden="1" thickBot="1">
      <c r="A45" s="303"/>
      <c r="B45" s="187" t="s">
        <v>81</v>
      </c>
      <c r="C45" s="188"/>
      <c r="D45" s="205">
        <f aca="true" t="shared" si="13" ref="D45:J45">SUM(D44:D44)</f>
        <v>0</v>
      </c>
      <c r="E45" s="205">
        <f t="shared" si="13"/>
        <v>0</v>
      </c>
      <c r="F45" s="205">
        <f t="shared" si="13"/>
        <v>0</v>
      </c>
      <c r="G45" s="205">
        <f t="shared" si="13"/>
        <v>0</v>
      </c>
      <c r="H45" s="205">
        <f t="shared" si="13"/>
        <v>0</v>
      </c>
      <c r="I45" s="205">
        <f t="shared" si="13"/>
        <v>0</v>
      </c>
      <c r="J45" s="206">
        <f t="shared" si="13"/>
        <v>0</v>
      </c>
    </row>
    <row r="46" spans="1:12" s="198" customFormat="1" ht="24.75" customHeight="1" hidden="1" thickBot="1">
      <c r="A46" s="309"/>
      <c r="B46" s="219"/>
      <c r="C46" s="202"/>
      <c r="D46" s="215"/>
      <c r="E46" s="215"/>
      <c r="F46" s="215"/>
      <c r="G46" s="215"/>
      <c r="H46" s="215"/>
      <c r="I46" s="215"/>
      <c r="J46" s="216">
        <f>SUM(F46:I46)</f>
        <v>0</v>
      </c>
      <c r="L46" s="543"/>
    </row>
    <row r="47" spans="1:10" ht="24.75" customHeight="1" hidden="1" thickBot="1">
      <c r="A47" s="303"/>
      <c r="B47" s="187" t="s">
        <v>85</v>
      </c>
      <c r="C47" s="188"/>
      <c r="D47" s="205">
        <f aca="true" t="shared" si="14" ref="D47:J47">SUM(D46:D46)</f>
        <v>0</v>
      </c>
      <c r="E47" s="205">
        <f t="shared" si="14"/>
        <v>0</v>
      </c>
      <c r="F47" s="205">
        <f t="shared" si="14"/>
        <v>0</v>
      </c>
      <c r="G47" s="205">
        <f t="shared" si="14"/>
        <v>0</v>
      </c>
      <c r="H47" s="205">
        <f t="shared" si="14"/>
        <v>0</v>
      </c>
      <c r="I47" s="205">
        <f t="shared" si="14"/>
        <v>0</v>
      </c>
      <c r="J47" s="206">
        <f t="shared" si="14"/>
        <v>0</v>
      </c>
    </row>
    <row r="48" spans="1:11" ht="24.75" customHeight="1" hidden="1">
      <c r="A48" s="308"/>
      <c r="B48" s="259"/>
      <c r="C48" s="193"/>
      <c r="D48" s="207"/>
      <c r="E48" s="207"/>
      <c r="F48" s="207"/>
      <c r="G48" s="207"/>
      <c r="H48" s="207"/>
      <c r="I48" s="207"/>
      <c r="J48" s="209"/>
      <c r="K48" s="192"/>
    </row>
    <row r="49" spans="1:11" ht="9.75" customHeight="1" hidden="1" thickBot="1">
      <c r="A49" s="306"/>
      <c r="B49" s="347"/>
      <c r="C49" s="348"/>
      <c r="D49" s="349"/>
      <c r="E49" s="349"/>
      <c r="F49" s="349"/>
      <c r="G49" s="349"/>
      <c r="H49" s="349"/>
      <c r="I49" s="349"/>
      <c r="J49" s="350"/>
      <c r="K49" s="192"/>
    </row>
    <row r="50" spans="1:10" ht="24.75" customHeight="1" thickBot="1">
      <c r="A50" s="269" t="s">
        <v>76</v>
      </c>
      <c r="B50" s="182" t="s">
        <v>72</v>
      </c>
      <c r="C50" s="183"/>
      <c r="D50" s="203">
        <f aca="true" t="shared" si="15" ref="D50:J50">D98+D83+D148+D153+D159+D171+D238</f>
        <v>3360574176.2445817</v>
      </c>
      <c r="E50" s="203">
        <f t="shared" si="15"/>
        <v>930313780</v>
      </c>
      <c r="F50" s="203">
        <f t="shared" si="15"/>
        <v>765352023.38</v>
      </c>
      <c r="G50" s="203">
        <f t="shared" si="15"/>
        <v>549892572.4574001</v>
      </c>
      <c r="H50" s="203">
        <f t="shared" si="15"/>
        <v>520291909.76851404</v>
      </c>
      <c r="I50" s="203">
        <f t="shared" si="15"/>
        <v>599073386.6386682</v>
      </c>
      <c r="J50" s="204">
        <f t="shared" si="15"/>
        <v>2434609892.244582</v>
      </c>
    </row>
    <row r="51" spans="1:12" s="198" customFormat="1" ht="24.75" customHeight="1">
      <c r="A51" s="479"/>
      <c r="B51" s="492"/>
      <c r="C51" s="493"/>
      <c r="D51" s="494"/>
      <c r="E51" s="494"/>
      <c r="F51" s="494"/>
      <c r="G51" s="494"/>
      <c r="H51" s="494"/>
      <c r="I51" s="494"/>
      <c r="J51" s="491"/>
      <c r="L51" s="543"/>
    </row>
    <row r="52" spans="1:12" s="198" customFormat="1" ht="24.75" customHeight="1">
      <c r="A52" s="479" t="s">
        <v>1</v>
      </c>
      <c r="B52" s="492" t="s">
        <v>892</v>
      </c>
      <c r="C52" s="493" t="s">
        <v>881</v>
      </c>
      <c r="D52" s="494">
        <v>58249312</v>
      </c>
      <c r="E52" s="494">
        <v>11562080</v>
      </c>
      <c r="F52" s="494">
        <v>12613640</v>
      </c>
      <c r="G52" s="494">
        <v>12807696</v>
      </c>
      <c r="H52" s="494">
        <v>12807696</v>
      </c>
      <c r="I52" s="494">
        <v>12807696</v>
      </c>
      <c r="J52" s="491">
        <f>SUM(F52:I52)</f>
        <v>51036728</v>
      </c>
      <c r="L52" s="543"/>
    </row>
    <row r="53" spans="1:12" s="198" customFormat="1" ht="24.75" customHeight="1">
      <c r="A53" s="479" t="s">
        <v>2</v>
      </c>
      <c r="B53" s="495" t="s">
        <v>893</v>
      </c>
      <c r="C53" s="496" t="s">
        <v>894</v>
      </c>
      <c r="D53" s="497">
        <f aca="true" t="shared" si="16" ref="D53:D82">E53+F53+G53+H53+I53</f>
        <v>7429500</v>
      </c>
      <c r="E53" s="497">
        <v>2971800</v>
      </c>
      <c r="F53" s="497">
        <v>2971800</v>
      </c>
      <c r="G53" s="497">
        <v>1485900</v>
      </c>
      <c r="H53" s="497"/>
      <c r="I53" s="497"/>
      <c r="J53" s="251">
        <f aca="true" t="shared" si="17" ref="J53:J82">SUM(F53:I53)</f>
        <v>4457700</v>
      </c>
      <c r="L53" s="543"/>
    </row>
    <row r="54" spans="1:12" s="198" customFormat="1" ht="33.75" customHeight="1">
      <c r="A54" s="479" t="s">
        <v>3</v>
      </c>
      <c r="B54" s="495" t="s">
        <v>895</v>
      </c>
      <c r="C54" s="496" t="s">
        <v>896</v>
      </c>
      <c r="D54" s="497">
        <f t="shared" si="16"/>
        <v>9424406</v>
      </c>
      <c r="E54" s="497">
        <v>4838361</v>
      </c>
      <c r="F54" s="497">
        <v>4586045</v>
      </c>
      <c r="G54" s="497"/>
      <c r="H54" s="497"/>
      <c r="I54" s="497"/>
      <c r="J54" s="251">
        <f t="shared" si="17"/>
        <v>4586045</v>
      </c>
      <c r="L54" s="543"/>
    </row>
    <row r="55" spans="1:12" s="198" customFormat="1" ht="24.75" customHeight="1">
      <c r="A55" s="479" t="s">
        <v>4</v>
      </c>
      <c r="B55" s="495" t="s">
        <v>897</v>
      </c>
      <c r="C55" s="496" t="s">
        <v>883</v>
      </c>
      <c r="D55" s="497">
        <f t="shared" si="16"/>
        <v>12052114</v>
      </c>
      <c r="E55" s="497">
        <v>2180186</v>
      </c>
      <c r="F55" s="497">
        <v>2467982</v>
      </c>
      <c r="G55" s="497">
        <v>2467982</v>
      </c>
      <c r="H55" s="497">
        <v>2467982</v>
      </c>
      <c r="I55" s="497">
        <v>2467982</v>
      </c>
      <c r="J55" s="251">
        <f t="shared" si="17"/>
        <v>9871928</v>
      </c>
      <c r="L55" s="543"/>
    </row>
    <row r="56" spans="1:12" s="198" customFormat="1" ht="24.75" customHeight="1">
      <c r="A56" s="479" t="s">
        <v>5</v>
      </c>
      <c r="B56" s="495" t="s">
        <v>898</v>
      </c>
      <c r="C56" s="496" t="s">
        <v>899</v>
      </c>
      <c r="D56" s="497">
        <f t="shared" si="16"/>
        <v>14160511</v>
      </c>
      <c r="E56" s="497">
        <v>5550329</v>
      </c>
      <c r="F56" s="497">
        <v>4305091</v>
      </c>
      <c r="G56" s="497">
        <v>4305091</v>
      </c>
      <c r="H56" s="497"/>
      <c r="I56" s="497"/>
      <c r="J56" s="251">
        <f t="shared" si="17"/>
        <v>8610182</v>
      </c>
      <c r="L56" s="543"/>
    </row>
    <row r="57" spans="1:12" s="198" customFormat="1" ht="24.75" customHeight="1">
      <c r="A57" s="479" t="s">
        <v>6</v>
      </c>
      <c r="B57" s="495" t="s">
        <v>900</v>
      </c>
      <c r="C57" s="496" t="s">
        <v>901</v>
      </c>
      <c r="D57" s="497">
        <f t="shared" si="16"/>
        <v>99697530</v>
      </c>
      <c r="E57" s="497">
        <v>19697082</v>
      </c>
      <c r="F57" s="497">
        <v>20000112</v>
      </c>
      <c r="G57" s="497">
        <v>20000112</v>
      </c>
      <c r="H57" s="497">
        <v>20000112</v>
      </c>
      <c r="I57" s="497">
        <v>20000112</v>
      </c>
      <c r="J57" s="251">
        <f t="shared" si="17"/>
        <v>80000448</v>
      </c>
      <c r="L57" s="543"/>
    </row>
    <row r="58" spans="1:12" s="198" customFormat="1" ht="24.75" customHeight="1">
      <c r="A58" s="479" t="s">
        <v>7</v>
      </c>
      <c r="B58" s="495" t="s">
        <v>902</v>
      </c>
      <c r="C58" s="496" t="s">
        <v>896</v>
      </c>
      <c r="D58" s="497">
        <f t="shared" si="16"/>
        <v>19861680</v>
      </c>
      <c r="E58" s="497">
        <v>15752367</v>
      </c>
      <c r="F58" s="497">
        <v>4109313</v>
      </c>
      <c r="G58" s="497"/>
      <c r="H58" s="497"/>
      <c r="I58" s="497"/>
      <c r="J58" s="251">
        <f t="shared" si="17"/>
        <v>4109313</v>
      </c>
      <c r="L58" s="543"/>
    </row>
    <row r="59" spans="1:12" s="198" customFormat="1" ht="24.75" customHeight="1">
      <c r="A59" s="479" t="s">
        <v>8</v>
      </c>
      <c r="B59" s="495" t="s">
        <v>903</v>
      </c>
      <c r="C59" s="496" t="s">
        <v>896</v>
      </c>
      <c r="D59" s="497">
        <f t="shared" si="16"/>
        <v>135482838</v>
      </c>
      <c r="E59" s="497">
        <v>107451906</v>
      </c>
      <c r="F59" s="497">
        <v>28030932</v>
      </c>
      <c r="G59" s="497"/>
      <c r="H59" s="497"/>
      <c r="I59" s="497"/>
      <c r="J59" s="251">
        <f t="shared" si="17"/>
        <v>28030932</v>
      </c>
      <c r="L59" s="543"/>
    </row>
    <row r="60" spans="1:12" s="198" customFormat="1" ht="24.75" customHeight="1">
      <c r="A60" s="479" t="s">
        <v>9</v>
      </c>
      <c r="B60" s="495" t="s">
        <v>904</v>
      </c>
      <c r="C60" s="496" t="s">
        <v>873</v>
      </c>
      <c r="D60" s="497">
        <f t="shared" si="16"/>
        <v>4834353</v>
      </c>
      <c r="E60" s="497">
        <v>834353</v>
      </c>
      <c r="F60" s="497">
        <v>1000000</v>
      </c>
      <c r="G60" s="497">
        <v>1000000</v>
      </c>
      <c r="H60" s="497">
        <v>1000000</v>
      </c>
      <c r="I60" s="497">
        <v>1000000</v>
      </c>
      <c r="J60" s="251">
        <f t="shared" si="17"/>
        <v>4000000</v>
      </c>
      <c r="L60" s="543"/>
    </row>
    <row r="61" spans="1:12" s="198" customFormat="1" ht="24.75" customHeight="1">
      <c r="A61" s="479" t="s">
        <v>10</v>
      </c>
      <c r="B61" s="495" t="s">
        <v>905</v>
      </c>
      <c r="C61" s="496" t="s">
        <v>879</v>
      </c>
      <c r="D61" s="497">
        <f t="shared" si="16"/>
        <v>39104076</v>
      </c>
      <c r="E61" s="497">
        <v>7104076</v>
      </c>
      <c r="F61" s="497">
        <v>8000000</v>
      </c>
      <c r="G61" s="497">
        <v>8000000</v>
      </c>
      <c r="H61" s="497">
        <v>8000000</v>
      </c>
      <c r="I61" s="497">
        <v>8000000</v>
      </c>
      <c r="J61" s="251">
        <f t="shared" si="17"/>
        <v>32000000</v>
      </c>
      <c r="L61" s="543"/>
    </row>
    <row r="62" spans="1:12" s="198" customFormat="1" ht="24.75" customHeight="1">
      <c r="A62" s="479" t="s">
        <v>11</v>
      </c>
      <c r="B62" s="495" t="s">
        <v>906</v>
      </c>
      <c r="C62" s="496" t="s">
        <v>896</v>
      </c>
      <c r="D62" s="497">
        <f t="shared" si="16"/>
        <v>2794000</v>
      </c>
      <c r="E62" s="497"/>
      <c r="F62" s="497">
        <v>2794000</v>
      </c>
      <c r="G62" s="497"/>
      <c r="H62" s="497"/>
      <c r="I62" s="497"/>
      <c r="J62" s="251">
        <f t="shared" si="17"/>
        <v>2794000</v>
      </c>
      <c r="L62" s="543"/>
    </row>
    <row r="63" spans="1:12" s="198" customFormat="1" ht="24.75" customHeight="1">
      <c r="A63" s="479" t="s">
        <v>12</v>
      </c>
      <c r="B63" s="495" t="s">
        <v>907</v>
      </c>
      <c r="C63" s="496" t="s">
        <v>896</v>
      </c>
      <c r="D63" s="497">
        <f t="shared" si="16"/>
        <v>30051524</v>
      </c>
      <c r="E63" s="497">
        <v>18939024</v>
      </c>
      <c r="F63" s="497">
        <v>11112500</v>
      </c>
      <c r="G63" s="497"/>
      <c r="H63" s="497"/>
      <c r="I63" s="497"/>
      <c r="J63" s="251">
        <f t="shared" si="17"/>
        <v>11112500</v>
      </c>
      <c r="L63" s="543"/>
    </row>
    <row r="64" spans="1:12" s="198" customFormat="1" ht="24.75" customHeight="1">
      <c r="A64" s="479" t="s">
        <v>13</v>
      </c>
      <c r="B64" s="495" t="s">
        <v>908</v>
      </c>
      <c r="C64" s="496" t="s">
        <v>909</v>
      </c>
      <c r="D64" s="497">
        <f t="shared" si="16"/>
        <v>3250310</v>
      </c>
      <c r="E64" s="497">
        <v>610310</v>
      </c>
      <c r="F64" s="497">
        <v>660000</v>
      </c>
      <c r="G64" s="497">
        <v>660000</v>
      </c>
      <c r="H64" s="497">
        <v>660000</v>
      </c>
      <c r="I64" s="497">
        <v>660000</v>
      </c>
      <c r="J64" s="251">
        <f t="shared" si="17"/>
        <v>2640000</v>
      </c>
      <c r="L64" s="543"/>
    </row>
    <row r="65" spans="1:12" s="198" customFormat="1" ht="24.75" customHeight="1">
      <c r="A65" s="479" t="s">
        <v>14</v>
      </c>
      <c r="B65" s="495" t="s">
        <v>910</v>
      </c>
      <c r="C65" s="496" t="s">
        <v>911</v>
      </c>
      <c r="D65" s="497">
        <f t="shared" si="16"/>
        <v>732807</v>
      </c>
      <c r="E65" s="497">
        <v>184527</v>
      </c>
      <c r="F65" s="497">
        <v>137070</v>
      </c>
      <c r="G65" s="497">
        <v>137070</v>
      </c>
      <c r="H65" s="497">
        <v>137070</v>
      </c>
      <c r="I65" s="497">
        <v>137070</v>
      </c>
      <c r="J65" s="251">
        <f t="shared" si="17"/>
        <v>548280</v>
      </c>
      <c r="L65" s="543"/>
    </row>
    <row r="66" spans="1:12" s="198" customFormat="1" ht="24.75" customHeight="1">
      <c r="A66" s="479" t="s">
        <v>15</v>
      </c>
      <c r="B66" s="495" t="s">
        <v>912</v>
      </c>
      <c r="C66" s="496" t="s">
        <v>873</v>
      </c>
      <c r="D66" s="497">
        <f t="shared" si="16"/>
        <v>2135147</v>
      </c>
      <c r="E66" s="497">
        <v>489835</v>
      </c>
      <c r="F66" s="497">
        <v>411328</v>
      </c>
      <c r="G66" s="497">
        <v>411328</v>
      </c>
      <c r="H66" s="497">
        <v>411328</v>
      </c>
      <c r="I66" s="497">
        <v>411328</v>
      </c>
      <c r="J66" s="251">
        <f t="shared" si="17"/>
        <v>1645312</v>
      </c>
      <c r="L66" s="543"/>
    </row>
    <row r="67" spans="1:12" s="198" customFormat="1" ht="24.75" customHeight="1">
      <c r="A67" s="479" t="s">
        <v>16</v>
      </c>
      <c r="B67" s="495" t="s">
        <v>913</v>
      </c>
      <c r="C67" s="496" t="s">
        <v>914</v>
      </c>
      <c r="D67" s="497">
        <f t="shared" si="16"/>
        <v>216178893</v>
      </c>
      <c r="E67" s="497">
        <v>35140893</v>
      </c>
      <c r="F67" s="497">
        <v>30173000</v>
      </c>
      <c r="G67" s="497">
        <v>30173000</v>
      </c>
      <c r="H67" s="497">
        <v>30173000</v>
      </c>
      <c r="I67" s="497">
        <v>90519000</v>
      </c>
      <c r="J67" s="251">
        <f t="shared" si="17"/>
        <v>181038000</v>
      </c>
      <c r="L67" s="543"/>
    </row>
    <row r="68" spans="1:12" s="198" customFormat="1" ht="24.75" customHeight="1">
      <c r="A68" s="479" t="s">
        <v>17</v>
      </c>
      <c r="B68" s="495" t="s">
        <v>915</v>
      </c>
      <c r="C68" s="496" t="s">
        <v>879</v>
      </c>
      <c r="D68" s="497">
        <f t="shared" si="16"/>
        <v>55406223</v>
      </c>
      <c r="E68" s="497">
        <v>11178223</v>
      </c>
      <c r="F68" s="497">
        <v>11057000</v>
      </c>
      <c r="G68" s="497">
        <v>11057000</v>
      </c>
      <c r="H68" s="497">
        <v>11057000</v>
      </c>
      <c r="I68" s="497">
        <v>11057000</v>
      </c>
      <c r="J68" s="251">
        <f t="shared" si="17"/>
        <v>44228000</v>
      </c>
      <c r="L68" s="543"/>
    </row>
    <row r="69" spans="1:12" s="198" customFormat="1" ht="24.75" customHeight="1">
      <c r="A69" s="479" t="s">
        <v>18</v>
      </c>
      <c r="B69" s="495" t="s">
        <v>916</v>
      </c>
      <c r="C69" s="496" t="s">
        <v>890</v>
      </c>
      <c r="D69" s="497">
        <f t="shared" si="16"/>
        <v>12550978</v>
      </c>
      <c r="E69" s="497">
        <v>2187778</v>
      </c>
      <c r="F69" s="497">
        <v>2590800</v>
      </c>
      <c r="G69" s="497">
        <v>2590800</v>
      </c>
      <c r="H69" s="497">
        <v>2590800</v>
      </c>
      <c r="I69" s="497">
        <v>2590800</v>
      </c>
      <c r="J69" s="251">
        <f t="shared" si="17"/>
        <v>10363200</v>
      </c>
      <c r="L69" s="543"/>
    </row>
    <row r="70" spans="1:12" s="198" customFormat="1" ht="24.75" customHeight="1">
      <c r="A70" s="479" t="s">
        <v>19</v>
      </c>
      <c r="B70" s="498" t="s">
        <v>917</v>
      </c>
      <c r="C70" s="499" t="s">
        <v>896</v>
      </c>
      <c r="D70" s="500">
        <f t="shared" si="16"/>
        <v>16764000</v>
      </c>
      <c r="E70" s="497">
        <v>7315200</v>
      </c>
      <c r="F70" s="497">
        <v>9448800</v>
      </c>
      <c r="G70" s="497"/>
      <c r="H70" s="497"/>
      <c r="I70" s="497"/>
      <c r="J70" s="251">
        <f t="shared" si="17"/>
        <v>9448800</v>
      </c>
      <c r="L70" s="543"/>
    </row>
    <row r="71" spans="1:12" s="198" customFormat="1" ht="24.75" customHeight="1">
      <c r="A71" s="479" t="s">
        <v>20</v>
      </c>
      <c r="B71" s="495" t="s">
        <v>918</v>
      </c>
      <c r="C71" s="496" t="s">
        <v>879</v>
      </c>
      <c r="D71" s="497">
        <f t="shared" si="16"/>
        <v>6940360</v>
      </c>
      <c r="E71" s="497">
        <v>1352360</v>
      </c>
      <c r="F71" s="497">
        <v>1397000</v>
      </c>
      <c r="G71" s="497">
        <v>1397000</v>
      </c>
      <c r="H71" s="497">
        <v>1397000</v>
      </c>
      <c r="I71" s="497">
        <v>1397000</v>
      </c>
      <c r="J71" s="251">
        <f t="shared" si="17"/>
        <v>5588000</v>
      </c>
      <c r="L71" s="543"/>
    </row>
    <row r="72" spans="1:12" s="198" customFormat="1" ht="24.75" customHeight="1">
      <c r="A72" s="479" t="s">
        <v>21</v>
      </c>
      <c r="B72" s="495" t="s">
        <v>919</v>
      </c>
      <c r="C72" s="496" t="s">
        <v>920</v>
      </c>
      <c r="D72" s="497">
        <f t="shared" si="16"/>
        <v>994664</v>
      </c>
      <c r="E72" s="497">
        <v>80264</v>
      </c>
      <c r="F72" s="497">
        <v>228600</v>
      </c>
      <c r="G72" s="497">
        <v>228600</v>
      </c>
      <c r="H72" s="497">
        <v>228600</v>
      </c>
      <c r="I72" s="497">
        <v>228600</v>
      </c>
      <c r="J72" s="251">
        <f t="shared" si="17"/>
        <v>914400</v>
      </c>
      <c r="L72" s="543"/>
    </row>
    <row r="73" spans="1:12" s="198" customFormat="1" ht="24.75" customHeight="1">
      <c r="A73" s="479" t="s">
        <v>22</v>
      </c>
      <c r="B73" s="495" t="s">
        <v>921</v>
      </c>
      <c r="C73" s="496" t="s">
        <v>922</v>
      </c>
      <c r="D73" s="497">
        <f t="shared" si="16"/>
        <v>8158480</v>
      </c>
      <c r="E73" s="497">
        <v>741680</v>
      </c>
      <c r="F73" s="497">
        <v>741680</v>
      </c>
      <c r="G73" s="497">
        <v>741680</v>
      </c>
      <c r="H73" s="497">
        <v>741680</v>
      </c>
      <c r="I73" s="497">
        <v>5191760</v>
      </c>
      <c r="J73" s="251">
        <f t="shared" si="17"/>
        <v>7416800</v>
      </c>
      <c r="L73" s="543"/>
    </row>
    <row r="74" spans="1:12" s="198" customFormat="1" ht="24.75" customHeight="1">
      <c r="A74" s="479" t="s">
        <v>23</v>
      </c>
      <c r="B74" s="495" t="s">
        <v>1154</v>
      </c>
      <c r="C74" s="496" t="s">
        <v>886</v>
      </c>
      <c r="D74" s="497">
        <f t="shared" si="16"/>
        <v>898962</v>
      </c>
      <c r="E74" s="497">
        <v>178662</v>
      </c>
      <c r="F74" s="497">
        <v>180075</v>
      </c>
      <c r="G74" s="497">
        <v>180075</v>
      </c>
      <c r="H74" s="497">
        <v>180075</v>
      </c>
      <c r="I74" s="497">
        <v>180075</v>
      </c>
      <c r="J74" s="251">
        <f t="shared" si="17"/>
        <v>720300</v>
      </c>
      <c r="L74" s="543"/>
    </row>
    <row r="75" spans="1:12" s="198" customFormat="1" ht="24.75" customHeight="1">
      <c r="A75" s="479" t="s">
        <v>24</v>
      </c>
      <c r="B75" s="495" t="s">
        <v>923</v>
      </c>
      <c r="C75" s="496" t="s">
        <v>896</v>
      </c>
      <c r="D75" s="497">
        <f t="shared" si="16"/>
        <v>1000000</v>
      </c>
      <c r="E75" s="497"/>
      <c r="F75" s="497">
        <v>1000000</v>
      </c>
      <c r="G75" s="497"/>
      <c r="H75" s="497"/>
      <c r="I75" s="497"/>
      <c r="J75" s="251">
        <f t="shared" si="17"/>
        <v>1000000</v>
      </c>
      <c r="L75" s="543"/>
    </row>
    <row r="76" spans="1:12" s="198" customFormat="1" ht="24.75" customHeight="1">
      <c r="A76" s="479" t="s">
        <v>25</v>
      </c>
      <c r="B76" s="495" t="s">
        <v>924</v>
      </c>
      <c r="C76" s="496" t="s">
        <v>925</v>
      </c>
      <c r="D76" s="497">
        <f t="shared" si="16"/>
        <v>1980000</v>
      </c>
      <c r="E76" s="497">
        <v>540000</v>
      </c>
      <c r="F76" s="497">
        <v>360000</v>
      </c>
      <c r="G76" s="497">
        <v>360000</v>
      </c>
      <c r="H76" s="497">
        <v>360000</v>
      </c>
      <c r="I76" s="497">
        <v>360000</v>
      </c>
      <c r="J76" s="251">
        <f t="shared" si="17"/>
        <v>1440000</v>
      </c>
      <c r="L76" s="543"/>
    </row>
    <row r="77" spans="1:12" s="198" customFormat="1" ht="24.75" customHeight="1">
      <c r="A77" s="479" t="s">
        <v>26</v>
      </c>
      <c r="B77" s="495" t="s">
        <v>926</v>
      </c>
      <c r="C77" s="496" t="s">
        <v>896</v>
      </c>
      <c r="D77" s="497">
        <f t="shared" si="16"/>
        <v>4065933</v>
      </c>
      <c r="E77" s="497">
        <v>1565933</v>
      </c>
      <c r="F77" s="497">
        <v>2500000</v>
      </c>
      <c r="G77" s="497"/>
      <c r="H77" s="497"/>
      <c r="I77" s="497"/>
      <c r="J77" s="251">
        <f t="shared" si="17"/>
        <v>2500000</v>
      </c>
      <c r="L77" s="543"/>
    </row>
    <row r="78" spans="1:12" s="198" customFormat="1" ht="24.75" customHeight="1">
      <c r="A78" s="479" t="s">
        <v>932</v>
      </c>
      <c r="B78" s="495" t="s">
        <v>927</v>
      </c>
      <c r="C78" s="496" t="s">
        <v>896</v>
      </c>
      <c r="D78" s="497">
        <f t="shared" si="16"/>
        <v>1153120</v>
      </c>
      <c r="E78" s="497">
        <v>383120</v>
      </c>
      <c r="F78" s="497">
        <v>770000</v>
      </c>
      <c r="G78" s="497"/>
      <c r="H78" s="497"/>
      <c r="I78" s="497"/>
      <c r="J78" s="251">
        <f t="shared" si="17"/>
        <v>770000</v>
      </c>
      <c r="L78" s="543"/>
    </row>
    <row r="79" spans="1:12" s="198" customFormat="1" ht="24.75" customHeight="1">
      <c r="A79" s="479" t="s">
        <v>933</v>
      </c>
      <c r="B79" s="498" t="s">
        <v>928</v>
      </c>
      <c r="C79" s="499" t="s">
        <v>896</v>
      </c>
      <c r="D79" s="500">
        <f>E79+F79+G79+H79+I79</f>
        <v>2260725</v>
      </c>
      <c r="E79" s="497">
        <v>1900125</v>
      </c>
      <c r="F79" s="497">
        <v>360600</v>
      </c>
      <c r="G79" s="497"/>
      <c r="H79" s="497"/>
      <c r="I79" s="497"/>
      <c r="J79" s="251">
        <f t="shared" si="17"/>
        <v>360600</v>
      </c>
      <c r="L79" s="543"/>
    </row>
    <row r="80" spans="1:12" s="198" customFormat="1" ht="24.75" customHeight="1">
      <c r="A80" s="479" t="s">
        <v>934</v>
      </c>
      <c r="B80" s="495" t="s">
        <v>1155</v>
      </c>
      <c r="C80" s="496" t="s">
        <v>929</v>
      </c>
      <c r="D80" s="497">
        <f t="shared" si="16"/>
        <v>317500</v>
      </c>
      <c r="E80" s="497">
        <v>76200</v>
      </c>
      <c r="F80" s="497">
        <v>76200</v>
      </c>
      <c r="G80" s="497">
        <v>76200</v>
      </c>
      <c r="H80" s="497">
        <v>76200</v>
      </c>
      <c r="I80" s="497">
        <v>12700</v>
      </c>
      <c r="J80" s="251">
        <f t="shared" si="17"/>
        <v>241300</v>
      </c>
      <c r="L80" s="543"/>
    </row>
    <row r="81" spans="1:12" s="198" customFormat="1" ht="24.75" customHeight="1">
      <c r="A81" s="479" t="s">
        <v>935</v>
      </c>
      <c r="B81" s="495" t="s">
        <v>930</v>
      </c>
      <c r="C81" s="496" t="s">
        <v>896</v>
      </c>
      <c r="D81" s="497">
        <f t="shared" si="16"/>
        <v>18424776</v>
      </c>
      <c r="E81" s="497">
        <v>11437236</v>
      </c>
      <c r="F81" s="497">
        <v>6987540</v>
      </c>
      <c r="G81" s="497"/>
      <c r="H81" s="497"/>
      <c r="I81" s="497"/>
      <c r="J81" s="251">
        <f t="shared" si="17"/>
        <v>6987540</v>
      </c>
      <c r="L81" s="543"/>
    </row>
    <row r="82" spans="1:12" s="198" customFormat="1" ht="24.75" customHeight="1" thickBot="1">
      <c r="A82" s="485" t="s">
        <v>936</v>
      </c>
      <c r="B82" s="501" t="s">
        <v>931</v>
      </c>
      <c r="C82" s="502" t="s">
        <v>896</v>
      </c>
      <c r="D82" s="503">
        <f t="shared" si="16"/>
        <v>13226167</v>
      </c>
      <c r="E82" s="503">
        <v>12458579</v>
      </c>
      <c r="F82" s="503">
        <v>767588</v>
      </c>
      <c r="G82" s="503"/>
      <c r="H82" s="503"/>
      <c r="I82" s="503"/>
      <c r="J82" s="252">
        <f t="shared" si="17"/>
        <v>767588</v>
      </c>
      <c r="L82" s="543"/>
    </row>
    <row r="83" spans="1:12" s="268" customFormat="1" ht="24.75" customHeight="1" thickBot="1">
      <c r="A83" s="303"/>
      <c r="B83" s="187" t="s">
        <v>86</v>
      </c>
      <c r="C83" s="188"/>
      <c r="D83" s="205">
        <f aca="true" t="shared" si="18" ref="D83:J83">SUM(D51:D82)</f>
        <v>799580889</v>
      </c>
      <c r="E83" s="205">
        <f t="shared" si="18"/>
        <v>284702489</v>
      </c>
      <c r="F83" s="205">
        <f t="shared" si="18"/>
        <v>171838696</v>
      </c>
      <c r="G83" s="205">
        <f t="shared" si="18"/>
        <v>98079534</v>
      </c>
      <c r="H83" s="205">
        <f t="shared" si="18"/>
        <v>92288543</v>
      </c>
      <c r="I83" s="205">
        <f t="shared" si="18"/>
        <v>157021123</v>
      </c>
      <c r="J83" s="206">
        <f t="shared" si="18"/>
        <v>519227896</v>
      </c>
      <c r="L83" s="544"/>
    </row>
    <row r="84" spans="1:12" s="470" customFormat="1" ht="24.75" customHeight="1">
      <c r="A84" s="465"/>
      <c r="B84" s="466"/>
      <c r="C84" s="467"/>
      <c r="D84" s="468"/>
      <c r="E84" s="468"/>
      <c r="F84" s="468"/>
      <c r="G84" s="468"/>
      <c r="H84" s="468"/>
      <c r="I84" s="468"/>
      <c r="J84" s="469"/>
      <c r="L84" s="545"/>
    </row>
    <row r="85" spans="1:12" s="470" customFormat="1" ht="24.75" customHeight="1">
      <c r="A85" s="476" t="s">
        <v>1</v>
      </c>
      <c r="B85" s="549" t="s">
        <v>872</v>
      </c>
      <c r="C85" s="550" t="s">
        <v>873</v>
      </c>
      <c r="D85" s="551">
        <f>E85+F85+G85+H85+I85</f>
        <v>1915840</v>
      </c>
      <c r="E85" s="551">
        <f>249720+67424</f>
        <v>317144</v>
      </c>
      <c r="F85" s="551">
        <f>314704+84970</f>
        <v>399674</v>
      </c>
      <c r="G85" s="551">
        <f>314704+84970</f>
        <v>399674</v>
      </c>
      <c r="H85" s="551">
        <f>314704+84970</f>
        <v>399674</v>
      </c>
      <c r="I85" s="551">
        <f>314704+84970</f>
        <v>399674</v>
      </c>
      <c r="J85" s="552">
        <f>SUM(F85:I85)</f>
        <v>1598696</v>
      </c>
      <c r="L85" s="545"/>
    </row>
    <row r="86" spans="1:12" s="470" customFormat="1" ht="24.75" customHeight="1">
      <c r="A86" s="471" t="s">
        <v>2</v>
      </c>
      <c r="B86" s="472" t="s">
        <v>874</v>
      </c>
      <c r="C86" s="473" t="s">
        <v>873</v>
      </c>
      <c r="D86" s="474">
        <f>E86+F86+G86+H86+I86</f>
        <v>2963215</v>
      </c>
      <c r="E86" s="474">
        <f>74236+274959</f>
        <v>349195</v>
      </c>
      <c r="F86" s="474">
        <f>514571+138934</f>
        <v>653505</v>
      </c>
      <c r="G86" s="474">
        <v>653505</v>
      </c>
      <c r="H86" s="474">
        <v>653505</v>
      </c>
      <c r="I86" s="474">
        <v>653505</v>
      </c>
      <c r="J86" s="475">
        <f aca="true" t="shared" si="19" ref="J86:J97">SUM(F86:I86)</f>
        <v>2614020</v>
      </c>
      <c r="L86" s="545"/>
    </row>
    <row r="87" spans="1:12" s="470" customFormat="1" ht="24.75" customHeight="1">
      <c r="A87" s="471" t="s">
        <v>3</v>
      </c>
      <c r="B87" s="472" t="s">
        <v>875</v>
      </c>
      <c r="C87" s="473" t="s">
        <v>873</v>
      </c>
      <c r="D87" s="474">
        <f aca="true" t="shared" si="20" ref="D87:D93">E87+F87+G87+H87+I87</f>
        <v>106994284</v>
      </c>
      <c r="E87" s="474">
        <f>29436808+1557476</f>
        <v>30994284</v>
      </c>
      <c r="F87" s="474">
        <f>32967508+1739962-14959497-747973</f>
        <v>19000000</v>
      </c>
      <c r="G87" s="474">
        <f>32967508+1739962-14959497-747973</f>
        <v>19000000</v>
      </c>
      <c r="H87" s="474">
        <f>32967508+1739962-14959497-747973</f>
        <v>19000000</v>
      </c>
      <c r="I87" s="474">
        <f>32967508+1739962-14959497-747973</f>
        <v>19000000</v>
      </c>
      <c r="J87" s="475">
        <f t="shared" si="19"/>
        <v>76000000</v>
      </c>
      <c r="L87" s="545"/>
    </row>
    <row r="88" spans="1:12" s="470" customFormat="1" ht="24.75" customHeight="1">
      <c r="A88" s="471" t="s">
        <v>4</v>
      </c>
      <c r="B88" s="472" t="s">
        <v>876</v>
      </c>
      <c r="C88" s="473" t="s">
        <v>877</v>
      </c>
      <c r="D88" s="474">
        <f t="shared" si="20"/>
        <v>4190000</v>
      </c>
      <c r="E88" s="474">
        <v>830000</v>
      </c>
      <c r="F88" s="474">
        <v>840000</v>
      </c>
      <c r="G88" s="474">
        <v>840000</v>
      </c>
      <c r="H88" s="474">
        <v>840000</v>
      </c>
      <c r="I88" s="474">
        <v>840000</v>
      </c>
      <c r="J88" s="475">
        <f t="shared" si="19"/>
        <v>3360000</v>
      </c>
      <c r="L88" s="545"/>
    </row>
    <row r="89" spans="1:12" s="470" customFormat="1" ht="24.75" customHeight="1">
      <c r="A89" s="471" t="s">
        <v>5</v>
      </c>
      <c r="B89" s="472" t="s">
        <v>878</v>
      </c>
      <c r="C89" s="473" t="s">
        <v>879</v>
      </c>
      <c r="D89" s="474">
        <f t="shared" si="20"/>
        <v>53656906</v>
      </c>
      <c r="E89" s="474">
        <v>9656906</v>
      </c>
      <c r="F89" s="474">
        <v>11000000</v>
      </c>
      <c r="G89" s="474">
        <v>11000000</v>
      </c>
      <c r="H89" s="474">
        <v>11000000</v>
      </c>
      <c r="I89" s="474">
        <v>11000000</v>
      </c>
      <c r="J89" s="475">
        <f t="shared" si="19"/>
        <v>44000000</v>
      </c>
      <c r="L89" s="545"/>
    </row>
    <row r="90" spans="1:12" s="470" customFormat="1" ht="24.75" customHeight="1">
      <c r="A90" s="471" t="s">
        <v>6</v>
      </c>
      <c r="B90" s="472" t="s">
        <v>880</v>
      </c>
      <c r="C90" s="473" t="s">
        <v>881</v>
      </c>
      <c r="D90" s="474">
        <f>E90+F90+G90+H90+I90</f>
        <v>2552700</v>
      </c>
      <c r="E90" s="474">
        <f>4*127635</f>
        <v>510540</v>
      </c>
      <c r="F90" s="474">
        <f>402000+108540</f>
        <v>510540</v>
      </c>
      <c r="G90" s="474">
        <v>510540</v>
      </c>
      <c r="H90" s="474">
        <v>510540</v>
      </c>
      <c r="I90" s="474">
        <v>510540</v>
      </c>
      <c r="J90" s="475">
        <f t="shared" si="19"/>
        <v>2042160</v>
      </c>
      <c r="L90" s="545"/>
    </row>
    <row r="91" spans="1:12" s="470" customFormat="1" ht="24.75" customHeight="1">
      <c r="A91" s="471" t="s">
        <v>7</v>
      </c>
      <c r="B91" s="472" t="s">
        <v>882</v>
      </c>
      <c r="C91" s="473" t="s">
        <v>883</v>
      </c>
      <c r="D91" s="474">
        <f t="shared" si="20"/>
        <v>8361479</v>
      </c>
      <c r="E91" s="474">
        <v>1194911</v>
      </c>
      <c r="F91" s="474">
        <f>1508380+283262</f>
        <v>1791642</v>
      </c>
      <c r="G91" s="474">
        <f>1508380+283262</f>
        <v>1791642</v>
      </c>
      <c r="H91" s="474">
        <f>1508380+283262</f>
        <v>1791642</v>
      </c>
      <c r="I91" s="474">
        <f>1508380+283262</f>
        <v>1791642</v>
      </c>
      <c r="J91" s="475">
        <f t="shared" si="19"/>
        <v>7166568</v>
      </c>
      <c r="L91" s="545"/>
    </row>
    <row r="92" spans="1:12" s="470" customFormat="1" ht="24.75" customHeight="1">
      <c r="A92" s="471" t="s">
        <v>8</v>
      </c>
      <c r="B92" s="472" t="s">
        <v>884</v>
      </c>
      <c r="C92" s="473" t="s">
        <v>879</v>
      </c>
      <c r="D92" s="474">
        <f t="shared" si="20"/>
        <v>7161780</v>
      </c>
      <c r="E92" s="474">
        <v>1065780</v>
      </c>
      <c r="F92" s="474">
        <f>1200000+324000</f>
        <v>1524000</v>
      </c>
      <c r="G92" s="474">
        <f>1200000+324000</f>
        <v>1524000</v>
      </c>
      <c r="H92" s="474">
        <f>1200000+324000</f>
        <v>1524000</v>
      </c>
      <c r="I92" s="474">
        <f>1200000+324000</f>
        <v>1524000</v>
      </c>
      <c r="J92" s="475">
        <f t="shared" si="19"/>
        <v>6096000</v>
      </c>
      <c r="L92" s="545"/>
    </row>
    <row r="93" spans="1:12" s="470" customFormat="1" ht="24.75" customHeight="1">
      <c r="A93" s="476" t="s">
        <v>9</v>
      </c>
      <c r="B93" s="472" t="s">
        <v>885</v>
      </c>
      <c r="C93" s="473" t="s">
        <v>886</v>
      </c>
      <c r="D93" s="474">
        <f t="shared" si="20"/>
        <v>1069850</v>
      </c>
      <c r="E93" s="474">
        <v>213970</v>
      </c>
      <c r="F93" s="474">
        <f>168480+45490</f>
        <v>213970</v>
      </c>
      <c r="G93" s="474">
        <v>213970</v>
      </c>
      <c r="H93" s="474">
        <v>213970</v>
      </c>
      <c r="I93" s="474">
        <v>213970</v>
      </c>
      <c r="J93" s="475">
        <f t="shared" si="19"/>
        <v>855880</v>
      </c>
      <c r="L93" s="545"/>
    </row>
    <row r="94" spans="1:12" s="470" customFormat="1" ht="24.75" customHeight="1">
      <c r="A94" s="471" t="s">
        <v>10</v>
      </c>
      <c r="B94" s="472" t="s">
        <v>887</v>
      </c>
      <c r="C94" s="473" t="s">
        <v>883</v>
      </c>
      <c r="D94" s="474">
        <f>E94+F94+G94+H94+I94</f>
        <v>4368800</v>
      </c>
      <c r="E94" s="474">
        <f>4*76200</f>
        <v>304800</v>
      </c>
      <c r="F94" s="474">
        <f>800000+216000</f>
        <v>1016000</v>
      </c>
      <c r="G94" s="474">
        <f>800000*1.27</f>
        <v>1016000</v>
      </c>
      <c r="H94" s="474">
        <f>800000*1.27</f>
        <v>1016000</v>
      </c>
      <c r="I94" s="474">
        <f>800000*1.27</f>
        <v>1016000</v>
      </c>
      <c r="J94" s="475">
        <f t="shared" si="19"/>
        <v>4064000</v>
      </c>
      <c r="L94" s="545"/>
    </row>
    <row r="95" spans="1:12" s="470" customFormat="1" ht="24.75" customHeight="1">
      <c r="A95" s="471" t="s">
        <v>11</v>
      </c>
      <c r="B95" s="472" t="s">
        <v>888</v>
      </c>
      <c r="C95" s="473" t="s">
        <v>886</v>
      </c>
      <c r="D95" s="474">
        <f>E95+F95+G95+H95+I95</f>
        <v>293751</v>
      </c>
      <c r="E95" s="474">
        <f>39300+10611</f>
        <v>49911</v>
      </c>
      <c r="F95" s="474">
        <v>60960</v>
      </c>
      <c r="G95" s="474">
        <f>39600+10692+8400+2268</f>
        <v>60960</v>
      </c>
      <c r="H95" s="474">
        <f>48000+12960</f>
        <v>60960</v>
      </c>
      <c r="I95" s="474">
        <v>60960</v>
      </c>
      <c r="J95" s="475">
        <f t="shared" si="19"/>
        <v>243840</v>
      </c>
      <c r="L95" s="545"/>
    </row>
    <row r="96" spans="1:12" s="470" customFormat="1" ht="24.75" customHeight="1">
      <c r="A96" s="471" t="s">
        <v>12</v>
      </c>
      <c r="B96" s="472" t="s">
        <v>889</v>
      </c>
      <c r="C96" s="473" t="s">
        <v>890</v>
      </c>
      <c r="D96" s="474">
        <f>E96+F96+G96+H96+I96</f>
        <v>575554</v>
      </c>
      <c r="E96" s="477">
        <v>95554</v>
      </c>
      <c r="F96" s="474">
        <f>94488+25512</f>
        <v>120000</v>
      </c>
      <c r="G96" s="474">
        <v>120000</v>
      </c>
      <c r="H96" s="474">
        <v>120000</v>
      </c>
      <c r="I96" s="474">
        <v>120000</v>
      </c>
      <c r="J96" s="475">
        <f t="shared" si="19"/>
        <v>480000</v>
      </c>
      <c r="L96" s="545"/>
    </row>
    <row r="97" spans="1:12" s="478" customFormat="1" ht="24.75" customHeight="1" thickBot="1">
      <c r="A97" s="471" t="s">
        <v>13</v>
      </c>
      <c r="B97" s="472" t="s">
        <v>891</v>
      </c>
      <c r="C97" s="473" t="s">
        <v>886</v>
      </c>
      <c r="D97" s="474">
        <f>E97+F97+G97+H97+I97</f>
        <v>8858099</v>
      </c>
      <c r="E97" s="474">
        <f>294905+1092240</f>
        <v>1387145</v>
      </c>
      <c r="F97" s="474">
        <v>1751736</v>
      </c>
      <c r="G97" s="474">
        <v>1906406</v>
      </c>
      <c r="H97" s="474">
        <v>1906406</v>
      </c>
      <c r="I97" s="474">
        <v>1906406</v>
      </c>
      <c r="J97" s="475">
        <f t="shared" si="19"/>
        <v>7470954</v>
      </c>
      <c r="K97" s="470"/>
      <c r="L97" s="546"/>
    </row>
    <row r="98" spans="1:10" ht="24.75" customHeight="1" thickBot="1">
      <c r="A98" s="303"/>
      <c r="B98" s="187" t="s">
        <v>661</v>
      </c>
      <c r="C98" s="188"/>
      <c r="D98" s="205">
        <f aca="true" t="shared" si="21" ref="D98:J98">SUM(D84:D97)</f>
        <v>202962258</v>
      </c>
      <c r="E98" s="205">
        <f>SUM(E84:E97)</f>
        <v>46970140</v>
      </c>
      <c r="F98" s="205">
        <f t="shared" si="21"/>
        <v>38882027</v>
      </c>
      <c r="G98" s="205">
        <f t="shared" si="21"/>
        <v>39036697</v>
      </c>
      <c r="H98" s="205">
        <f t="shared" si="21"/>
        <v>39036697</v>
      </c>
      <c r="I98" s="205">
        <f t="shared" si="21"/>
        <v>39036697</v>
      </c>
      <c r="J98" s="206">
        <f t="shared" si="21"/>
        <v>155992118</v>
      </c>
    </row>
    <row r="99" spans="1:12" s="198" customFormat="1" ht="19.5" customHeight="1">
      <c r="A99" s="530"/>
      <c r="B99" s="514"/>
      <c r="C99" s="515"/>
      <c r="D99" s="531"/>
      <c r="E99" s="532"/>
      <c r="F99" s="516"/>
      <c r="G99" s="516"/>
      <c r="H99" s="516"/>
      <c r="I99" s="516"/>
      <c r="J99" s="265">
        <f>SUM(F99:I99)</f>
        <v>0</v>
      </c>
      <c r="L99" s="543"/>
    </row>
    <row r="100" spans="1:12" s="198" customFormat="1" ht="24.75" customHeight="1">
      <c r="A100" s="537" t="s">
        <v>1</v>
      </c>
      <c r="B100" s="507" t="s">
        <v>949</v>
      </c>
      <c r="C100" s="199" t="s">
        <v>950</v>
      </c>
      <c r="D100" s="474">
        <f>E100+F100+G100+H100+I100</f>
        <v>1453925.55606144</v>
      </c>
      <c r="E100" s="58">
        <v>279384</v>
      </c>
      <c r="F100" s="262">
        <f>E100*1.02</f>
        <v>284971.68</v>
      </c>
      <c r="G100" s="262">
        <f aca="true" t="shared" si="22" ref="G100:I101">F100*1.02</f>
        <v>290671.1136</v>
      </c>
      <c r="H100" s="262">
        <f t="shared" si="22"/>
        <v>296484.535872</v>
      </c>
      <c r="I100" s="262">
        <f t="shared" si="22"/>
        <v>302414.22658943996</v>
      </c>
      <c r="J100" s="253">
        <f>SUM(F100:I100)</f>
        <v>1174541.55606144</v>
      </c>
      <c r="L100" s="543"/>
    </row>
    <row r="101" spans="1:12" s="198" customFormat="1" ht="24.75" customHeight="1">
      <c r="A101" s="537" t="s">
        <v>2</v>
      </c>
      <c r="B101" s="507" t="s">
        <v>897</v>
      </c>
      <c r="C101" s="199" t="s">
        <v>951</v>
      </c>
      <c r="D101" s="474">
        <f aca="true" t="shared" si="23" ref="D101:D147">E101+F101+G101+H101+I101</f>
        <v>1466420.4564856002</v>
      </c>
      <c r="E101" s="58">
        <v>281785</v>
      </c>
      <c r="F101" s="262">
        <f>E101*1.02</f>
        <v>287420.7</v>
      </c>
      <c r="G101" s="262">
        <f t="shared" si="22"/>
        <v>293169.114</v>
      </c>
      <c r="H101" s="262">
        <f t="shared" si="22"/>
        <v>299032.49628</v>
      </c>
      <c r="I101" s="262">
        <f t="shared" si="22"/>
        <v>305013.1462056</v>
      </c>
      <c r="J101" s="253">
        <f aca="true" t="shared" si="24" ref="J101:J147">SUM(F101:I101)</f>
        <v>1184635.4564856002</v>
      </c>
      <c r="L101" s="543"/>
    </row>
    <row r="102" spans="1:12" s="198" customFormat="1" ht="24.75" customHeight="1">
      <c r="A102" s="537" t="s">
        <v>3</v>
      </c>
      <c r="B102" s="508" t="s">
        <v>952</v>
      </c>
      <c r="C102" s="509" t="s">
        <v>953</v>
      </c>
      <c r="D102" s="474">
        <f t="shared" si="23"/>
        <v>44052589</v>
      </c>
      <c r="E102" s="58">
        <v>3602369</v>
      </c>
      <c r="F102" s="512">
        <v>40450220</v>
      </c>
      <c r="G102" s="512"/>
      <c r="H102" s="512">
        <f>G102*1.1</f>
        <v>0</v>
      </c>
      <c r="I102" s="512">
        <f>H102*1.1</f>
        <v>0</v>
      </c>
      <c r="J102" s="253">
        <f t="shared" si="24"/>
        <v>40450220</v>
      </c>
      <c r="L102" s="543"/>
    </row>
    <row r="103" spans="1:12" s="198" customFormat="1" ht="24.75" customHeight="1">
      <c r="A103" s="537" t="s">
        <v>4</v>
      </c>
      <c r="B103" s="508" t="s">
        <v>954</v>
      </c>
      <c r="C103" s="509" t="s">
        <v>955</v>
      </c>
      <c r="D103" s="474">
        <f t="shared" si="23"/>
        <v>20470199</v>
      </c>
      <c r="E103" s="58">
        <v>4255047</v>
      </c>
      <c r="F103" s="512">
        <v>16215152</v>
      </c>
      <c r="G103" s="512"/>
      <c r="H103" s="512">
        <f>G103*1.1</f>
        <v>0</v>
      </c>
      <c r="I103" s="512">
        <f>H103*1.1</f>
        <v>0</v>
      </c>
      <c r="J103" s="253">
        <f t="shared" si="24"/>
        <v>16215152</v>
      </c>
      <c r="L103" s="543"/>
    </row>
    <row r="104" spans="1:12" s="198" customFormat="1" ht="24.75" customHeight="1">
      <c r="A104" s="537" t="s">
        <v>5</v>
      </c>
      <c r="B104" s="508" t="s">
        <v>956</v>
      </c>
      <c r="C104" s="509" t="s">
        <v>957</v>
      </c>
      <c r="D104" s="474">
        <f t="shared" si="23"/>
        <v>3769025</v>
      </c>
      <c r="E104" s="58">
        <v>3769025</v>
      </c>
      <c r="F104" s="512"/>
      <c r="G104" s="512"/>
      <c r="H104" s="512"/>
      <c r="I104" s="512"/>
      <c r="J104" s="253">
        <f t="shared" si="24"/>
        <v>0</v>
      </c>
      <c r="L104" s="543"/>
    </row>
    <row r="105" spans="1:12" s="198" customFormat="1" ht="24.75" customHeight="1">
      <c r="A105" s="537" t="s">
        <v>6</v>
      </c>
      <c r="B105" s="508" t="s">
        <v>958</v>
      </c>
      <c r="C105" s="509" t="s">
        <v>959</v>
      </c>
      <c r="D105" s="474">
        <f t="shared" si="23"/>
        <v>34959652</v>
      </c>
      <c r="E105" s="58">
        <v>34959652</v>
      </c>
      <c r="F105" s="512"/>
      <c r="G105" s="512"/>
      <c r="H105" s="512"/>
      <c r="I105" s="512"/>
      <c r="J105" s="253">
        <f t="shared" si="24"/>
        <v>0</v>
      </c>
      <c r="L105" s="543"/>
    </row>
    <row r="106" spans="1:12" s="198" customFormat="1" ht="24.75" customHeight="1">
      <c r="A106" s="537" t="s">
        <v>7</v>
      </c>
      <c r="B106" s="507" t="s">
        <v>960</v>
      </c>
      <c r="C106" s="509" t="s">
        <v>961</v>
      </c>
      <c r="D106" s="474">
        <f t="shared" si="23"/>
        <v>3712364.787600001</v>
      </c>
      <c r="E106" s="58">
        <v>608076</v>
      </c>
      <c r="F106" s="262">
        <f>E106*1.1</f>
        <v>668883.6000000001</v>
      </c>
      <c r="G106" s="262">
        <f>F106*1.1</f>
        <v>735771.9600000002</v>
      </c>
      <c r="H106" s="262">
        <f>G106*1.1</f>
        <v>809349.1560000003</v>
      </c>
      <c r="I106" s="262">
        <f>H106*1.1</f>
        <v>890284.0716000004</v>
      </c>
      <c r="J106" s="253">
        <f t="shared" si="24"/>
        <v>3104288.787600001</v>
      </c>
      <c r="L106" s="543"/>
    </row>
    <row r="107" spans="1:12" s="198" customFormat="1" ht="24.75" customHeight="1">
      <c r="A107" s="537" t="s">
        <v>8</v>
      </c>
      <c r="B107" s="507" t="s">
        <v>962</v>
      </c>
      <c r="C107" s="509" t="s">
        <v>963</v>
      </c>
      <c r="D107" s="474">
        <f t="shared" si="23"/>
        <v>40990801.46050001</v>
      </c>
      <c r="E107" s="58">
        <v>2247243</v>
      </c>
      <c r="F107" s="262">
        <v>8988964</v>
      </c>
      <c r="G107" s="262">
        <f>F107*1.05</f>
        <v>9438412.200000001</v>
      </c>
      <c r="H107" s="262">
        <f>G107*1.05</f>
        <v>9910332.810000002</v>
      </c>
      <c r="I107" s="262">
        <f>H107*1.05</f>
        <v>10405849.450500002</v>
      </c>
      <c r="J107" s="253">
        <f t="shared" si="24"/>
        <v>38743558.46050001</v>
      </c>
      <c r="L107" s="543"/>
    </row>
    <row r="108" spans="1:12" s="198" customFormat="1" ht="24.75" customHeight="1">
      <c r="A108" s="537" t="s">
        <v>9</v>
      </c>
      <c r="B108" s="507" t="s">
        <v>964</v>
      </c>
      <c r="C108" s="509" t="s">
        <v>965</v>
      </c>
      <c r="D108" s="474">
        <f t="shared" si="23"/>
        <v>6741729</v>
      </c>
      <c r="E108" s="58">
        <v>6741729</v>
      </c>
      <c r="F108" s="262"/>
      <c r="G108" s="262"/>
      <c r="H108" s="262"/>
      <c r="I108" s="262"/>
      <c r="J108" s="253">
        <f t="shared" si="24"/>
        <v>0</v>
      </c>
      <c r="L108" s="543"/>
    </row>
    <row r="109" spans="1:12" s="198" customFormat="1" ht="24.75" customHeight="1">
      <c r="A109" s="537" t="s">
        <v>10</v>
      </c>
      <c r="B109" s="508" t="s">
        <v>966</v>
      </c>
      <c r="C109" s="509" t="s">
        <v>967</v>
      </c>
      <c r="D109" s="474">
        <f t="shared" si="23"/>
        <v>852452578.43175</v>
      </c>
      <c r="E109" s="58">
        <v>208178826</v>
      </c>
      <c r="F109" s="513">
        <v>149479134</v>
      </c>
      <c r="G109" s="512">
        <f aca="true" t="shared" si="25" ref="G109:I110">F109*1.05</f>
        <v>156953090.70000002</v>
      </c>
      <c r="H109" s="512">
        <f t="shared" si="25"/>
        <v>164800745.235</v>
      </c>
      <c r="I109" s="512">
        <f t="shared" si="25"/>
        <v>173040782.49675003</v>
      </c>
      <c r="J109" s="253">
        <f t="shared" si="24"/>
        <v>644273752.43175</v>
      </c>
      <c r="L109" s="543"/>
    </row>
    <row r="110" spans="1:12" s="198" customFormat="1" ht="24.75" customHeight="1">
      <c r="A110" s="537" t="s">
        <v>11</v>
      </c>
      <c r="B110" s="507" t="s">
        <v>968</v>
      </c>
      <c r="C110" s="199" t="s">
        <v>967</v>
      </c>
      <c r="D110" s="474">
        <f t="shared" si="23"/>
        <v>7976906.25949375</v>
      </c>
      <c r="E110" s="58">
        <v>1443619</v>
      </c>
      <c r="F110" s="262">
        <f>E110*1.05</f>
        <v>1515799.95</v>
      </c>
      <c r="G110" s="262">
        <f t="shared" si="25"/>
        <v>1591589.9475</v>
      </c>
      <c r="H110" s="262">
        <f t="shared" si="25"/>
        <v>1671169.444875</v>
      </c>
      <c r="I110" s="262">
        <f t="shared" si="25"/>
        <v>1754727.91711875</v>
      </c>
      <c r="J110" s="253">
        <f t="shared" si="24"/>
        <v>6533287.25949375</v>
      </c>
      <c r="L110" s="543"/>
    </row>
    <row r="111" spans="1:12" s="198" customFormat="1" ht="24.75" customHeight="1">
      <c r="A111" s="537" t="s">
        <v>12</v>
      </c>
      <c r="B111" s="507" t="s">
        <v>969</v>
      </c>
      <c r="C111" s="199" t="s">
        <v>961</v>
      </c>
      <c r="D111" s="474">
        <f t="shared" si="23"/>
        <v>3391665.5217579203</v>
      </c>
      <c r="E111" s="58">
        <v>651737</v>
      </c>
      <c r="F111" s="262">
        <f>E111*1.02</f>
        <v>664771.74</v>
      </c>
      <c r="G111" s="262">
        <f aca="true" t="shared" si="26" ref="G111:I112">F111*1.02</f>
        <v>678067.1748</v>
      </c>
      <c r="H111" s="262">
        <f t="shared" si="26"/>
        <v>691628.5182960001</v>
      </c>
      <c r="I111" s="262">
        <f t="shared" si="26"/>
        <v>705461.08866192</v>
      </c>
      <c r="J111" s="253">
        <f t="shared" si="24"/>
        <v>2739928.5217579203</v>
      </c>
      <c r="L111" s="543"/>
    </row>
    <row r="112" spans="1:12" s="198" customFormat="1" ht="24.75" customHeight="1">
      <c r="A112" s="537" t="s">
        <v>13</v>
      </c>
      <c r="B112" s="507" t="s">
        <v>970</v>
      </c>
      <c r="C112" s="199" t="s">
        <v>951</v>
      </c>
      <c r="D112" s="474">
        <f t="shared" si="23"/>
        <v>38691008.18964832</v>
      </c>
      <c r="E112" s="58">
        <v>7434802</v>
      </c>
      <c r="F112" s="262">
        <f>E112*1.02</f>
        <v>7583498.04</v>
      </c>
      <c r="G112" s="262">
        <f t="shared" si="26"/>
        <v>7735168.0008000005</v>
      </c>
      <c r="H112" s="262">
        <f t="shared" si="26"/>
        <v>7889871.360816001</v>
      </c>
      <c r="I112" s="262">
        <f t="shared" si="26"/>
        <v>8047668.788032321</v>
      </c>
      <c r="J112" s="253">
        <f t="shared" si="24"/>
        <v>31256206.189648323</v>
      </c>
      <c r="L112" s="543"/>
    </row>
    <row r="113" spans="1:12" s="198" customFormat="1" ht="24.75" customHeight="1">
      <c r="A113" s="537" t="s">
        <v>14</v>
      </c>
      <c r="B113" s="507" t="s">
        <v>971</v>
      </c>
      <c r="C113" s="199" t="s">
        <v>879</v>
      </c>
      <c r="D113" s="474">
        <f t="shared" si="23"/>
        <v>6636598.36747776</v>
      </c>
      <c r="E113" s="58">
        <v>1225296</v>
      </c>
      <c r="F113" s="262">
        <f>E113*1.04</f>
        <v>1274307.84</v>
      </c>
      <c r="G113" s="262">
        <f>F113*1.04</f>
        <v>1325280.1536</v>
      </c>
      <c r="H113" s="262">
        <f>G113*1.04</f>
        <v>1378291.359744</v>
      </c>
      <c r="I113" s="262">
        <f>H113*1.04</f>
        <v>1433423.01413376</v>
      </c>
      <c r="J113" s="253">
        <f t="shared" si="24"/>
        <v>5411302.36747776</v>
      </c>
      <c r="L113" s="543"/>
    </row>
    <row r="114" spans="1:12" s="198" customFormat="1" ht="24.75" customHeight="1">
      <c r="A114" s="537" t="s">
        <v>15</v>
      </c>
      <c r="B114" s="507" t="s">
        <v>972</v>
      </c>
      <c r="C114" s="199" t="s">
        <v>950</v>
      </c>
      <c r="D114" s="474">
        <f t="shared" si="23"/>
        <v>1395625.8600000003</v>
      </c>
      <c r="E114" s="58">
        <v>228600</v>
      </c>
      <c r="F114" s="262">
        <f>E114*1.1</f>
        <v>251460.00000000003</v>
      </c>
      <c r="G114" s="262">
        <f>F114*1.1</f>
        <v>276606.00000000006</v>
      </c>
      <c r="H114" s="262">
        <f>G114*1.1</f>
        <v>304266.6000000001</v>
      </c>
      <c r="I114" s="262">
        <f>H114*1.1</f>
        <v>334693.2600000001</v>
      </c>
      <c r="J114" s="253">
        <f t="shared" si="24"/>
        <v>1167025.8600000003</v>
      </c>
      <c r="L114" s="543"/>
    </row>
    <row r="115" spans="1:12" s="198" customFormat="1" ht="24.75" customHeight="1">
      <c r="A115" s="537" t="s">
        <v>16</v>
      </c>
      <c r="B115" s="507" t="s">
        <v>973</v>
      </c>
      <c r="C115" s="199" t="s">
        <v>974</v>
      </c>
      <c r="D115" s="474">
        <f t="shared" si="23"/>
        <v>7176884.800000001</v>
      </c>
      <c r="E115" s="510">
        <v>248800</v>
      </c>
      <c r="F115" s="262">
        <v>1492800</v>
      </c>
      <c r="G115" s="262">
        <f aca="true" t="shared" si="27" ref="G115:I118">F115*1.1</f>
        <v>1642080.0000000002</v>
      </c>
      <c r="H115" s="262">
        <f t="shared" si="27"/>
        <v>1806288.0000000005</v>
      </c>
      <c r="I115" s="262">
        <f t="shared" si="27"/>
        <v>1986916.8000000007</v>
      </c>
      <c r="J115" s="253">
        <f t="shared" si="24"/>
        <v>6928084.800000001</v>
      </c>
      <c r="L115" s="543"/>
    </row>
    <row r="116" spans="1:12" s="198" customFormat="1" ht="24.75" customHeight="1">
      <c r="A116" s="537" t="s">
        <v>17</v>
      </c>
      <c r="B116" s="507" t="s">
        <v>975</v>
      </c>
      <c r="C116" s="199" t="s">
        <v>976</v>
      </c>
      <c r="D116" s="474">
        <f t="shared" si="23"/>
        <v>1377054.1458000003</v>
      </c>
      <c r="E116" s="186">
        <v>225558</v>
      </c>
      <c r="F116" s="262">
        <f>E116*1.1</f>
        <v>248113.80000000002</v>
      </c>
      <c r="G116" s="262">
        <f t="shared" si="27"/>
        <v>272925.18000000005</v>
      </c>
      <c r="H116" s="262">
        <f t="shared" si="27"/>
        <v>300217.6980000001</v>
      </c>
      <c r="I116" s="262">
        <f t="shared" si="27"/>
        <v>330239.4678000001</v>
      </c>
      <c r="J116" s="253">
        <f t="shared" si="24"/>
        <v>1151496.1458000003</v>
      </c>
      <c r="L116" s="543"/>
    </row>
    <row r="117" spans="1:12" s="198" customFormat="1" ht="24.75" customHeight="1">
      <c r="A117" s="537" t="s">
        <v>18</v>
      </c>
      <c r="B117" s="507" t="s">
        <v>977</v>
      </c>
      <c r="C117" s="199" t="s">
        <v>978</v>
      </c>
      <c r="D117" s="474">
        <f t="shared" si="23"/>
        <v>1097892.3432000002</v>
      </c>
      <c r="E117" s="186">
        <v>179832</v>
      </c>
      <c r="F117" s="262">
        <f>E117*1.1</f>
        <v>197815.2</v>
      </c>
      <c r="G117" s="262">
        <f t="shared" si="27"/>
        <v>217596.72000000003</v>
      </c>
      <c r="H117" s="262">
        <f t="shared" si="27"/>
        <v>239356.39200000005</v>
      </c>
      <c r="I117" s="262">
        <f t="shared" si="27"/>
        <v>263292.0312000001</v>
      </c>
      <c r="J117" s="253">
        <f t="shared" si="24"/>
        <v>918060.3432000002</v>
      </c>
      <c r="L117" s="543"/>
    </row>
    <row r="118" spans="1:12" s="198" customFormat="1" ht="24.75" customHeight="1">
      <c r="A118" s="537" t="s">
        <v>19</v>
      </c>
      <c r="B118" s="507" t="s">
        <v>979</v>
      </c>
      <c r="C118" s="199" t="s">
        <v>980</v>
      </c>
      <c r="D118" s="474">
        <f t="shared" si="23"/>
        <v>728826.8380000001</v>
      </c>
      <c r="E118" s="186">
        <v>119380</v>
      </c>
      <c r="F118" s="262">
        <f>E118*1.1</f>
        <v>131318</v>
      </c>
      <c r="G118" s="262">
        <f t="shared" si="27"/>
        <v>144449.80000000002</v>
      </c>
      <c r="H118" s="262">
        <f t="shared" si="27"/>
        <v>158894.78000000003</v>
      </c>
      <c r="I118" s="262">
        <f t="shared" si="27"/>
        <v>174784.25800000003</v>
      </c>
      <c r="J118" s="253">
        <f t="shared" si="24"/>
        <v>609446.8380000001</v>
      </c>
      <c r="L118" s="543"/>
    </row>
    <row r="119" spans="1:12" s="198" customFormat="1" ht="24.75" customHeight="1">
      <c r="A119" s="537" t="s">
        <v>20</v>
      </c>
      <c r="B119" s="507" t="s">
        <v>1156</v>
      </c>
      <c r="C119" s="199" t="s">
        <v>950</v>
      </c>
      <c r="D119" s="474">
        <f t="shared" si="23"/>
        <v>2779780.7211757805</v>
      </c>
      <c r="E119" s="58">
        <v>483378</v>
      </c>
      <c r="F119" s="186">
        <f>E119*1.07</f>
        <v>517214.46</v>
      </c>
      <c r="G119" s="186">
        <f aca="true" t="shared" si="28" ref="G119:I120">F119*1.07</f>
        <v>553419.4722000001</v>
      </c>
      <c r="H119" s="186">
        <f t="shared" si="28"/>
        <v>592158.8352540002</v>
      </c>
      <c r="I119" s="186">
        <f t="shared" si="28"/>
        <v>633609.9537217802</v>
      </c>
      <c r="J119" s="253">
        <f t="shared" si="24"/>
        <v>2296402.7211757805</v>
      </c>
      <c r="L119" s="543"/>
    </row>
    <row r="120" spans="1:12" s="198" customFormat="1" ht="24.75" customHeight="1">
      <c r="A120" s="537" t="s">
        <v>21</v>
      </c>
      <c r="B120" s="507" t="s">
        <v>1157</v>
      </c>
      <c r="C120" s="199" t="s">
        <v>981</v>
      </c>
      <c r="D120" s="474">
        <f t="shared" si="23"/>
        <v>1219340.6937683201</v>
      </c>
      <c r="E120" s="58">
        <v>212032</v>
      </c>
      <c r="F120" s="186">
        <f>E120*1.07</f>
        <v>226874.24000000002</v>
      </c>
      <c r="G120" s="186">
        <f t="shared" si="28"/>
        <v>242755.43680000002</v>
      </c>
      <c r="H120" s="186">
        <f t="shared" si="28"/>
        <v>259748.31737600005</v>
      </c>
      <c r="I120" s="186">
        <f t="shared" si="28"/>
        <v>277930.6995923201</v>
      </c>
      <c r="J120" s="253">
        <f t="shared" si="24"/>
        <v>1007308.6937683201</v>
      </c>
      <c r="L120" s="543"/>
    </row>
    <row r="121" spans="1:12" s="198" customFormat="1" ht="24.75" customHeight="1">
      <c r="A121" s="537" t="s">
        <v>22</v>
      </c>
      <c r="B121" s="507" t="s">
        <v>982</v>
      </c>
      <c r="C121" s="199" t="s">
        <v>976</v>
      </c>
      <c r="D121" s="474">
        <f t="shared" si="23"/>
        <v>2687269.6568000005</v>
      </c>
      <c r="E121" s="58">
        <v>440168</v>
      </c>
      <c r="F121" s="186">
        <f aca="true" t="shared" si="29" ref="F121:I122">E121*1.1</f>
        <v>484184.80000000005</v>
      </c>
      <c r="G121" s="186">
        <f t="shared" si="29"/>
        <v>532603.2800000001</v>
      </c>
      <c r="H121" s="186">
        <f t="shared" si="29"/>
        <v>585863.6080000002</v>
      </c>
      <c r="I121" s="186">
        <f t="shared" si="29"/>
        <v>644449.9688000003</v>
      </c>
      <c r="J121" s="253">
        <f t="shared" si="24"/>
        <v>2247101.656800001</v>
      </c>
      <c r="L121" s="543"/>
    </row>
    <row r="122" spans="1:12" s="198" customFormat="1" ht="24.75" customHeight="1">
      <c r="A122" s="537" t="s">
        <v>23</v>
      </c>
      <c r="B122" s="507" t="s">
        <v>983</v>
      </c>
      <c r="C122" s="199" t="s">
        <v>984</v>
      </c>
      <c r="D122" s="474">
        <f t="shared" si="23"/>
        <v>166309.02910000004</v>
      </c>
      <c r="E122" s="58">
        <v>27241</v>
      </c>
      <c r="F122" s="186">
        <f t="shared" si="29"/>
        <v>29965.100000000002</v>
      </c>
      <c r="G122" s="186">
        <f t="shared" si="29"/>
        <v>32961.61000000001</v>
      </c>
      <c r="H122" s="186">
        <f t="shared" si="29"/>
        <v>36257.771000000015</v>
      </c>
      <c r="I122" s="186">
        <f t="shared" si="29"/>
        <v>39883.54810000002</v>
      </c>
      <c r="J122" s="253">
        <f t="shared" si="24"/>
        <v>139068.02910000004</v>
      </c>
      <c r="L122" s="543"/>
    </row>
    <row r="123" spans="1:12" s="198" customFormat="1" ht="24.75" customHeight="1">
      <c r="A123" s="537" t="s">
        <v>24</v>
      </c>
      <c r="B123" s="507" t="s">
        <v>985</v>
      </c>
      <c r="C123" s="199" t="s">
        <v>986</v>
      </c>
      <c r="D123" s="474">
        <f t="shared" si="23"/>
        <v>17938016.97018125</v>
      </c>
      <c r="E123" s="58">
        <v>3246329</v>
      </c>
      <c r="F123" s="186">
        <f>E123*1.05</f>
        <v>3408645.45</v>
      </c>
      <c r="G123" s="186">
        <f aca="true" t="shared" si="30" ref="G123:I124">F123*1.05</f>
        <v>3579077.7225</v>
      </c>
      <c r="H123" s="186">
        <f t="shared" si="30"/>
        <v>3758031.6086250003</v>
      </c>
      <c r="I123" s="186">
        <f t="shared" si="30"/>
        <v>3945933.1890562507</v>
      </c>
      <c r="J123" s="253">
        <f t="shared" si="24"/>
        <v>14691687.970181253</v>
      </c>
      <c r="L123" s="543"/>
    </row>
    <row r="124" spans="1:12" s="198" customFormat="1" ht="24.75" customHeight="1">
      <c r="A124" s="537" t="s">
        <v>25</v>
      </c>
      <c r="B124" s="508" t="s">
        <v>905</v>
      </c>
      <c r="C124" s="509" t="s">
        <v>950</v>
      </c>
      <c r="D124" s="474">
        <f t="shared" si="23"/>
        <v>26038681.876149997</v>
      </c>
      <c r="E124" s="58">
        <v>4371368</v>
      </c>
      <c r="F124" s="510">
        <f>E124*1.15</f>
        <v>5027073.199999999</v>
      </c>
      <c r="G124" s="510">
        <f t="shared" si="30"/>
        <v>5278426.859999999</v>
      </c>
      <c r="H124" s="510">
        <f t="shared" si="30"/>
        <v>5542348.203</v>
      </c>
      <c r="I124" s="510">
        <f t="shared" si="30"/>
        <v>5819465.61315</v>
      </c>
      <c r="J124" s="253">
        <f t="shared" si="24"/>
        <v>21667313.876149997</v>
      </c>
      <c r="L124" s="543"/>
    </row>
    <row r="125" spans="1:12" s="198" customFormat="1" ht="24.75" customHeight="1">
      <c r="A125" s="537" t="s">
        <v>26</v>
      </c>
      <c r="B125" s="507" t="s">
        <v>987</v>
      </c>
      <c r="C125" s="199" t="s">
        <v>950</v>
      </c>
      <c r="D125" s="474">
        <f t="shared" si="23"/>
        <v>27738393.642900005</v>
      </c>
      <c r="E125" s="58">
        <v>4543479</v>
      </c>
      <c r="F125" s="186">
        <f aca="true" t="shared" si="31" ref="F125:I133">E125*1.1</f>
        <v>4997826.9</v>
      </c>
      <c r="G125" s="186">
        <f t="shared" si="31"/>
        <v>5497609.590000001</v>
      </c>
      <c r="H125" s="186">
        <f t="shared" si="31"/>
        <v>6047370.5490000015</v>
      </c>
      <c r="I125" s="186">
        <f t="shared" si="31"/>
        <v>6652107.603900002</v>
      </c>
      <c r="J125" s="253">
        <f t="shared" si="24"/>
        <v>23194914.642900005</v>
      </c>
      <c r="L125" s="543"/>
    </row>
    <row r="126" spans="1:12" s="198" customFormat="1" ht="24.75" customHeight="1">
      <c r="A126" s="537" t="s">
        <v>932</v>
      </c>
      <c r="B126" s="507" t="s">
        <v>1171</v>
      </c>
      <c r="C126" s="199" t="s">
        <v>984</v>
      </c>
      <c r="D126" s="474">
        <f t="shared" si="23"/>
        <v>313661.7227000001</v>
      </c>
      <c r="E126" s="58">
        <v>51377</v>
      </c>
      <c r="F126" s="186">
        <f t="shared" si="31"/>
        <v>56514.700000000004</v>
      </c>
      <c r="G126" s="186">
        <f t="shared" si="31"/>
        <v>62166.17000000001</v>
      </c>
      <c r="H126" s="186">
        <f t="shared" si="31"/>
        <v>68382.78700000003</v>
      </c>
      <c r="I126" s="186">
        <f t="shared" si="31"/>
        <v>75221.06570000004</v>
      </c>
      <c r="J126" s="253">
        <f t="shared" si="24"/>
        <v>262284.7227000001</v>
      </c>
      <c r="L126" s="543"/>
    </row>
    <row r="127" spans="1:12" s="198" customFormat="1" ht="24.75" customHeight="1">
      <c r="A127" s="537" t="s">
        <v>933</v>
      </c>
      <c r="B127" s="507" t="s">
        <v>988</v>
      </c>
      <c r="C127" s="199" t="s">
        <v>984</v>
      </c>
      <c r="D127" s="474">
        <f t="shared" si="23"/>
        <v>17448105.848448</v>
      </c>
      <c r="E127" s="58">
        <v>3352800</v>
      </c>
      <c r="F127" s="186">
        <f>E127*1.02</f>
        <v>3419856</v>
      </c>
      <c r="G127" s="186">
        <f>F127*1.02</f>
        <v>3488253.12</v>
      </c>
      <c r="H127" s="186">
        <f>G127*1.02</f>
        <v>3558018.1824000003</v>
      </c>
      <c r="I127" s="186">
        <f>H127*1.02</f>
        <v>3629178.5460480005</v>
      </c>
      <c r="J127" s="253">
        <f t="shared" si="24"/>
        <v>14095305.848448</v>
      </c>
      <c r="L127" s="543"/>
    </row>
    <row r="128" spans="1:12" s="198" customFormat="1" ht="24.75" customHeight="1">
      <c r="A128" s="537" t="s">
        <v>934</v>
      </c>
      <c r="B128" s="507" t="s">
        <v>989</v>
      </c>
      <c r="C128" s="199" t="s">
        <v>950</v>
      </c>
      <c r="D128" s="474">
        <f t="shared" si="23"/>
        <v>23181137.961200003</v>
      </c>
      <c r="E128" s="58">
        <v>3797012</v>
      </c>
      <c r="F128" s="186">
        <f t="shared" si="31"/>
        <v>4176713.2</v>
      </c>
      <c r="G128" s="186">
        <f t="shared" si="31"/>
        <v>4594384.5200000005</v>
      </c>
      <c r="H128" s="186">
        <f t="shared" si="31"/>
        <v>5053822.972000001</v>
      </c>
      <c r="I128" s="186">
        <f t="shared" si="31"/>
        <v>5559205.269200002</v>
      </c>
      <c r="J128" s="253">
        <f t="shared" si="24"/>
        <v>19384125.961200003</v>
      </c>
      <c r="L128" s="543"/>
    </row>
    <row r="129" spans="1:12" s="198" customFormat="1" ht="24.75" customHeight="1">
      <c r="A129" s="537" t="s">
        <v>935</v>
      </c>
      <c r="B129" s="507" t="s">
        <v>990</v>
      </c>
      <c r="C129" s="199" t="s">
        <v>991</v>
      </c>
      <c r="D129" s="474">
        <f t="shared" si="23"/>
        <v>3265764.5124000004</v>
      </c>
      <c r="E129" s="58">
        <v>534924</v>
      </c>
      <c r="F129" s="186">
        <f t="shared" si="31"/>
        <v>588416.4</v>
      </c>
      <c r="G129" s="186">
        <f t="shared" si="31"/>
        <v>647258.04</v>
      </c>
      <c r="H129" s="186">
        <f t="shared" si="31"/>
        <v>711983.844</v>
      </c>
      <c r="I129" s="186">
        <f t="shared" si="31"/>
        <v>783182.2284000001</v>
      </c>
      <c r="J129" s="253">
        <f t="shared" si="24"/>
        <v>2730840.5124000004</v>
      </c>
      <c r="L129" s="543"/>
    </row>
    <row r="130" spans="1:12" s="198" customFormat="1" ht="24.75" customHeight="1">
      <c r="A130" s="537" t="s">
        <v>936</v>
      </c>
      <c r="B130" s="507" t="s">
        <v>992</v>
      </c>
      <c r="C130" s="199" t="s">
        <v>984</v>
      </c>
      <c r="D130" s="474">
        <f t="shared" si="23"/>
        <v>6395727.180400001</v>
      </c>
      <c r="E130" s="58">
        <v>1047604</v>
      </c>
      <c r="F130" s="186">
        <f t="shared" si="31"/>
        <v>1152364.4000000001</v>
      </c>
      <c r="G130" s="186">
        <f t="shared" si="31"/>
        <v>1267600.8400000003</v>
      </c>
      <c r="H130" s="186">
        <f t="shared" si="31"/>
        <v>1394360.9240000003</v>
      </c>
      <c r="I130" s="186">
        <f t="shared" si="31"/>
        <v>1533797.0164000005</v>
      </c>
      <c r="J130" s="253">
        <f t="shared" si="24"/>
        <v>5348123.180400001</v>
      </c>
      <c r="L130" s="543"/>
    </row>
    <row r="131" spans="1:12" s="198" customFormat="1" ht="24.75" customHeight="1">
      <c r="A131" s="537" t="s">
        <v>993</v>
      </c>
      <c r="B131" s="507" t="s">
        <v>1170</v>
      </c>
      <c r="C131" s="199" t="s">
        <v>950</v>
      </c>
      <c r="D131" s="474">
        <f t="shared" si="23"/>
        <v>4476503.524000001</v>
      </c>
      <c r="E131" s="58">
        <v>733240</v>
      </c>
      <c r="F131" s="186">
        <f t="shared" si="31"/>
        <v>806564.0000000001</v>
      </c>
      <c r="G131" s="186">
        <f t="shared" si="31"/>
        <v>887220.4000000003</v>
      </c>
      <c r="H131" s="186">
        <f t="shared" si="31"/>
        <v>975942.4400000004</v>
      </c>
      <c r="I131" s="186">
        <f t="shared" si="31"/>
        <v>1073536.6840000006</v>
      </c>
      <c r="J131" s="253">
        <f t="shared" si="24"/>
        <v>3743263.524000001</v>
      </c>
      <c r="L131" s="543"/>
    </row>
    <row r="132" spans="1:12" s="198" customFormat="1" ht="24.75" customHeight="1">
      <c r="A132" s="537" t="s">
        <v>994</v>
      </c>
      <c r="B132" s="507" t="s">
        <v>995</v>
      </c>
      <c r="C132" s="199" t="s">
        <v>996</v>
      </c>
      <c r="D132" s="474">
        <f t="shared" si="23"/>
        <v>30525.500000000004</v>
      </c>
      <c r="E132" s="58">
        <v>5000</v>
      </c>
      <c r="F132" s="186">
        <f t="shared" si="31"/>
        <v>5500</v>
      </c>
      <c r="G132" s="186">
        <f t="shared" si="31"/>
        <v>6050.000000000001</v>
      </c>
      <c r="H132" s="186">
        <f t="shared" si="31"/>
        <v>6655.000000000002</v>
      </c>
      <c r="I132" s="186">
        <f t="shared" si="31"/>
        <v>7320.500000000003</v>
      </c>
      <c r="J132" s="253">
        <f t="shared" si="24"/>
        <v>25525.500000000004</v>
      </c>
      <c r="L132" s="543"/>
    </row>
    <row r="133" spans="1:12" s="198" customFormat="1" ht="24.75" customHeight="1">
      <c r="A133" s="537" t="s">
        <v>997</v>
      </c>
      <c r="B133" s="507" t="s">
        <v>998</v>
      </c>
      <c r="C133" s="199" t="s">
        <v>996</v>
      </c>
      <c r="D133" s="474">
        <f t="shared" si="23"/>
        <v>2282623.6288000005</v>
      </c>
      <c r="E133" s="58">
        <v>373888</v>
      </c>
      <c r="F133" s="186">
        <f t="shared" si="31"/>
        <v>411276.80000000005</v>
      </c>
      <c r="G133" s="186">
        <f t="shared" si="31"/>
        <v>452404.4800000001</v>
      </c>
      <c r="H133" s="186">
        <f t="shared" si="31"/>
        <v>497644.92800000013</v>
      </c>
      <c r="I133" s="186">
        <f t="shared" si="31"/>
        <v>547409.4208000002</v>
      </c>
      <c r="J133" s="253">
        <f t="shared" si="24"/>
        <v>1908735.6288000005</v>
      </c>
      <c r="L133" s="543"/>
    </row>
    <row r="134" spans="1:12" s="198" customFormat="1" ht="24.75" customHeight="1">
      <c r="A134" s="537" t="s">
        <v>999</v>
      </c>
      <c r="B134" s="507" t="s">
        <v>1000</v>
      </c>
      <c r="C134" s="199" t="s">
        <v>1001</v>
      </c>
      <c r="D134" s="474">
        <f t="shared" si="23"/>
        <v>304800</v>
      </c>
      <c r="E134" s="58">
        <v>304800</v>
      </c>
      <c r="F134" s="186"/>
      <c r="G134" s="186"/>
      <c r="H134" s="186"/>
      <c r="I134" s="186"/>
      <c r="J134" s="253">
        <f t="shared" si="24"/>
        <v>0</v>
      </c>
      <c r="L134" s="543"/>
    </row>
    <row r="135" spans="1:12" s="198" customFormat="1" ht="24.75" customHeight="1">
      <c r="A135" s="537" t="s">
        <v>1002</v>
      </c>
      <c r="B135" s="507" t="s">
        <v>1003</v>
      </c>
      <c r="C135" s="199" t="s">
        <v>978</v>
      </c>
      <c r="D135" s="474">
        <f t="shared" si="23"/>
        <v>9278201.3046</v>
      </c>
      <c r="E135" s="58">
        <v>1519746</v>
      </c>
      <c r="F135" s="186">
        <f aca="true" t="shared" si="32" ref="F135:I142">E135*1.1</f>
        <v>1671720.6</v>
      </c>
      <c r="G135" s="186">
        <f t="shared" si="32"/>
        <v>1838892.6600000001</v>
      </c>
      <c r="H135" s="186">
        <f t="shared" si="32"/>
        <v>2022781.9260000004</v>
      </c>
      <c r="I135" s="186">
        <f t="shared" si="32"/>
        <v>2225060.1186000006</v>
      </c>
      <c r="J135" s="253">
        <f t="shared" si="24"/>
        <v>7758455.304600001</v>
      </c>
      <c r="L135" s="543"/>
    </row>
    <row r="136" spans="1:12" s="198" customFormat="1" ht="24.75" customHeight="1">
      <c r="A136" s="537" t="s">
        <v>1004</v>
      </c>
      <c r="B136" s="507" t="s">
        <v>1005</v>
      </c>
      <c r="C136" s="199" t="s">
        <v>996</v>
      </c>
      <c r="D136" s="474">
        <f t="shared" si="23"/>
        <v>7831011.7700000005</v>
      </c>
      <c r="E136" s="58">
        <v>1282700</v>
      </c>
      <c r="F136" s="186">
        <f t="shared" si="32"/>
        <v>1410970</v>
      </c>
      <c r="G136" s="186">
        <f t="shared" si="32"/>
        <v>1552067.0000000002</v>
      </c>
      <c r="H136" s="186">
        <f t="shared" si="32"/>
        <v>1707273.7000000004</v>
      </c>
      <c r="I136" s="186">
        <f t="shared" si="32"/>
        <v>1878001.0700000005</v>
      </c>
      <c r="J136" s="253">
        <f t="shared" si="24"/>
        <v>6548311.7700000005</v>
      </c>
      <c r="L136" s="543"/>
    </row>
    <row r="137" spans="1:12" s="198" customFormat="1" ht="24.75" customHeight="1">
      <c r="A137" s="537" t="s">
        <v>1006</v>
      </c>
      <c r="B137" s="507" t="s">
        <v>1007</v>
      </c>
      <c r="C137" s="199" t="s">
        <v>1008</v>
      </c>
      <c r="D137" s="474">
        <f t="shared" si="23"/>
        <v>9441048.742000002</v>
      </c>
      <c r="E137" s="58">
        <v>1546420</v>
      </c>
      <c r="F137" s="186">
        <f t="shared" si="32"/>
        <v>1701062.0000000002</v>
      </c>
      <c r="G137" s="186">
        <f t="shared" si="32"/>
        <v>1871168.2000000004</v>
      </c>
      <c r="H137" s="186">
        <f t="shared" si="32"/>
        <v>2058285.0200000007</v>
      </c>
      <c r="I137" s="186">
        <f t="shared" si="32"/>
        <v>2264113.522000001</v>
      </c>
      <c r="J137" s="253">
        <f t="shared" si="24"/>
        <v>7894628.742000002</v>
      </c>
      <c r="L137" s="543"/>
    </row>
    <row r="138" spans="1:12" s="198" customFormat="1" ht="24.75" customHeight="1">
      <c r="A138" s="537" t="s">
        <v>1009</v>
      </c>
      <c r="B138" s="507" t="s">
        <v>1010</v>
      </c>
      <c r="C138" s="199" t="s">
        <v>1011</v>
      </c>
      <c r="D138" s="474">
        <f t="shared" si="23"/>
        <v>1190934.0672000002</v>
      </c>
      <c r="E138" s="58">
        <v>195072</v>
      </c>
      <c r="F138" s="186">
        <f t="shared" si="32"/>
        <v>214579.2</v>
      </c>
      <c r="G138" s="186">
        <f t="shared" si="32"/>
        <v>236037.12000000002</v>
      </c>
      <c r="H138" s="186">
        <f t="shared" si="32"/>
        <v>259640.83200000005</v>
      </c>
      <c r="I138" s="186">
        <f t="shared" si="32"/>
        <v>285604.9152000001</v>
      </c>
      <c r="J138" s="253">
        <f t="shared" si="24"/>
        <v>995862.0672000002</v>
      </c>
      <c r="L138" s="543"/>
    </row>
    <row r="139" spans="1:12" s="198" customFormat="1" ht="24.75" customHeight="1">
      <c r="A139" s="537" t="s">
        <v>1012</v>
      </c>
      <c r="B139" s="507" t="s">
        <v>1013</v>
      </c>
      <c r="C139" s="199" t="s">
        <v>980</v>
      </c>
      <c r="D139" s="474">
        <f t="shared" si="23"/>
        <v>620278.1600000001</v>
      </c>
      <c r="E139" s="58">
        <v>101600</v>
      </c>
      <c r="F139" s="186">
        <f t="shared" si="32"/>
        <v>111760.00000000001</v>
      </c>
      <c r="G139" s="186">
        <f t="shared" si="32"/>
        <v>122936.00000000003</v>
      </c>
      <c r="H139" s="186">
        <f t="shared" si="32"/>
        <v>135229.60000000003</v>
      </c>
      <c r="I139" s="186">
        <f t="shared" si="32"/>
        <v>148752.56000000006</v>
      </c>
      <c r="J139" s="253">
        <f t="shared" si="24"/>
        <v>518678.16000000015</v>
      </c>
      <c r="L139" s="543"/>
    </row>
    <row r="140" spans="1:12" s="198" customFormat="1" ht="24.75" customHeight="1">
      <c r="A140" s="537" t="s">
        <v>1014</v>
      </c>
      <c r="B140" s="507" t="s">
        <v>1015</v>
      </c>
      <c r="C140" s="199" t="s">
        <v>1016</v>
      </c>
      <c r="D140" s="474">
        <f t="shared" si="23"/>
        <v>5665868.580500001</v>
      </c>
      <c r="E140" s="58">
        <v>928055</v>
      </c>
      <c r="F140" s="186">
        <f t="shared" si="32"/>
        <v>1020860.5000000001</v>
      </c>
      <c r="G140" s="186">
        <f t="shared" si="32"/>
        <v>1122946.5500000003</v>
      </c>
      <c r="H140" s="186">
        <f t="shared" si="32"/>
        <v>1235241.2050000003</v>
      </c>
      <c r="I140" s="186">
        <f t="shared" si="32"/>
        <v>1358765.3255000005</v>
      </c>
      <c r="J140" s="253">
        <f t="shared" si="24"/>
        <v>4737813.580500001</v>
      </c>
      <c r="L140" s="543"/>
    </row>
    <row r="141" spans="1:12" s="198" customFormat="1" ht="24.75" customHeight="1">
      <c r="A141" s="537" t="s">
        <v>1017</v>
      </c>
      <c r="B141" s="507" t="s">
        <v>1018</v>
      </c>
      <c r="C141" s="199" t="s">
        <v>980</v>
      </c>
      <c r="D141" s="474">
        <f t="shared" si="23"/>
        <v>77534.77000000002</v>
      </c>
      <c r="E141" s="58">
        <v>12700</v>
      </c>
      <c r="F141" s="186">
        <f t="shared" si="32"/>
        <v>13970.000000000002</v>
      </c>
      <c r="G141" s="186">
        <f t="shared" si="32"/>
        <v>15367.000000000004</v>
      </c>
      <c r="H141" s="186">
        <f t="shared" si="32"/>
        <v>16903.700000000004</v>
      </c>
      <c r="I141" s="186">
        <f t="shared" si="32"/>
        <v>18594.070000000007</v>
      </c>
      <c r="J141" s="253">
        <f t="shared" si="24"/>
        <v>64834.77000000002</v>
      </c>
      <c r="L141" s="543"/>
    </row>
    <row r="142" spans="1:12" s="198" customFormat="1" ht="24.75" customHeight="1">
      <c r="A142" s="537" t="s">
        <v>1019</v>
      </c>
      <c r="B142" s="507" t="s">
        <v>1020</v>
      </c>
      <c r="C142" s="199" t="s">
        <v>1021</v>
      </c>
      <c r="D142" s="474">
        <f t="shared" si="23"/>
        <v>387673.85</v>
      </c>
      <c r="E142" s="58">
        <v>63500</v>
      </c>
      <c r="F142" s="186">
        <f t="shared" si="32"/>
        <v>69850</v>
      </c>
      <c r="G142" s="186">
        <f t="shared" si="32"/>
        <v>76835</v>
      </c>
      <c r="H142" s="186">
        <f t="shared" si="32"/>
        <v>84518.5</v>
      </c>
      <c r="I142" s="186">
        <f t="shared" si="32"/>
        <v>92970.35</v>
      </c>
      <c r="J142" s="253">
        <f t="shared" si="24"/>
        <v>324173.85</v>
      </c>
      <c r="L142" s="543"/>
    </row>
    <row r="143" spans="1:12" s="198" customFormat="1" ht="24.75" customHeight="1">
      <c r="A143" s="537" t="s">
        <v>1022</v>
      </c>
      <c r="B143" s="507" t="s">
        <v>1023</v>
      </c>
      <c r="C143" s="199" t="s">
        <v>1024</v>
      </c>
      <c r="D143" s="474">
        <f t="shared" si="23"/>
        <v>2549966.74699008</v>
      </c>
      <c r="E143" s="58">
        <v>470793</v>
      </c>
      <c r="F143" s="186">
        <f>E143*1.04</f>
        <v>489624.72000000003</v>
      </c>
      <c r="G143" s="186">
        <f>F143*1.04</f>
        <v>509209.7088</v>
      </c>
      <c r="H143" s="186">
        <f>G143*1.04</f>
        <v>529578.0971520001</v>
      </c>
      <c r="I143" s="186">
        <f>H143*1.04</f>
        <v>550761.22103808</v>
      </c>
      <c r="J143" s="253">
        <f t="shared" si="24"/>
        <v>2079173.7469900802</v>
      </c>
      <c r="L143" s="543"/>
    </row>
    <row r="144" spans="1:12" s="198" customFormat="1" ht="24.75" customHeight="1">
      <c r="A144" s="537" t="s">
        <v>1025</v>
      </c>
      <c r="B144" s="507" t="s">
        <v>1026</v>
      </c>
      <c r="C144" s="199" t="s">
        <v>963</v>
      </c>
      <c r="D144" s="474">
        <f t="shared" si="23"/>
        <v>5730988.61220864</v>
      </c>
      <c r="E144" s="58">
        <v>976884</v>
      </c>
      <c r="F144" s="186">
        <f>E144*1.08</f>
        <v>1055034.72</v>
      </c>
      <c r="G144" s="186">
        <f>F144*1.08</f>
        <v>1139437.4976000001</v>
      </c>
      <c r="H144" s="186">
        <f>G144*1.08</f>
        <v>1230592.4974080003</v>
      </c>
      <c r="I144" s="186">
        <f>H144*1.08</f>
        <v>1329039.8972006403</v>
      </c>
      <c r="J144" s="253">
        <f t="shared" si="24"/>
        <v>4754104.61220864</v>
      </c>
      <c r="L144" s="543"/>
    </row>
    <row r="145" spans="1:12" s="198" customFormat="1" ht="24.75" customHeight="1">
      <c r="A145" s="537" t="s">
        <v>1027</v>
      </c>
      <c r="B145" s="507" t="s">
        <v>1028</v>
      </c>
      <c r="C145" s="199" t="s">
        <v>1158</v>
      </c>
      <c r="D145" s="474">
        <f t="shared" si="23"/>
        <v>686603.5925</v>
      </c>
      <c r="E145" s="58">
        <v>128270</v>
      </c>
      <c r="F145" s="186">
        <v>129540</v>
      </c>
      <c r="G145" s="186">
        <f>F145*1.05</f>
        <v>136017</v>
      </c>
      <c r="H145" s="186">
        <f>G145*1.05</f>
        <v>142817.85</v>
      </c>
      <c r="I145" s="186">
        <f>H145*1.05</f>
        <v>149958.74250000002</v>
      </c>
      <c r="J145" s="253">
        <f t="shared" si="24"/>
        <v>558333.5925</v>
      </c>
      <c r="L145" s="543"/>
    </row>
    <row r="146" spans="1:12" s="198" customFormat="1" ht="24.75" customHeight="1">
      <c r="A146" s="537" t="s">
        <v>1029</v>
      </c>
      <c r="B146" s="507" t="s">
        <v>1030</v>
      </c>
      <c r="C146" s="199" t="s">
        <v>1031</v>
      </c>
      <c r="D146" s="474">
        <f t="shared" si="23"/>
        <v>4858648.51586048</v>
      </c>
      <c r="E146" s="58">
        <v>828188</v>
      </c>
      <c r="F146" s="186">
        <f>E146*1.08</f>
        <v>894443.04</v>
      </c>
      <c r="G146" s="186">
        <f aca="true" t="shared" si="33" ref="G146:I147">F146*1.08</f>
        <v>965998.4832000001</v>
      </c>
      <c r="H146" s="186">
        <f>G146*1.08</f>
        <v>1043278.3618560003</v>
      </c>
      <c r="I146" s="186">
        <f>H146*1.08</f>
        <v>1126740.6308044803</v>
      </c>
      <c r="J146" s="253">
        <f t="shared" si="24"/>
        <v>4030460.5158604803</v>
      </c>
      <c r="L146" s="543"/>
    </row>
    <row r="147" spans="1:12" s="198" customFormat="1" ht="28.5" customHeight="1" thickBot="1">
      <c r="A147" s="537" t="s">
        <v>1032</v>
      </c>
      <c r="B147" s="507" t="s">
        <v>1033</v>
      </c>
      <c r="C147" s="511" t="s">
        <v>1034</v>
      </c>
      <c r="D147" s="474">
        <f t="shared" si="23"/>
        <v>2376736.0469248</v>
      </c>
      <c r="E147" s="58">
        <v>405130</v>
      </c>
      <c r="F147" s="186">
        <f>E147*1.08</f>
        <v>437540.4</v>
      </c>
      <c r="G147" s="186">
        <f t="shared" si="33"/>
        <v>472543.63200000004</v>
      </c>
      <c r="H147" s="186">
        <f t="shared" si="33"/>
        <v>510347.1225600001</v>
      </c>
      <c r="I147" s="186">
        <f t="shared" si="33"/>
        <v>551174.8923648001</v>
      </c>
      <c r="J147" s="253">
        <f t="shared" si="24"/>
        <v>1971606.0469248001</v>
      </c>
      <c r="L147" s="543"/>
    </row>
    <row r="148" spans="1:10" ht="24.75" customHeight="1" thickBot="1">
      <c r="A148" s="303"/>
      <c r="B148" s="187" t="s">
        <v>81</v>
      </c>
      <c r="C148" s="188"/>
      <c r="D148" s="205">
        <f aca="true" t="shared" si="34" ref="D148:J148">SUM(D100:D147)</f>
        <v>1265503884.2445817</v>
      </c>
      <c r="E148" s="205">
        <f t="shared" si="34"/>
        <v>308664458</v>
      </c>
      <c r="F148" s="205">
        <f t="shared" si="34"/>
        <v>264264575.38</v>
      </c>
      <c r="G148" s="205">
        <f t="shared" si="34"/>
        <v>218776525.45740005</v>
      </c>
      <c r="H148" s="205">
        <f t="shared" si="34"/>
        <v>230621006.76851404</v>
      </c>
      <c r="I148" s="205">
        <f t="shared" si="34"/>
        <v>243177318.6386682</v>
      </c>
      <c r="J148" s="206">
        <f t="shared" si="34"/>
        <v>956839426.244582</v>
      </c>
    </row>
    <row r="149" spans="1:12" s="198" customFormat="1" ht="24.75" customHeight="1">
      <c r="A149" s="533"/>
      <c r="B149" s="517"/>
      <c r="C149" s="518"/>
      <c r="D149" s="534"/>
      <c r="E149" s="60"/>
      <c r="F149" s="214"/>
      <c r="G149" s="214"/>
      <c r="H149" s="214"/>
      <c r="I149" s="214"/>
      <c r="J149" s="519">
        <f>SUM(F149:I149)</f>
        <v>0</v>
      </c>
      <c r="L149" s="543"/>
    </row>
    <row r="150" spans="1:12" s="198" customFormat="1" ht="24.75" customHeight="1">
      <c r="A150" s="310" t="s">
        <v>1</v>
      </c>
      <c r="B150" s="248" t="s">
        <v>897</v>
      </c>
      <c r="C150" s="247" t="s">
        <v>1035</v>
      </c>
      <c r="D150" s="474">
        <f>E150+F150+G150+H150+I150</f>
        <v>3758025</v>
      </c>
      <c r="E150" s="250">
        <v>679025</v>
      </c>
      <c r="F150" s="250">
        <v>714000</v>
      </c>
      <c r="G150" s="250">
        <v>750000</v>
      </c>
      <c r="H150" s="250">
        <v>790000</v>
      </c>
      <c r="I150" s="250">
        <v>825000</v>
      </c>
      <c r="J150" s="251">
        <f>SUM(F150:I150)</f>
        <v>3079000</v>
      </c>
      <c r="L150" s="543"/>
    </row>
    <row r="151" spans="1:12" s="198" customFormat="1" ht="24.75" customHeight="1">
      <c r="A151" s="310" t="s">
        <v>2</v>
      </c>
      <c r="B151" s="248" t="s">
        <v>1036</v>
      </c>
      <c r="C151" s="247" t="s">
        <v>1037</v>
      </c>
      <c r="D151" s="474">
        <f>E151+F151+G151+H151+I151</f>
        <v>273120</v>
      </c>
      <c r="E151" s="250">
        <v>51120</v>
      </c>
      <c r="F151" s="250">
        <v>54000</v>
      </c>
      <c r="G151" s="250">
        <v>55000</v>
      </c>
      <c r="H151" s="250">
        <v>56000</v>
      </c>
      <c r="I151" s="250">
        <v>57000</v>
      </c>
      <c r="J151" s="251">
        <f>SUM(F151:I151)</f>
        <v>222000</v>
      </c>
      <c r="L151" s="543"/>
    </row>
    <row r="152" spans="1:12" s="198" customFormat="1" ht="24.75" customHeight="1" thickBot="1">
      <c r="A152" s="310" t="s">
        <v>3</v>
      </c>
      <c r="B152" s="248" t="s">
        <v>895</v>
      </c>
      <c r="C152" s="247" t="s">
        <v>1038</v>
      </c>
      <c r="D152" s="474">
        <f>E152+F152+G152+H152+I152</f>
        <v>1760576</v>
      </c>
      <c r="E152" s="250">
        <v>330576</v>
      </c>
      <c r="F152" s="250">
        <v>350000</v>
      </c>
      <c r="G152" s="250">
        <v>355000</v>
      </c>
      <c r="H152" s="250">
        <v>360000</v>
      </c>
      <c r="I152" s="250">
        <v>365000</v>
      </c>
      <c r="J152" s="251">
        <f>SUM(F152:I152)</f>
        <v>1430000</v>
      </c>
      <c r="L152" s="543"/>
    </row>
    <row r="153" spans="1:10" ht="24.75" customHeight="1" thickBot="1">
      <c r="A153" s="304"/>
      <c r="B153" s="187" t="s">
        <v>83</v>
      </c>
      <c r="C153" s="188"/>
      <c r="D153" s="205">
        <f aca="true" t="shared" si="35" ref="D153:J153">SUM(D150:D152)</f>
        <v>5791721</v>
      </c>
      <c r="E153" s="205">
        <f t="shared" si="35"/>
        <v>1060721</v>
      </c>
      <c r="F153" s="205">
        <f t="shared" si="35"/>
        <v>1118000</v>
      </c>
      <c r="G153" s="205">
        <f t="shared" si="35"/>
        <v>1160000</v>
      </c>
      <c r="H153" s="205">
        <f t="shared" si="35"/>
        <v>1206000</v>
      </c>
      <c r="I153" s="205">
        <f t="shared" si="35"/>
        <v>1247000</v>
      </c>
      <c r="J153" s="206">
        <f t="shared" si="35"/>
        <v>4731000</v>
      </c>
    </row>
    <row r="154" spans="1:12" s="198" customFormat="1" ht="24.75" customHeight="1">
      <c r="A154" s="530"/>
      <c r="B154" s="514"/>
      <c r="C154" s="520"/>
      <c r="D154" s="535"/>
      <c r="E154" s="532"/>
      <c r="F154" s="521"/>
      <c r="G154" s="521"/>
      <c r="H154" s="521"/>
      <c r="I154" s="521"/>
      <c r="J154" s="519">
        <f>SUM(F154:I154)</f>
        <v>0</v>
      </c>
      <c r="L154" s="543"/>
    </row>
    <row r="155" spans="1:12" s="198" customFormat="1" ht="24.75" customHeight="1">
      <c r="A155" s="310" t="s">
        <v>1</v>
      </c>
      <c r="B155" s="248" t="s">
        <v>1036</v>
      </c>
      <c r="C155" s="247" t="s">
        <v>1037</v>
      </c>
      <c r="D155" s="474">
        <f>E155+F155+G155+H155+I155</f>
        <v>282476</v>
      </c>
      <c r="E155" s="58">
        <v>51120</v>
      </c>
      <c r="F155" s="58">
        <v>53676</v>
      </c>
      <c r="G155" s="58">
        <v>56360</v>
      </c>
      <c r="H155" s="58">
        <v>59180</v>
      </c>
      <c r="I155" s="58">
        <v>62140</v>
      </c>
      <c r="J155" s="253">
        <f>SUM(F155:I155)</f>
        <v>231356</v>
      </c>
      <c r="L155" s="543"/>
    </row>
    <row r="156" spans="1:12" s="198" customFormat="1" ht="24.75" customHeight="1">
      <c r="A156" s="310" t="s">
        <v>2</v>
      </c>
      <c r="B156" s="248" t="s">
        <v>1039</v>
      </c>
      <c r="C156" s="247" t="s">
        <v>1040</v>
      </c>
      <c r="D156" s="474">
        <f>E156+F156+G156+H156+I156</f>
        <v>3660000</v>
      </c>
      <c r="E156" s="58">
        <v>720000</v>
      </c>
      <c r="F156" s="58">
        <v>726000</v>
      </c>
      <c r="G156" s="58">
        <v>732000</v>
      </c>
      <c r="H156" s="58">
        <v>738000</v>
      </c>
      <c r="I156" s="58">
        <v>744000</v>
      </c>
      <c r="J156" s="253">
        <f>SUM(F156:I156)</f>
        <v>2940000</v>
      </c>
      <c r="L156" s="543"/>
    </row>
    <row r="157" spans="1:12" s="198" customFormat="1" ht="24.75" customHeight="1">
      <c r="A157" s="310" t="s">
        <v>3</v>
      </c>
      <c r="B157" s="248" t="s">
        <v>1041</v>
      </c>
      <c r="C157" s="247" t="s">
        <v>1038</v>
      </c>
      <c r="D157" s="474">
        <f>E157+F157+G157+H157+I157</f>
        <v>2335391</v>
      </c>
      <c r="E157" s="58">
        <v>422646</v>
      </c>
      <c r="F157" s="58">
        <v>443780</v>
      </c>
      <c r="G157" s="58">
        <v>465970</v>
      </c>
      <c r="H157" s="58">
        <v>489265</v>
      </c>
      <c r="I157" s="58">
        <v>513730</v>
      </c>
      <c r="J157" s="253">
        <f>SUM(F157:I157)</f>
        <v>1912745</v>
      </c>
      <c r="L157" s="543"/>
    </row>
    <row r="158" spans="1:12" s="198" customFormat="1" ht="24.75" customHeight="1" thickBot="1">
      <c r="A158" s="310" t="s">
        <v>4</v>
      </c>
      <c r="B158" s="248" t="s">
        <v>897</v>
      </c>
      <c r="C158" s="247" t="s">
        <v>1035</v>
      </c>
      <c r="D158" s="474">
        <f>E158+F158+G158+H158+I158</f>
        <v>336027</v>
      </c>
      <c r="E158" s="58">
        <v>60812</v>
      </c>
      <c r="F158" s="58">
        <v>63850</v>
      </c>
      <c r="G158" s="58">
        <v>67045</v>
      </c>
      <c r="H158" s="58">
        <v>70400</v>
      </c>
      <c r="I158" s="58">
        <v>73920</v>
      </c>
      <c r="J158" s="253">
        <f>SUM(F158:I158)</f>
        <v>275215</v>
      </c>
      <c r="L158" s="543"/>
    </row>
    <row r="159" spans="1:10" ht="24.75" customHeight="1" thickBot="1">
      <c r="A159" s="304"/>
      <c r="B159" s="187" t="s">
        <v>82</v>
      </c>
      <c r="C159" s="188"/>
      <c r="D159" s="205">
        <f>SUM(D155:D158)</f>
        <v>6613894</v>
      </c>
      <c r="E159" s="205">
        <f aca="true" t="shared" si="36" ref="E159:J159">SUM(E155:E158)</f>
        <v>1254578</v>
      </c>
      <c r="F159" s="205">
        <f t="shared" si="36"/>
        <v>1287306</v>
      </c>
      <c r="G159" s="205">
        <f t="shared" si="36"/>
        <v>1321375</v>
      </c>
      <c r="H159" s="205">
        <f t="shared" si="36"/>
        <v>1356845</v>
      </c>
      <c r="I159" s="205">
        <f t="shared" si="36"/>
        <v>1393790</v>
      </c>
      <c r="J159" s="206">
        <f t="shared" si="36"/>
        <v>5359316</v>
      </c>
    </row>
    <row r="160" spans="1:12" s="198" customFormat="1" ht="24.75" customHeight="1">
      <c r="A160" s="522"/>
      <c r="B160" s="523"/>
      <c r="C160" s="515"/>
      <c r="D160" s="521"/>
      <c r="E160" s="521"/>
      <c r="F160" s="521"/>
      <c r="G160" s="521"/>
      <c r="H160" s="521"/>
      <c r="I160" s="521"/>
      <c r="J160" s="265">
        <f>SUM(F160:I160)</f>
        <v>0</v>
      </c>
      <c r="L160" s="543"/>
    </row>
    <row r="161" spans="1:12" s="198" customFormat="1" ht="24.75" customHeight="1">
      <c r="A161" s="310" t="s">
        <v>1</v>
      </c>
      <c r="B161" s="248" t="s">
        <v>1042</v>
      </c>
      <c r="C161" s="247" t="s">
        <v>1038</v>
      </c>
      <c r="D161" s="474">
        <f aca="true" t="shared" si="37" ref="D161:D170">E161+F161+G161+H161+I161</f>
        <v>619639</v>
      </c>
      <c r="E161" s="250">
        <v>109846</v>
      </c>
      <c r="F161" s="250">
        <v>109846</v>
      </c>
      <c r="G161" s="250">
        <v>120830</v>
      </c>
      <c r="H161" s="250">
        <v>132913</v>
      </c>
      <c r="I161" s="250">
        <v>146204</v>
      </c>
      <c r="J161" s="253">
        <f>SUM(F161:I161)</f>
        <v>509793</v>
      </c>
      <c r="L161" s="543"/>
    </row>
    <row r="162" spans="1:12" s="198" customFormat="1" ht="24.75" customHeight="1">
      <c r="A162" s="310" t="s">
        <v>2</v>
      </c>
      <c r="B162" s="248" t="s">
        <v>1159</v>
      </c>
      <c r="C162" s="247" t="s">
        <v>1038</v>
      </c>
      <c r="D162" s="474">
        <f t="shared" si="37"/>
        <v>248204</v>
      </c>
      <c r="E162" s="250">
        <v>44000</v>
      </c>
      <c r="F162" s="250">
        <v>44000</v>
      </c>
      <c r="G162" s="250">
        <v>48400</v>
      </c>
      <c r="H162" s="250">
        <v>53240</v>
      </c>
      <c r="I162" s="250">
        <v>58564</v>
      </c>
      <c r="J162" s="253">
        <f aca="true" t="shared" si="38" ref="J162:J170">SUM(F162:I162)</f>
        <v>204204</v>
      </c>
      <c r="L162" s="543"/>
    </row>
    <row r="163" spans="1:12" s="198" customFormat="1" ht="24.75" customHeight="1">
      <c r="A163" s="310" t="s">
        <v>3</v>
      </c>
      <c r="B163" s="248" t="s">
        <v>1161</v>
      </c>
      <c r="C163" s="247" t="s">
        <v>1037</v>
      </c>
      <c r="D163" s="474">
        <f t="shared" si="37"/>
        <v>2294293</v>
      </c>
      <c r="E163" s="250">
        <v>349250</v>
      </c>
      <c r="F163" s="250">
        <v>419100</v>
      </c>
      <c r="G163" s="250">
        <v>461010</v>
      </c>
      <c r="H163" s="250">
        <v>507111</v>
      </c>
      <c r="I163" s="250">
        <v>557822</v>
      </c>
      <c r="J163" s="253">
        <f t="shared" si="38"/>
        <v>1945043</v>
      </c>
      <c r="L163" s="543"/>
    </row>
    <row r="164" spans="1:12" s="198" customFormat="1" ht="24.75" customHeight="1">
      <c r="A164" s="310" t="s">
        <v>4</v>
      </c>
      <c r="B164" s="248" t="s">
        <v>1160</v>
      </c>
      <c r="C164" s="247" t="s">
        <v>1021</v>
      </c>
      <c r="D164" s="474">
        <f t="shared" si="37"/>
        <v>3352591</v>
      </c>
      <c r="E164" s="250">
        <v>594326</v>
      </c>
      <c r="F164" s="250">
        <v>594326</v>
      </c>
      <c r="G164" s="250">
        <v>653758</v>
      </c>
      <c r="H164" s="250">
        <v>719134</v>
      </c>
      <c r="I164" s="250">
        <v>791047</v>
      </c>
      <c r="J164" s="253">
        <f t="shared" si="38"/>
        <v>2758265</v>
      </c>
      <c r="L164" s="543"/>
    </row>
    <row r="165" spans="1:12" s="198" customFormat="1" ht="24.75" customHeight="1">
      <c r="A165" s="310" t="s">
        <v>5</v>
      </c>
      <c r="B165" s="248" t="s">
        <v>897</v>
      </c>
      <c r="C165" s="247" t="s">
        <v>1043</v>
      </c>
      <c r="D165" s="474">
        <f t="shared" si="37"/>
        <v>1865998</v>
      </c>
      <c r="E165" s="250">
        <v>166000</v>
      </c>
      <c r="F165" s="250">
        <v>366300</v>
      </c>
      <c r="G165" s="250">
        <v>402930</v>
      </c>
      <c r="H165" s="250">
        <v>443223</v>
      </c>
      <c r="I165" s="250">
        <v>487545</v>
      </c>
      <c r="J165" s="253">
        <f t="shared" si="38"/>
        <v>1699998</v>
      </c>
      <c r="L165" s="543"/>
    </row>
    <row r="166" spans="1:12" s="198" customFormat="1" ht="24.75" customHeight="1">
      <c r="A166" s="310" t="s">
        <v>6</v>
      </c>
      <c r="B166" s="248" t="s">
        <v>1036</v>
      </c>
      <c r="C166" s="247" t="s">
        <v>1035</v>
      </c>
      <c r="D166" s="474">
        <f t="shared" si="37"/>
        <v>639372</v>
      </c>
      <c r="E166" s="497">
        <v>113344</v>
      </c>
      <c r="F166" s="250">
        <v>113344</v>
      </c>
      <c r="G166" s="250">
        <v>124678</v>
      </c>
      <c r="H166" s="250">
        <v>137146</v>
      </c>
      <c r="I166" s="250">
        <v>150860</v>
      </c>
      <c r="J166" s="253">
        <f t="shared" si="38"/>
        <v>526028</v>
      </c>
      <c r="L166" s="543"/>
    </row>
    <row r="167" spans="1:12" s="198" customFormat="1" ht="24.75" customHeight="1">
      <c r="A167" s="310" t="s">
        <v>7</v>
      </c>
      <c r="B167" s="248" t="s">
        <v>1044</v>
      </c>
      <c r="C167" s="247" t="s">
        <v>1037</v>
      </c>
      <c r="D167" s="474">
        <f t="shared" si="37"/>
        <v>2615935</v>
      </c>
      <c r="E167" s="497">
        <v>351575</v>
      </c>
      <c r="F167" s="250">
        <v>487904</v>
      </c>
      <c r="G167" s="250">
        <v>536694</v>
      </c>
      <c r="H167" s="250">
        <v>590363</v>
      </c>
      <c r="I167" s="250">
        <v>649399</v>
      </c>
      <c r="J167" s="253">
        <f t="shared" si="38"/>
        <v>2264360</v>
      </c>
      <c r="L167" s="543"/>
    </row>
    <row r="168" spans="1:12" s="198" customFormat="1" ht="24.75" customHeight="1">
      <c r="A168" s="310" t="s">
        <v>8</v>
      </c>
      <c r="B168" s="248" t="s">
        <v>1045</v>
      </c>
      <c r="C168" s="247" t="s">
        <v>1046</v>
      </c>
      <c r="D168" s="474">
        <f>E168+F168+G168+H168+I168</f>
        <v>12515630</v>
      </c>
      <c r="E168" s="497">
        <v>2218690</v>
      </c>
      <c r="F168" s="250">
        <v>2218690</v>
      </c>
      <c r="G168" s="250">
        <v>2440559</v>
      </c>
      <c r="H168" s="250">
        <v>2684615</v>
      </c>
      <c r="I168" s="250">
        <v>2953076</v>
      </c>
      <c r="J168" s="253">
        <f t="shared" si="38"/>
        <v>10296940</v>
      </c>
      <c r="L168" s="543"/>
    </row>
    <row r="169" spans="1:12" s="198" customFormat="1" ht="24.75" customHeight="1">
      <c r="A169" s="310" t="s">
        <v>9</v>
      </c>
      <c r="B169" s="248" t="s">
        <v>1047</v>
      </c>
      <c r="C169" s="247" t="s">
        <v>1021</v>
      </c>
      <c r="D169" s="474">
        <f t="shared" si="37"/>
        <v>859688</v>
      </c>
      <c r="E169" s="497">
        <v>152400</v>
      </c>
      <c r="F169" s="250">
        <v>152400</v>
      </c>
      <c r="G169" s="250">
        <v>167640</v>
      </c>
      <c r="H169" s="250">
        <v>184404</v>
      </c>
      <c r="I169" s="250">
        <v>202844</v>
      </c>
      <c r="J169" s="253">
        <f t="shared" si="38"/>
        <v>707288</v>
      </c>
      <c r="L169" s="543"/>
    </row>
    <row r="170" spans="1:12" s="198" customFormat="1" ht="24.75" customHeight="1" thickBot="1">
      <c r="A170" s="310" t="s">
        <v>10</v>
      </c>
      <c r="B170" s="536" t="s">
        <v>1049</v>
      </c>
      <c r="C170" s="548" t="s">
        <v>1048</v>
      </c>
      <c r="D170" s="474">
        <f t="shared" si="37"/>
        <v>2203986</v>
      </c>
      <c r="E170" s="497">
        <v>57420</v>
      </c>
      <c r="F170" s="250">
        <v>57420</v>
      </c>
      <c r="G170" s="250">
        <v>631162</v>
      </c>
      <c r="H170" s="250">
        <v>694278</v>
      </c>
      <c r="I170" s="250">
        <v>763706</v>
      </c>
      <c r="J170" s="253">
        <f t="shared" si="38"/>
        <v>2146566</v>
      </c>
      <c r="L170" s="543"/>
    </row>
    <row r="171" spans="1:10" ht="24.75" customHeight="1" thickBot="1">
      <c r="A171" s="304"/>
      <c r="B171" s="187" t="s">
        <v>676</v>
      </c>
      <c r="C171" s="188"/>
      <c r="D171" s="205">
        <f aca="true" t="shared" si="39" ref="D171:J171">SUM(D160:D170)</f>
        <v>27215336</v>
      </c>
      <c r="E171" s="205">
        <f t="shared" si="39"/>
        <v>4156851</v>
      </c>
      <c r="F171" s="205">
        <f t="shared" si="39"/>
        <v>4563330</v>
      </c>
      <c r="G171" s="205">
        <f t="shared" si="39"/>
        <v>5587661</v>
      </c>
      <c r="H171" s="205">
        <f t="shared" si="39"/>
        <v>6146427</v>
      </c>
      <c r="I171" s="205">
        <f t="shared" si="39"/>
        <v>6761067</v>
      </c>
      <c r="J171" s="206">
        <f t="shared" si="39"/>
        <v>23058485</v>
      </c>
    </row>
    <row r="172" spans="1:10" ht="24.75" customHeight="1">
      <c r="A172" s="526"/>
      <c r="B172" s="523"/>
      <c r="C172" s="527"/>
      <c r="D172" s="528"/>
      <c r="E172" s="529"/>
      <c r="F172" s="529"/>
      <c r="G172" s="529"/>
      <c r="H172" s="529"/>
      <c r="I172" s="529"/>
      <c r="J172" s="266">
        <f>F172+G172+H172+I172</f>
        <v>0</v>
      </c>
    </row>
    <row r="173" spans="1:12" ht="24.75" customHeight="1">
      <c r="A173" s="537" t="s">
        <v>1</v>
      </c>
      <c r="B173" s="186" t="s">
        <v>1053</v>
      </c>
      <c r="C173" s="200" t="s">
        <v>1054</v>
      </c>
      <c r="D173" s="474">
        <f aca="true" t="shared" si="40" ref="D173:D236">E173+F173+G173+H173+I173</f>
        <v>30155430</v>
      </c>
      <c r="E173" s="58">
        <v>6031086</v>
      </c>
      <c r="F173" s="58">
        <v>6031086</v>
      </c>
      <c r="G173" s="58">
        <v>6031086</v>
      </c>
      <c r="H173" s="58">
        <v>6031086</v>
      </c>
      <c r="I173" s="58">
        <v>6031086</v>
      </c>
      <c r="J173" s="267">
        <f>F173+G173+H173+I173</f>
        <v>24124344</v>
      </c>
      <c r="L173" s="547"/>
    </row>
    <row r="174" spans="1:12" ht="24.75" customHeight="1">
      <c r="A174" s="537" t="s">
        <v>2</v>
      </c>
      <c r="B174" s="186" t="s">
        <v>1055</v>
      </c>
      <c r="C174" s="200" t="s">
        <v>1056</v>
      </c>
      <c r="D174" s="474">
        <f t="shared" si="40"/>
        <v>17421130</v>
      </c>
      <c r="E174" s="58">
        <v>3484226</v>
      </c>
      <c r="F174" s="58">
        <v>3484226</v>
      </c>
      <c r="G174" s="58">
        <v>3484226</v>
      </c>
      <c r="H174" s="58">
        <v>3484226</v>
      </c>
      <c r="I174" s="58">
        <v>3484226</v>
      </c>
      <c r="J174" s="267">
        <f aca="true" t="shared" si="41" ref="J174:J237">F174+G174+H174+I174</f>
        <v>13936904</v>
      </c>
      <c r="L174" s="547"/>
    </row>
    <row r="175" spans="1:12" ht="24.75" customHeight="1">
      <c r="A175" s="537" t="s">
        <v>3</v>
      </c>
      <c r="B175" s="186" t="s">
        <v>1057</v>
      </c>
      <c r="C175" s="200" t="s">
        <v>1058</v>
      </c>
      <c r="D175" s="474">
        <f t="shared" si="40"/>
        <v>4396740</v>
      </c>
      <c r="E175" s="58">
        <v>879348</v>
      </c>
      <c r="F175" s="58">
        <v>879348</v>
      </c>
      <c r="G175" s="58">
        <v>879348</v>
      </c>
      <c r="H175" s="58">
        <v>879348</v>
      </c>
      <c r="I175" s="58">
        <v>879348</v>
      </c>
      <c r="J175" s="267">
        <f t="shared" si="41"/>
        <v>3517392</v>
      </c>
      <c r="L175" s="547"/>
    </row>
    <row r="176" spans="1:12" ht="24.75" customHeight="1">
      <c r="A176" s="537" t="s">
        <v>4</v>
      </c>
      <c r="B176" s="186" t="s">
        <v>1059</v>
      </c>
      <c r="C176" s="200" t="s">
        <v>1058</v>
      </c>
      <c r="D176" s="474">
        <f t="shared" si="40"/>
        <v>12095400</v>
      </c>
      <c r="E176" s="58">
        <v>2419080</v>
      </c>
      <c r="F176" s="58">
        <v>2419080</v>
      </c>
      <c r="G176" s="58">
        <v>2419080</v>
      </c>
      <c r="H176" s="58">
        <v>2419080</v>
      </c>
      <c r="I176" s="58">
        <v>2419080</v>
      </c>
      <c r="J176" s="267">
        <f t="shared" si="41"/>
        <v>9676320</v>
      </c>
      <c r="L176" s="547"/>
    </row>
    <row r="177" spans="1:12" ht="24.75" customHeight="1">
      <c r="A177" s="537" t="s">
        <v>5</v>
      </c>
      <c r="B177" s="186" t="s">
        <v>1060</v>
      </c>
      <c r="C177" s="200" t="s">
        <v>1061</v>
      </c>
      <c r="D177" s="474">
        <f t="shared" si="40"/>
        <v>4831410</v>
      </c>
      <c r="E177" s="58">
        <v>966282</v>
      </c>
      <c r="F177" s="58">
        <v>966282</v>
      </c>
      <c r="G177" s="58">
        <v>966282</v>
      </c>
      <c r="H177" s="58">
        <v>966282</v>
      </c>
      <c r="I177" s="58">
        <v>966282</v>
      </c>
      <c r="J177" s="267">
        <f t="shared" si="41"/>
        <v>3865128</v>
      </c>
      <c r="L177" s="547"/>
    </row>
    <row r="178" spans="1:12" ht="24.75" customHeight="1">
      <c r="A178" s="537" t="s">
        <v>6</v>
      </c>
      <c r="B178" s="186" t="s">
        <v>1162</v>
      </c>
      <c r="C178" s="200" t="s">
        <v>1062</v>
      </c>
      <c r="D178" s="474">
        <f t="shared" si="40"/>
        <v>17010960</v>
      </c>
      <c r="E178" s="58">
        <v>3402192</v>
      </c>
      <c r="F178" s="58">
        <v>3402192</v>
      </c>
      <c r="G178" s="58">
        <v>3402192</v>
      </c>
      <c r="H178" s="58">
        <v>3402192</v>
      </c>
      <c r="I178" s="58">
        <v>3402192</v>
      </c>
      <c r="J178" s="267">
        <f t="shared" si="41"/>
        <v>13608768</v>
      </c>
      <c r="L178" s="547"/>
    </row>
    <row r="179" spans="1:12" ht="24.75" customHeight="1">
      <c r="A179" s="537" t="s">
        <v>7</v>
      </c>
      <c r="B179" s="186" t="s">
        <v>1063</v>
      </c>
      <c r="C179" s="200" t="s">
        <v>1064</v>
      </c>
      <c r="D179" s="474">
        <f t="shared" si="40"/>
        <v>1881600</v>
      </c>
      <c r="E179" s="58">
        <v>376320</v>
      </c>
      <c r="F179" s="58">
        <v>376320</v>
      </c>
      <c r="G179" s="58">
        <v>376320</v>
      </c>
      <c r="H179" s="58">
        <v>376320</v>
      </c>
      <c r="I179" s="58">
        <v>376320</v>
      </c>
      <c r="J179" s="267">
        <f t="shared" si="41"/>
        <v>1505280</v>
      </c>
      <c r="L179" s="547"/>
    </row>
    <row r="180" spans="1:12" ht="24.75" customHeight="1">
      <c r="A180" s="537" t="s">
        <v>8</v>
      </c>
      <c r="B180" s="186" t="s">
        <v>1065</v>
      </c>
      <c r="C180" s="200" t="s">
        <v>901</v>
      </c>
      <c r="D180" s="474">
        <f t="shared" si="40"/>
        <v>17188080</v>
      </c>
      <c r="E180" s="58">
        <v>3437616</v>
      </c>
      <c r="F180" s="58">
        <v>3437616</v>
      </c>
      <c r="G180" s="58">
        <v>3437616</v>
      </c>
      <c r="H180" s="58">
        <v>3437616</v>
      </c>
      <c r="I180" s="58">
        <v>3437616</v>
      </c>
      <c r="J180" s="267">
        <f t="shared" si="41"/>
        <v>13750464</v>
      </c>
      <c r="L180" s="547"/>
    </row>
    <row r="181" spans="1:12" ht="24.75" customHeight="1">
      <c r="A181" s="537" t="s">
        <v>9</v>
      </c>
      <c r="B181" s="186" t="s">
        <v>1066</v>
      </c>
      <c r="C181" s="200" t="s">
        <v>901</v>
      </c>
      <c r="D181" s="474">
        <f t="shared" si="40"/>
        <v>54361290</v>
      </c>
      <c r="E181" s="58">
        <v>10872258</v>
      </c>
      <c r="F181" s="58">
        <v>10872258</v>
      </c>
      <c r="G181" s="58">
        <v>10872258</v>
      </c>
      <c r="H181" s="58">
        <v>10872258</v>
      </c>
      <c r="I181" s="58">
        <v>10872258</v>
      </c>
      <c r="J181" s="267">
        <f t="shared" si="41"/>
        <v>43489032</v>
      </c>
      <c r="L181" s="547"/>
    </row>
    <row r="182" spans="1:12" ht="24.75" customHeight="1">
      <c r="A182" s="537" t="s">
        <v>10</v>
      </c>
      <c r="B182" s="186" t="s">
        <v>1067</v>
      </c>
      <c r="C182" s="200" t="s">
        <v>1068</v>
      </c>
      <c r="D182" s="474">
        <f t="shared" si="40"/>
        <v>23780505</v>
      </c>
      <c r="E182" s="58">
        <v>4756101</v>
      </c>
      <c r="F182" s="58">
        <v>4756101</v>
      </c>
      <c r="G182" s="58">
        <v>4756101</v>
      </c>
      <c r="H182" s="58">
        <v>4756101</v>
      </c>
      <c r="I182" s="58">
        <v>4756101</v>
      </c>
      <c r="J182" s="267">
        <f t="shared" si="41"/>
        <v>19024404</v>
      </c>
      <c r="L182" s="547"/>
    </row>
    <row r="183" spans="1:12" ht="24.75" customHeight="1">
      <c r="A183" s="537" t="s">
        <v>11</v>
      </c>
      <c r="B183" s="186" t="s">
        <v>1069</v>
      </c>
      <c r="C183" s="200" t="s">
        <v>1068</v>
      </c>
      <c r="D183" s="474">
        <f t="shared" si="40"/>
        <v>8152830</v>
      </c>
      <c r="E183" s="58">
        <v>1630566</v>
      </c>
      <c r="F183" s="58">
        <v>1630566</v>
      </c>
      <c r="G183" s="58">
        <v>1630566</v>
      </c>
      <c r="H183" s="58">
        <v>1630566</v>
      </c>
      <c r="I183" s="58">
        <v>1630566</v>
      </c>
      <c r="J183" s="267">
        <f t="shared" si="41"/>
        <v>6522264</v>
      </c>
      <c r="L183" s="547"/>
    </row>
    <row r="184" spans="1:12" ht="24.75" customHeight="1">
      <c r="A184" s="537" t="s">
        <v>12</v>
      </c>
      <c r="B184" s="186" t="s">
        <v>1070</v>
      </c>
      <c r="C184" s="200" t="s">
        <v>1068</v>
      </c>
      <c r="D184" s="474">
        <f t="shared" si="40"/>
        <v>19530515</v>
      </c>
      <c r="E184" s="58">
        <v>3906103</v>
      </c>
      <c r="F184" s="58">
        <v>3906103</v>
      </c>
      <c r="G184" s="58">
        <v>3906103</v>
      </c>
      <c r="H184" s="58">
        <v>3906103</v>
      </c>
      <c r="I184" s="58">
        <v>3906103</v>
      </c>
      <c r="J184" s="267">
        <f t="shared" si="41"/>
        <v>15624412</v>
      </c>
      <c r="L184" s="547"/>
    </row>
    <row r="185" spans="1:12" ht="24.75" customHeight="1">
      <c r="A185" s="537" t="s">
        <v>13</v>
      </c>
      <c r="B185" s="186" t="s">
        <v>1071</v>
      </c>
      <c r="C185" s="200" t="s">
        <v>1068</v>
      </c>
      <c r="D185" s="474">
        <f t="shared" si="40"/>
        <v>5747670</v>
      </c>
      <c r="E185" s="58">
        <v>1149534</v>
      </c>
      <c r="F185" s="58">
        <v>1149534</v>
      </c>
      <c r="G185" s="58">
        <v>1149534</v>
      </c>
      <c r="H185" s="58">
        <v>1149534</v>
      </c>
      <c r="I185" s="58">
        <v>1149534</v>
      </c>
      <c r="J185" s="267">
        <f t="shared" si="41"/>
        <v>4598136</v>
      </c>
      <c r="L185" s="547"/>
    </row>
    <row r="186" spans="1:12" ht="24.75" customHeight="1">
      <c r="A186" s="537" t="s">
        <v>14</v>
      </c>
      <c r="B186" s="186" t="s">
        <v>1072</v>
      </c>
      <c r="C186" s="200" t="s">
        <v>1068</v>
      </c>
      <c r="D186" s="474">
        <f t="shared" si="40"/>
        <v>9144000</v>
      </c>
      <c r="E186" s="58">
        <v>1828800</v>
      </c>
      <c r="F186" s="58">
        <v>1828800</v>
      </c>
      <c r="G186" s="58">
        <v>1828800</v>
      </c>
      <c r="H186" s="58">
        <v>1828800</v>
      </c>
      <c r="I186" s="58">
        <v>1828800</v>
      </c>
      <c r="J186" s="267">
        <f t="shared" si="41"/>
        <v>7315200</v>
      </c>
      <c r="L186" s="547"/>
    </row>
    <row r="187" spans="1:12" ht="24.75" customHeight="1">
      <c r="A187" s="537" t="s">
        <v>15</v>
      </c>
      <c r="B187" s="186" t="s">
        <v>1073</v>
      </c>
      <c r="C187" s="200" t="s">
        <v>1068</v>
      </c>
      <c r="D187" s="474">
        <f t="shared" si="40"/>
        <v>11430000</v>
      </c>
      <c r="E187" s="58">
        <v>2286000</v>
      </c>
      <c r="F187" s="58">
        <v>2286000</v>
      </c>
      <c r="G187" s="58">
        <v>2286000</v>
      </c>
      <c r="H187" s="58">
        <v>2286000</v>
      </c>
      <c r="I187" s="58">
        <v>2286000</v>
      </c>
      <c r="J187" s="267">
        <f t="shared" si="41"/>
        <v>9144000</v>
      </c>
      <c r="L187" s="547"/>
    </row>
    <row r="188" spans="1:12" ht="24.75" customHeight="1">
      <c r="A188" s="537" t="s">
        <v>16</v>
      </c>
      <c r="B188" s="186" t="s">
        <v>1074</v>
      </c>
      <c r="C188" s="200" t="s">
        <v>909</v>
      </c>
      <c r="D188" s="474">
        <f t="shared" si="40"/>
        <v>19033920</v>
      </c>
      <c r="E188" s="58">
        <v>3806784</v>
      </c>
      <c r="F188" s="58">
        <v>3806784</v>
      </c>
      <c r="G188" s="58">
        <v>3806784</v>
      </c>
      <c r="H188" s="58">
        <v>3806784</v>
      </c>
      <c r="I188" s="58">
        <v>3806784</v>
      </c>
      <c r="J188" s="267">
        <f t="shared" si="41"/>
        <v>15227136</v>
      </c>
      <c r="L188" s="547"/>
    </row>
    <row r="189" spans="1:12" ht="24.75" customHeight="1">
      <c r="A189" s="537" t="s">
        <v>17</v>
      </c>
      <c r="B189" s="186" t="s">
        <v>1075</v>
      </c>
      <c r="C189" s="200" t="s">
        <v>1076</v>
      </c>
      <c r="D189" s="474">
        <f t="shared" si="40"/>
        <v>82934060</v>
      </c>
      <c r="E189" s="58">
        <v>16586812</v>
      </c>
      <c r="F189" s="58">
        <v>16586812</v>
      </c>
      <c r="G189" s="58">
        <v>16586812</v>
      </c>
      <c r="H189" s="58">
        <v>16586812</v>
      </c>
      <c r="I189" s="58">
        <v>16586812</v>
      </c>
      <c r="J189" s="267">
        <f t="shared" si="41"/>
        <v>66347248</v>
      </c>
      <c r="L189" s="547"/>
    </row>
    <row r="190" spans="1:12" ht="24.75" customHeight="1">
      <c r="A190" s="537" t="s">
        <v>18</v>
      </c>
      <c r="B190" s="186" t="s">
        <v>1077</v>
      </c>
      <c r="C190" s="200" t="s">
        <v>909</v>
      </c>
      <c r="D190" s="474">
        <f t="shared" si="40"/>
        <v>6336205</v>
      </c>
      <c r="E190" s="58">
        <v>1267241</v>
      </c>
      <c r="F190" s="58">
        <v>1267241</v>
      </c>
      <c r="G190" s="58">
        <v>1267241</v>
      </c>
      <c r="H190" s="58">
        <v>1267241</v>
      </c>
      <c r="I190" s="58">
        <v>1267241</v>
      </c>
      <c r="J190" s="267">
        <f t="shared" si="41"/>
        <v>5068964</v>
      </c>
      <c r="L190" s="547"/>
    </row>
    <row r="191" spans="1:12" ht="24.75" customHeight="1">
      <c r="A191" s="537" t="s">
        <v>19</v>
      </c>
      <c r="B191" s="186" t="s">
        <v>1078</v>
      </c>
      <c r="C191" s="200" t="s">
        <v>1076</v>
      </c>
      <c r="D191" s="474">
        <f t="shared" si="40"/>
        <v>914400</v>
      </c>
      <c r="E191" s="58">
        <v>182880</v>
      </c>
      <c r="F191" s="58">
        <v>182880</v>
      </c>
      <c r="G191" s="58">
        <v>182880</v>
      </c>
      <c r="H191" s="58">
        <v>182880</v>
      </c>
      <c r="I191" s="58">
        <v>182880</v>
      </c>
      <c r="J191" s="267">
        <f t="shared" si="41"/>
        <v>731520</v>
      </c>
      <c r="L191" s="547"/>
    </row>
    <row r="192" spans="1:12" ht="24.75" customHeight="1">
      <c r="A192" s="537" t="s">
        <v>20</v>
      </c>
      <c r="B192" s="186" t="s">
        <v>1079</v>
      </c>
      <c r="C192" s="200" t="s">
        <v>1080</v>
      </c>
      <c r="D192" s="474">
        <f t="shared" si="40"/>
        <v>1828800</v>
      </c>
      <c r="E192" s="58">
        <v>365760</v>
      </c>
      <c r="F192" s="58">
        <v>365760</v>
      </c>
      <c r="G192" s="58">
        <v>365760</v>
      </c>
      <c r="H192" s="58">
        <v>365760</v>
      </c>
      <c r="I192" s="58">
        <v>365760</v>
      </c>
      <c r="J192" s="267">
        <f t="shared" si="41"/>
        <v>1463040</v>
      </c>
      <c r="L192" s="547"/>
    </row>
    <row r="193" spans="1:12" ht="24.75" customHeight="1">
      <c r="A193" s="537" t="s">
        <v>21</v>
      </c>
      <c r="B193" s="186" t="s">
        <v>1081</v>
      </c>
      <c r="C193" s="200" t="s">
        <v>1080</v>
      </c>
      <c r="D193" s="474">
        <f t="shared" si="40"/>
        <v>12573825</v>
      </c>
      <c r="E193" s="58">
        <v>2514765</v>
      </c>
      <c r="F193" s="58">
        <v>2514765</v>
      </c>
      <c r="G193" s="58">
        <v>2514765</v>
      </c>
      <c r="H193" s="58">
        <v>2514765</v>
      </c>
      <c r="I193" s="58">
        <v>2514765</v>
      </c>
      <c r="J193" s="267">
        <f t="shared" si="41"/>
        <v>10059060</v>
      </c>
      <c r="L193" s="547"/>
    </row>
    <row r="194" spans="1:12" ht="24.75" customHeight="1">
      <c r="A194" s="537" t="s">
        <v>22</v>
      </c>
      <c r="B194" s="186" t="s">
        <v>1082</v>
      </c>
      <c r="C194" s="200" t="s">
        <v>1080</v>
      </c>
      <c r="D194" s="474">
        <f t="shared" si="40"/>
        <v>1257770</v>
      </c>
      <c r="E194" s="58">
        <v>251554</v>
      </c>
      <c r="F194" s="58">
        <v>251554</v>
      </c>
      <c r="G194" s="58">
        <v>251554</v>
      </c>
      <c r="H194" s="58">
        <v>251554</v>
      </c>
      <c r="I194" s="58">
        <v>251554</v>
      </c>
      <c r="J194" s="267">
        <f t="shared" si="41"/>
        <v>1006216</v>
      </c>
      <c r="L194" s="547"/>
    </row>
    <row r="195" spans="1:12" ht="24.75" customHeight="1">
      <c r="A195" s="537" t="s">
        <v>23</v>
      </c>
      <c r="B195" s="186" t="s">
        <v>1083</v>
      </c>
      <c r="C195" s="200" t="s">
        <v>1035</v>
      </c>
      <c r="D195" s="474">
        <f t="shared" si="40"/>
        <v>384000</v>
      </c>
      <c r="E195" s="58">
        <v>76800</v>
      </c>
      <c r="F195" s="58">
        <v>76800</v>
      </c>
      <c r="G195" s="58">
        <v>76800</v>
      </c>
      <c r="H195" s="58">
        <v>76800</v>
      </c>
      <c r="I195" s="58">
        <v>76800</v>
      </c>
      <c r="J195" s="267">
        <f t="shared" si="41"/>
        <v>307200</v>
      </c>
      <c r="L195" s="547"/>
    </row>
    <row r="196" spans="1:12" ht="24.75" customHeight="1">
      <c r="A196" s="537" t="s">
        <v>24</v>
      </c>
      <c r="B196" s="186" t="s">
        <v>1084</v>
      </c>
      <c r="C196" s="200" t="s">
        <v>1085</v>
      </c>
      <c r="D196" s="474">
        <f t="shared" si="40"/>
        <v>5817595</v>
      </c>
      <c r="E196" s="58">
        <v>1163519</v>
      </c>
      <c r="F196" s="58">
        <v>1163519</v>
      </c>
      <c r="G196" s="58">
        <v>1163519</v>
      </c>
      <c r="H196" s="58">
        <v>1163519</v>
      </c>
      <c r="I196" s="58">
        <v>1163519</v>
      </c>
      <c r="J196" s="267">
        <f t="shared" si="41"/>
        <v>4654076</v>
      </c>
      <c r="L196" s="547"/>
    </row>
    <row r="197" spans="1:12" ht="24.75" customHeight="1">
      <c r="A197" s="537" t="s">
        <v>25</v>
      </c>
      <c r="B197" s="186" t="s">
        <v>1086</v>
      </c>
      <c r="C197" s="200" t="s">
        <v>1085</v>
      </c>
      <c r="D197" s="474">
        <f t="shared" si="40"/>
        <v>5257800</v>
      </c>
      <c r="E197" s="58">
        <v>1051560</v>
      </c>
      <c r="F197" s="58">
        <v>1051560</v>
      </c>
      <c r="G197" s="58">
        <v>1051560</v>
      </c>
      <c r="H197" s="58">
        <v>1051560</v>
      </c>
      <c r="I197" s="58">
        <v>1051560</v>
      </c>
      <c r="J197" s="267">
        <f t="shared" si="41"/>
        <v>4206240</v>
      </c>
      <c r="L197" s="547"/>
    </row>
    <row r="198" spans="1:12" ht="24.75" customHeight="1">
      <c r="A198" s="537" t="s">
        <v>26</v>
      </c>
      <c r="B198" s="186" t="s">
        <v>1163</v>
      </c>
      <c r="C198" s="200" t="s">
        <v>1085</v>
      </c>
      <c r="D198" s="474">
        <f t="shared" si="40"/>
        <v>202775600</v>
      </c>
      <c r="E198" s="58">
        <v>40555120</v>
      </c>
      <c r="F198" s="58">
        <v>40555120</v>
      </c>
      <c r="G198" s="58">
        <v>40555120</v>
      </c>
      <c r="H198" s="58">
        <v>40555120</v>
      </c>
      <c r="I198" s="58">
        <v>40555120</v>
      </c>
      <c r="J198" s="267">
        <f t="shared" si="41"/>
        <v>162220480</v>
      </c>
      <c r="L198" s="547"/>
    </row>
    <row r="199" spans="1:12" ht="24.75" customHeight="1">
      <c r="A199" s="537" t="s">
        <v>932</v>
      </c>
      <c r="B199" s="186" t="s">
        <v>1087</v>
      </c>
      <c r="C199" s="200" t="s">
        <v>1085</v>
      </c>
      <c r="D199" s="474">
        <f t="shared" si="40"/>
        <v>14872355</v>
      </c>
      <c r="E199" s="538">
        <v>2974471</v>
      </c>
      <c r="F199" s="538">
        <v>2974471</v>
      </c>
      <c r="G199" s="538">
        <v>2974471</v>
      </c>
      <c r="H199" s="538">
        <v>2974471</v>
      </c>
      <c r="I199" s="538">
        <v>2974471</v>
      </c>
      <c r="J199" s="267">
        <f t="shared" si="41"/>
        <v>11897884</v>
      </c>
      <c r="L199" s="547"/>
    </row>
    <row r="200" spans="1:12" ht="24.75" customHeight="1">
      <c r="A200" s="537" t="s">
        <v>933</v>
      </c>
      <c r="B200" s="186" t="s">
        <v>1088</v>
      </c>
      <c r="C200" s="200" t="s">
        <v>1089</v>
      </c>
      <c r="D200" s="474">
        <f t="shared" si="40"/>
        <v>115000</v>
      </c>
      <c r="E200" s="538">
        <v>23000</v>
      </c>
      <c r="F200" s="538">
        <v>23000</v>
      </c>
      <c r="G200" s="538">
        <v>23000</v>
      </c>
      <c r="H200" s="538">
        <v>23000</v>
      </c>
      <c r="I200" s="538">
        <v>23000</v>
      </c>
      <c r="J200" s="267">
        <f t="shared" si="41"/>
        <v>92000</v>
      </c>
      <c r="L200" s="547"/>
    </row>
    <row r="201" spans="1:12" ht="24.75" customHeight="1">
      <c r="A201" s="537" t="s">
        <v>934</v>
      </c>
      <c r="B201" s="186" t="s">
        <v>1090</v>
      </c>
      <c r="C201" s="200" t="s">
        <v>881</v>
      </c>
      <c r="D201" s="474">
        <f t="shared" si="40"/>
        <v>3167110</v>
      </c>
      <c r="E201" s="538">
        <v>633422</v>
      </c>
      <c r="F201" s="538">
        <v>633422</v>
      </c>
      <c r="G201" s="538">
        <v>633422</v>
      </c>
      <c r="H201" s="538">
        <v>633422</v>
      </c>
      <c r="I201" s="538">
        <v>633422</v>
      </c>
      <c r="J201" s="267">
        <f t="shared" si="41"/>
        <v>2533688</v>
      </c>
      <c r="L201" s="547"/>
    </row>
    <row r="202" spans="1:12" ht="24.75" customHeight="1">
      <c r="A202" s="537" t="s">
        <v>935</v>
      </c>
      <c r="B202" s="186" t="s">
        <v>1091</v>
      </c>
      <c r="C202" s="200" t="s">
        <v>881</v>
      </c>
      <c r="D202" s="474">
        <f t="shared" si="40"/>
        <v>20430300</v>
      </c>
      <c r="E202" s="538">
        <v>4086060</v>
      </c>
      <c r="F202" s="538">
        <v>4086060</v>
      </c>
      <c r="G202" s="538">
        <v>4086060</v>
      </c>
      <c r="H202" s="538">
        <v>4086060</v>
      </c>
      <c r="I202" s="538">
        <v>4086060</v>
      </c>
      <c r="J202" s="267">
        <f t="shared" si="41"/>
        <v>16344240</v>
      </c>
      <c r="L202" s="547"/>
    </row>
    <row r="203" spans="1:15" ht="24.75" customHeight="1">
      <c r="A203" s="537" t="s">
        <v>936</v>
      </c>
      <c r="B203" s="186" t="s">
        <v>1092</v>
      </c>
      <c r="C203" s="200" t="s">
        <v>881</v>
      </c>
      <c r="D203" s="474">
        <f t="shared" si="40"/>
        <v>7797000</v>
      </c>
      <c r="E203" s="538">
        <v>1559400</v>
      </c>
      <c r="F203" s="538">
        <v>1559400</v>
      </c>
      <c r="G203" s="538">
        <v>1559400</v>
      </c>
      <c r="H203" s="538">
        <v>1559400</v>
      </c>
      <c r="I203" s="538">
        <v>1559400</v>
      </c>
      <c r="J203" s="267">
        <f t="shared" si="41"/>
        <v>6237600</v>
      </c>
      <c r="L203" s="547"/>
      <c r="O203" s="174" t="s">
        <v>87</v>
      </c>
    </row>
    <row r="204" spans="1:12" ht="24.75" customHeight="1">
      <c r="A204" s="537" t="s">
        <v>993</v>
      </c>
      <c r="B204" s="186" t="s">
        <v>1093</v>
      </c>
      <c r="C204" s="200" t="s">
        <v>881</v>
      </c>
      <c r="D204" s="474">
        <f t="shared" si="40"/>
        <v>3383150</v>
      </c>
      <c r="E204" s="538">
        <v>676630</v>
      </c>
      <c r="F204" s="538">
        <v>676630</v>
      </c>
      <c r="G204" s="538">
        <v>676630</v>
      </c>
      <c r="H204" s="538">
        <v>676630</v>
      </c>
      <c r="I204" s="538">
        <v>676630</v>
      </c>
      <c r="J204" s="267">
        <f t="shared" si="41"/>
        <v>2706520</v>
      </c>
      <c r="L204" s="547"/>
    </row>
    <row r="205" spans="1:12" ht="24.75" customHeight="1">
      <c r="A205" s="537" t="s">
        <v>994</v>
      </c>
      <c r="B205" s="186" t="s">
        <v>1094</v>
      </c>
      <c r="C205" s="200" t="s">
        <v>877</v>
      </c>
      <c r="D205" s="474">
        <f t="shared" si="40"/>
        <v>8990535</v>
      </c>
      <c r="E205" s="538">
        <v>1798107</v>
      </c>
      <c r="F205" s="538">
        <v>1798107</v>
      </c>
      <c r="G205" s="538">
        <v>1798107</v>
      </c>
      <c r="H205" s="538">
        <v>1798107</v>
      </c>
      <c r="I205" s="538">
        <v>1798107</v>
      </c>
      <c r="J205" s="267">
        <f t="shared" si="41"/>
        <v>7192428</v>
      </c>
      <c r="L205" s="547"/>
    </row>
    <row r="206" spans="1:12" ht="24.75" customHeight="1">
      <c r="A206" s="537" t="s">
        <v>997</v>
      </c>
      <c r="B206" s="186" t="s">
        <v>1095</v>
      </c>
      <c r="C206" s="200" t="s">
        <v>877</v>
      </c>
      <c r="D206" s="556">
        <f t="shared" si="40"/>
        <v>2915272</v>
      </c>
      <c r="E206" s="557">
        <v>834504</v>
      </c>
      <c r="F206" s="553">
        <v>520192</v>
      </c>
      <c r="G206" s="554">
        <v>520192</v>
      </c>
      <c r="H206" s="554">
        <v>520192</v>
      </c>
      <c r="I206" s="555">
        <v>520192</v>
      </c>
      <c r="J206" s="267">
        <f t="shared" si="41"/>
        <v>2080768</v>
      </c>
      <c r="L206" s="547"/>
    </row>
    <row r="207" spans="1:12" ht="24.75" customHeight="1">
      <c r="A207" s="537" t="s">
        <v>999</v>
      </c>
      <c r="B207" s="186" t="s">
        <v>1096</v>
      </c>
      <c r="C207" s="200" t="s">
        <v>877</v>
      </c>
      <c r="D207" s="474">
        <f t="shared" si="40"/>
        <v>3410920</v>
      </c>
      <c r="E207" s="538">
        <v>682184</v>
      </c>
      <c r="F207" s="538">
        <v>682184</v>
      </c>
      <c r="G207" s="538">
        <v>682184</v>
      </c>
      <c r="H207" s="538">
        <v>682184</v>
      </c>
      <c r="I207" s="538">
        <v>682184</v>
      </c>
      <c r="J207" s="267">
        <f t="shared" si="41"/>
        <v>2728736</v>
      </c>
      <c r="L207" s="547"/>
    </row>
    <row r="208" spans="1:12" ht="24.75" customHeight="1">
      <c r="A208" s="537" t="s">
        <v>1002</v>
      </c>
      <c r="B208" s="186" t="s">
        <v>1097</v>
      </c>
      <c r="C208" s="200" t="s">
        <v>877</v>
      </c>
      <c r="D208" s="474">
        <f t="shared" si="40"/>
        <v>6356700</v>
      </c>
      <c r="E208" s="538">
        <v>1271340</v>
      </c>
      <c r="F208" s="538">
        <v>1271340</v>
      </c>
      <c r="G208" s="538">
        <v>1271340</v>
      </c>
      <c r="H208" s="538">
        <v>1271340</v>
      </c>
      <c r="I208" s="538">
        <v>1271340</v>
      </c>
      <c r="J208" s="267">
        <f t="shared" si="41"/>
        <v>5085360</v>
      </c>
      <c r="L208" s="547"/>
    </row>
    <row r="209" spans="1:12" ht="24.75" customHeight="1">
      <c r="A209" s="537" t="s">
        <v>1004</v>
      </c>
      <c r="B209" s="186" t="s">
        <v>1098</v>
      </c>
      <c r="C209" s="200" t="s">
        <v>877</v>
      </c>
      <c r="D209" s="474">
        <f t="shared" si="40"/>
        <v>8343900</v>
      </c>
      <c r="E209" s="538">
        <v>1668780</v>
      </c>
      <c r="F209" s="538">
        <v>1668780</v>
      </c>
      <c r="G209" s="538">
        <v>1668780</v>
      </c>
      <c r="H209" s="538">
        <v>1668780</v>
      </c>
      <c r="I209" s="538">
        <v>1668780</v>
      </c>
      <c r="J209" s="267">
        <f t="shared" si="41"/>
        <v>6675120</v>
      </c>
      <c r="L209" s="547"/>
    </row>
    <row r="210" spans="1:12" ht="24.75" customHeight="1">
      <c r="A210" s="537" t="s">
        <v>1006</v>
      </c>
      <c r="B210" s="186" t="s">
        <v>1099</v>
      </c>
      <c r="C210" s="200" t="s">
        <v>920</v>
      </c>
      <c r="D210" s="474">
        <f t="shared" si="40"/>
        <v>4995920</v>
      </c>
      <c r="E210" s="538">
        <v>999184</v>
      </c>
      <c r="F210" s="538">
        <v>999184</v>
      </c>
      <c r="G210" s="538">
        <v>999184</v>
      </c>
      <c r="H210" s="538">
        <v>999184</v>
      </c>
      <c r="I210" s="538">
        <v>999184</v>
      </c>
      <c r="J210" s="267">
        <f t="shared" si="41"/>
        <v>3996736</v>
      </c>
      <c r="L210" s="547"/>
    </row>
    <row r="211" spans="1:12" ht="24.75" customHeight="1">
      <c r="A211" s="537" t="s">
        <v>1009</v>
      </c>
      <c r="B211" s="186" t="s">
        <v>1100</v>
      </c>
      <c r="C211" s="200" t="s">
        <v>920</v>
      </c>
      <c r="D211" s="474">
        <f t="shared" si="40"/>
        <v>5637640</v>
      </c>
      <c r="E211" s="538">
        <v>1127528</v>
      </c>
      <c r="F211" s="538">
        <v>1127528</v>
      </c>
      <c r="G211" s="538">
        <v>1127528</v>
      </c>
      <c r="H211" s="538">
        <v>1127528</v>
      </c>
      <c r="I211" s="538">
        <v>1127528</v>
      </c>
      <c r="J211" s="267">
        <f t="shared" si="41"/>
        <v>4510112</v>
      </c>
      <c r="L211" s="547"/>
    </row>
    <row r="212" spans="1:12" ht="24.75" customHeight="1">
      <c r="A212" s="537" t="s">
        <v>1012</v>
      </c>
      <c r="B212" s="186" t="s">
        <v>1164</v>
      </c>
      <c r="C212" s="200" t="s">
        <v>920</v>
      </c>
      <c r="D212" s="474">
        <f t="shared" si="40"/>
        <v>5119180</v>
      </c>
      <c r="E212" s="538">
        <v>1023836</v>
      </c>
      <c r="F212" s="538">
        <v>1023836</v>
      </c>
      <c r="G212" s="538">
        <v>1023836</v>
      </c>
      <c r="H212" s="538">
        <v>1023836</v>
      </c>
      <c r="I212" s="538">
        <v>1023836</v>
      </c>
      <c r="J212" s="267">
        <f t="shared" si="41"/>
        <v>4095344</v>
      </c>
      <c r="L212" s="547"/>
    </row>
    <row r="213" spans="1:12" ht="24.75" customHeight="1">
      <c r="A213" s="537" t="s">
        <v>1014</v>
      </c>
      <c r="B213" s="186" t="s">
        <v>1101</v>
      </c>
      <c r="C213" s="200" t="s">
        <v>1046</v>
      </c>
      <c r="D213" s="474">
        <f t="shared" si="40"/>
        <v>3759610</v>
      </c>
      <c r="E213" s="538">
        <v>751922</v>
      </c>
      <c r="F213" s="538">
        <v>751922</v>
      </c>
      <c r="G213" s="538">
        <v>751922</v>
      </c>
      <c r="H213" s="538">
        <v>751922</v>
      </c>
      <c r="I213" s="538">
        <v>751922</v>
      </c>
      <c r="J213" s="267">
        <f t="shared" si="41"/>
        <v>3007688</v>
      </c>
      <c r="L213" s="547"/>
    </row>
    <row r="214" spans="1:12" ht="24.75" customHeight="1">
      <c r="A214" s="537" t="s">
        <v>1017</v>
      </c>
      <c r="B214" s="186" t="s">
        <v>1102</v>
      </c>
      <c r="C214" s="200" t="s">
        <v>1046</v>
      </c>
      <c r="D214" s="474">
        <f t="shared" si="40"/>
        <v>1184030</v>
      </c>
      <c r="E214" s="538">
        <v>236806</v>
      </c>
      <c r="F214" s="538">
        <v>236806</v>
      </c>
      <c r="G214" s="538">
        <v>236806</v>
      </c>
      <c r="H214" s="538">
        <v>236806</v>
      </c>
      <c r="I214" s="538">
        <v>236806</v>
      </c>
      <c r="J214" s="267">
        <f t="shared" si="41"/>
        <v>947224</v>
      </c>
      <c r="L214" s="547"/>
    </row>
    <row r="215" spans="1:12" ht="24.75" customHeight="1">
      <c r="A215" s="537" t="s">
        <v>1019</v>
      </c>
      <c r="B215" s="186" t="s">
        <v>1165</v>
      </c>
      <c r="C215" s="200" t="s">
        <v>961</v>
      </c>
      <c r="D215" s="474">
        <f t="shared" si="40"/>
        <v>23452805</v>
      </c>
      <c r="E215" s="538">
        <v>4690561</v>
      </c>
      <c r="F215" s="538">
        <v>4690561</v>
      </c>
      <c r="G215" s="538">
        <v>4690561</v>
      </c>
      <c r="H215" s="538">
        <v>4690561</v>
      </c>
      <c r="I215" s="538">
        <v>4690561</v>
      </c>
      <c r="J215" s="267">
        <f t="shared" si="41"/>
        <v>18762244</v>
      </c>
      <c r="L215" s="547"/>
    </row>
    <row r="216" spans="1:12" ht="24.75" customHeight="1">
      <c r="A216" s="537" t="s">
        <v>1022</v>
      </c>
      <c r="B216" s="186" t="s">
        <v>1103</v>
      </c>
      <c r="C216" s="200" t="s">
        <v>961</v>
      </c>
      <c r="D216" s="474">
        <f t="shared" si="40"/>
        <v>1951480</v>
      </c>
      <c r="E216" s="538">
        <v>390296</v>
      </c>
      <c r="F216" s="538">
        <v>390296</v>
      </c>
      <c r="G216" s="538">
        <v>390296</v>
      </c>
      <c r="H216" s="538">
        <v>390296</v>
      </c>
      <c r="I216" s="538">
        <v>390296</v>
      </c>
      <c r="J216" s="267">
        <f t="shared" si="41"/>
        <v>1561184</v>
      </c>
      <c r="L216" s="547"/>
    </row>
    <row r="217" spans="1:12" ht="24.75" customHeight="1">
      <c r="A217" s="537" t="s">
        <v>1025</v>
      </c>
      <c r="B217" s="524" t="s">
        <v>1104</v>
      </c>
      <c r="C217" s="200" t="s">
        <v>890</v>
      </c>
      <c r="D217" s="474">
        <f t="shared" si="40"/>
        <v>6000000</v>
      </c>
      <c r="E217" s="538">
        <v>1200000</v>
      </c>
      <c r="F217" s="538">
        <v>1200000</v>
      </c>
      <c r="G217" s="538">
        <v>1200000</v>
      </c>
      <c r="H217" s="538">
        <v>1200000</v>
      </c>
      <c r="I217" s="538">
        <v>1200000</v>
      </c>
      <c r="J217" s="267">
        <f t="shared" si="41"/>
        <v>4800000</v>
      </c>
      <c r="L217" s="547"/>
    </row>
    <row r="218" spans="1:12" ht="24.75" customHeight="1">
      <c r="A218" s="537" t="s">
        <v>1027</v>
      </c>
      <c r="B218" s="524" t="s">
        <v>1105</v>
      </c>
      <c r="C218" s="200" t="s">
        <v>890</v>
      </c>
      <c r="D218" s="474">
        <f t="shared" si="40"/>
        <v>3601932</v>
      </c>
      <c r="E218" s="538">
        <v>1046100</v>
      </c>
      <c r="F218" s="538">
        <v>638958</v>
      </c>
      <c r="G218" s="538">
        <v>638958</v>
      </c>
      <c r="H218" s="538">
        <v>638958</v>
      </c>
      <c r="I218" s="538">
        <v>638958</v>
      </c>
      <c r="J218" s="267">
        <f t="shared" si="41"/>
        <v>2555832</v>
      </c>
      <c r="L218" s="547"/>
    </row>
    <row r="219" spans="1:12" ht="24.75" customHeight="1">
      <c r="A219" s="537" t="s">
        <v>1029</v>
      </c>
      <c r="B219" s="524" t="s">
        <v>1106</v>
      </c>
      <c r="C219" s="200" t="s">
        <v>1043</v>
      </c>
      <c r="D219" s="474">
        <f t="shared" si="40"/>
        <v>1524000</v>
      </c>
      <c r="E219" s="538">
        <v>304800</v>
      </c>
      <c r="F219" s="538">
        <v>304800</v>
      </c>
      <c r="G219" s="538">
        <v>304800</v>
      </c>
      <c r="H219" s="538">
        <v>304800</v>
      </c>
      <c r="I219" s="538">
        <v>304800</v>
      </c>
      <c r="J219" s="267">
        <f t="shared" si="41"/>
        <v>1219200</v>
      </c>
      <c r="L219" s="547"/>
    </row>
    <row r="220" spans="1:12" ht="24.75" customHeight="1">
      <c r="A220" s="537" t="s">
        <v>1032</v>
      </c>
      <c r="B220" s="524" t="s">
        <v>1166</v>
      </c>
      <c r="C220" s="200" t="s">
        <v>1043</v>
      </c>
      <c r="D220" s="474">
        <f t="shared" si="40"/>
        <v>4683250</v>
      </c>
      <c r="E220" s="538">
        <v>936650</v>
      </c>
      <c r="F220" s="538">
        <v>936650</v>
      </c>
      <c r="G220" s="538">
        <v>936650</v>
      </c>
      <c r="H220" s="538">
        <v>936650</v>
      </c>
      <c r="I220" s="538">
        <v>936650</v>
      </c>
      <c r="J220" s="267">
        <f t="shared" si="41"/>
        <v>3746600</v>
      </c>
      <c r="L220" s="547"/>
    </row>
    <row r="221" spans="1:12" ht="24.75" customHeight="1">
      <c r="A221" s="537" t="s">
        <v>1107</v>
      </c>
      <c r="B221" s="524" t="s">
        <v>1108</v>
      </c>
      <c r="C221" s="200" t="s">
        <v>1043</v>
      </c>
      <c r="D221" s="474">
        <f t="shared" si="40"/>
        <v>749550</v>
      </c>
      <c r="E221" s="538">
        <v>149910</v>
      </c>
      <c r="F221" s="538">
        <v>149910</v>
      </c>
      <c r="G221" s="538">
        <v>149910</v>
      </c>
      <c r="H221" s="538">
        <v>149910</v>
      </c>
      <c r="I221" s="538">
        <v>149910</v>
      </c>
      <c r="J221" s="267">
        <f t="shared" si="41"/>
        <v>599640</v>
      </c>
      <c r="L221" s="547"/>
    </row>
    <row r="222" spans="1:12" ht="24.75" customHeight="1">
      <c r="A222" s="537" t="s">
        <v>1109</v>
      </c>
      <c r="B222" s="524" t="s">
        <v>1110</v>
      </c>
      <c r="C222" s="200" t="s">
        <v>1043</v>
      </c>
      <c r="D222" s="474">
        <f t="shared" si="40"/>
        <v>156210</v>
      </c>
      <c r="E222" s="538">
        <v>31242</v>
      </c>
      <c r="F222" s="538">
        <v>31242</v>
      </c>
      <c r="G222" s="538">
        <v>31242</v>
      </c>
      <c r="H222" s="538">
        <v>31242</v>
      </c>
      <c r="I222" s="538">
        <v>31242</v>
      </c>
      <c r="J222" s="267">
        <f t="shared" si="41"/>
        <v>124968</v>
      </c>
      <c r="L222" s="547"/>
    </row>
    <row r="223" spans="1:12" ht="24.75" customHeight="1">
      <c r="A223" s="537" t="s">
        <v>1111</v>
      </c>
      <c r="B223" s="524" t="s">
        <v>1112</v>
      </c>
      <c r="C223" s="200" t="s">
        <v>1043</v>
      </c>
      <c r="D223" s="474">
        <f t="shared" si="40"/>
        <v>762180</v>
      </c>
      <c r="E223" s="538">
        <v>152436</v>
      </c>
      <c r="F223" s="538">
        <v>152436</v>
      </c>
      <c r="G223" s="538">
        <v>152436</v>
      </c>
      <c r="H223" s="538">
        <v>152436</v>
      </c>
      <c r="I223" s="538">
        <v>152436</v>
      </c>
      <c r="J223" s="267">
        <f t="shared" si="41"/>
        <v>609744</v>
      </c>
      <c r="L223" s="547"/>
    </row>
    <row r="224" spans="1:12" ht="24.75" customHeight="1">
      <c r="A224" s="537" t="s">
        <v>1113</v>
      </c>
      <c r="B224" s="186" t="s">
        <v>1114</v>
      </c>
      <c r="C224" s="200" t="s">
        <v>1048</v>
      </c>
      <c r="D224" s="474">
        <f t="shared" si="40"/>
        <v>9438570</v>
      </c>
      <c r="E224" s="538">
        <v>1887714</v>
      </c>
      <c r="F224" s="538">
        <v>1887714</v>
      </c>
      <c r="G224" s="538">
        <v>1887714</v>
      </c>
      <c r="H224" s="538">
        <v>1887714</v>
      </c>
      <c r="I224" s="538">
        <v>1887714</v>
      </c>
      <c r="J224" s="267">
        <f t="shared" si="41"/>
        <v>7550856</v>
      </c>
      <c r="L224" s="547"/>
    </row>
    <row r="225" spans="1:12" ht="24.75" customHeight="1">
      <c r="A225" s="537" t="s">
        <v>1115</v>
      </c>
      <c r="B225" s="186" t="s">
        <v>1116</v>
      </c>
      <c r="C225" s="200" t="s">
        <v>1117</v>
      </c>
      <c r="D225" s="474">
        <f t="shared" si="40"/>
        <v>1343940</v>
      </c>
      <c r="E225" s="538">
        <v>268788</v>
      </c>
      <c r="F225" s="538">
        <v>268788</v>
      </c>
      <c r="G225" s="538">
        <v>268788</v>
      </c>
      <c r="H225" s="538">
        <v>268788</v>
      </c>
      <c r="I225" s="538">
        <v>268788</v>
      </c>
      <c r="J225" s="267">
        <f t="shared" si="41"/>
        <v>1075152</v>
      </c>
      <c r="L225" s="547"/>
    </row>
    <row r="226" spans="1:12" ht="24.75" customHeight="1">
      <c r="A226" s="537" t="s">
        <v>1118</v>
      </c>
      <c r="B226" s="186" t="s">
        <v>1119</v>
      </c>
      <c r="C226" s="200" t="s">
        <v>1120</v>
      </c>
      <c r="D226" s="474">
        <f t="shared" si="40"/>
        <v>2725900</v>
      </c>
      <c r="E226" s="538">
        <v>545180</v>
      </c>
      <c r="F226" s="538">
        <v>545180</v>
      </c>
      <c r="G226" s="538">
        <v>545180</v>
      </c>
      <c r="H226" s="538">
        <v>545180</v>
      </c>
      <c r="I226" s="538">
        <v>545180</v>
      </c>
      <c r="J226" s="267">
        <f t="shared" si="41"/>
        <v>2180720</v>
      </c>
      <c r="L226" s="547"/>
    </row>
    <row r="227" spans="1:12" ht="24.75" customHeight="1">
      <c r="A227" s="537" t="s">
        <v>1121</v>
      </c>
      <c r="B227" s="186" t="s">
        <v>1122</v>
      </c>
      <c r="C227" s="200" t="s">
        <v>1120</v>
      </c>
      <c r="D227" s="474">
        <f t="shared" si="40"/>
        <v>1343940</v>
      </c>
      <c r="E227" s="538">
        <v>268788</v>
      </c>
      <c r="F227" s="538">
        <v>268788</v>
      </c>
      <c r="G227" s="538">
        <v>268788</v>
      </c>
      <c r="H227" s="538">
        <v>268788</v>
      </c>
      <c r="I227" s="538">
        <v>268788</v>
      </c>
      <c r="J227" s="267">
        <f t="shared" si="41"/>
        <v>1075152</v>
      </c>
      <c r="L227" s="547"/>
    </row>
    <row r="228" spans="1:12" ht="24.75" customHeight="1">
      <c r="A228" s="537" t="s">
        <v>1123</v>
      </c>
      <c r="B228" s="186" t="s">
        <v>897</v>
      </c>
      <c r="C228" s="200" t="s">
        <v>1048</v>
      </c>
      <c r="D228" s="474">
        <f t="shared" si="40"/>
        <v>3410520</v>
      </c>
      <c r="E228" s="538">
        <v>682104</v>
      </c>
      <c r="F228" s="538">
        <v>682104</v>
      </c>
      <c r="G228" s="538">
        <v>682104</v>
      </c>
      <c r="H228" s="538">
        <v>682104</v>
      </c>
      <c r="I228" s="538">
        <v>682104</v>
      </c>
      <c r="J228" s="267">
        <f t="shared" si="41"/>
        <v>2728416</v>
      </c>
      <c r="L228" s="547"/>
    </row>
    <row r="229" spans="1:12" ht="24.75" customHeight="1">
      <c r="A229" s="537" t="s">
        <v>1124</v>
      </c>
      <c r="B229" s="186" t="s">
        <v>1167</v>
      </c>
      <c r="C229" s="200" t="s">
        <v>1125</v>
      </c>
      <c r="D229" s="474">
        <f t="shared" si="40"/>
        <v>631825</v>
      </c>
      <c r="E229" s="58">
        <v>126365</v>
      </c>
      <c r="F229" s="58">
        <v>126365</v>
      </c>
      <c r="G229" s="58">
        <v>126365</v>
      </c>
      <c r="H229" s="58">
        <v>126365</v>
      </c>
      <c r="I229" s="58">
        <v>126365</v>
      </c>
      <c r="J229" s="267">
        <f t="shared" si="41"/>
        <v>505460</v>
      </c>
      <c r="L229" s="547"/>
    </row>
    <row r="230" spans="1:12" ht="24.75" customHeight="1">
      <c r="A230" s="537" t="s">
        <v>1126</v>
      </c>
      <c r="B230" s="186" t="s">
        <v>1127</v>
      </c>
      <c r="C230" s="200" t="s">
        <v>1125</v>
      </c>
      <c r="D230" s="474">
        <f t="shared" si="40"/>
        <v>6407150</v>
      </c>
      <c r="E230" s="58">
        <v>1281430</v>
      </c>
      <c r="F230" s="58">
        <v>1281430</v>
      </c>
      <c r="G230" s="58">
        <v>1281430</v>
      </c>
      <c r="H230" s="58">
        <v>1281430</v>
      </c>
      <c r="I230" s="58">
        <v>1281430</v>
      </c>
      <c r="J230" s="267">
        <f t="shared" si="41"/>
        <v>5125720</v>
      </c>
      <c r="L230" s="547"/>
    </row>
    <row r="231" spans="1:12" ht="24.75" customHeight="1">
      <c r="A231" s="537" t="s">
        <v>1128</v>
      </c>
      <c r="B231" s="186" t="s">
        <v>1129</v>
      </c>
      <c r="C231" s="200" t="s">
        <v>1130</v>
      </c>
      <c r="D231" s="474">
        <f t="shared" si="40"/>
        <v>79431050</v>
      </c>
      <c r="E231" s="58">
        <v>39715525</v>
      </c>
      <c r="F231" s="58">
        <v>39715525</v>
      </c>
      <c r="G231" s="58"/>
      <c r="H231" s="58"/>
      <c r="I231" s="58"/>
      <c r="J231" s="267">
        <f t="shared" si="41"/>
        <v>39715525</v>
      </c>
      <c r="L231" s="547"/>
    </row>
    <row r="232" spans="1:12" ht="24.75" customHeight="1">
      <c r="A232" s="537" t="s">
        <v>1131</v>
      </c>
      <c r="B232" s="186" t="s">
        <v>1132</v>
      </c>
      <c r="C232" s="200" t="s">
        <v>1130</v>
      </c>
      <c r="D232" s="474">
        <f t="shared" si="40"/>
        <v>609600</v>
      </c>
      <c r="E232" s="58">
        <v>304800</v>
      </c>
      <c r="F232" s="58">
        <v>304800</v>
      </c>
      <c r="G232" s="58"/>
      <c r="H232" s="58"/>
      <c r="I232" s="58"/>
      <c r="J232" s="267">
        <f t="shared" si="41"/>
        <v>304800</v>
      </c>
      <c r="L232" s="547"/>
    </row>
    <row r="233" spans="1:12" ht="24.75" customHeight="1">
      <c r="A233" s="537" t="s">
        <v>1133</v>
      </c>
      <c r="B233" s="186" t="s">
        <v>1134</v>
      </c>
      <c r="C233" s="245" t="s">
        <v>1051</v>
      </c>
      <c r="D233" s="474">
        <f t="shared" si="40"/>
        <v>705000</v>
      </c>
      <c r="E233" s="58">
        <v>105000</v>
      </c>
      <c r="F233" s="58">
        <v>600000</v>
      </c>
      <c r="G233" s="58"/>
      <c r="H233" s="58"/>
      <c r="I233" s="58"/>
      <c r="J233" s="267">
        <f t="shared" si="41"/>
        <v>600000</v>
      </c>
      <c r="L233" s="547"/>
    </row>
    <row r="234" spans="1:12" ht="24.75" customHeight="1">
      <c r="A234" s="537" t="s">
        <v>1135</v>
      </c>
      <c r="B234" s="186" t="s">
        <v>1136</v>
      </c>
      <c r="C234" s="200" t="s">
        <v>1051</v>
      </c>
      <c r="D234" s="474">
        <f t="shared" si="40"/>
        <v>113693968</v>
      </c>
      <c r="E234" s="58">
        <v>56846984</v>
      </c>
      <c r="F234" s="58">
        <v>56846984</v>
      </c>
      <c r="G234" s="58"/>
      <c r="H234" s="58"/>
      <c r="I234" s="58"/>
      <c r="J234" s="267">
        <f t="shared" si="41"/>
        <v>56846984</v>
      </c>
      <c r="L234" s="547"/>
    </row>
    <row r="235" spans="1:12" ht="24.75" customHeight="1">
      <c r="A235" s="537" t="s">
        <v>1137</v>
      </c>
      <c r="B235" s="186" t="s">
        <v>1138</v>
      </c>
      <c r="C235" s="200" t="s">
        <v>1139</v>
      </c>
      <c r="D235" s="474">
        <f t="shared" si="40"/>
        <v>4680000</v>
      </c>
      <c r="E235" s="58">
        <v>680000</v>
      </c>
      <c r="F235" s="58">
        <v>800000</v>
      </c>
      <c r="G235" s="58">
        <v>800000</v>
      </c>
      <c r="H235" s="58">
        <v>800000</v>
      </c>
      <c r="I235" s="58">
        <v>1600000</v>
      </c>
      <c r="J235" s="267">
        <f t="shared" si="41"/>
        <v>4000000</v>
      </c>
      <c r="L235" s="547"/>
    </row>
    <row r="236" spans="1:12" ht="24.75" customHeight="1">
      <c r="A236" s="537" t="s">
        <v>1140</v>
      </c>
      <c r="B236" s="525" t="s">
        <v>1168</v>
      </c>
      <c r="C236" s="200" t="s">
        <v>1141</v>
      </c>
      <c r="D236" s="474">
        <f t="shared" si="40"/>
        <v>102054318</v>
      </c>
      <c r="E236" s="538">
        <v>34018106</v>
      </c>
      <c r="F236" s="538">
        <v>34018106</v>
      </c>
      <c r="G236" s="538">
        <v>34018106</v>
      </c>
      <c r="H236" s="538"/>
      <c r="I236" s="538"/>
      <c r="J236" s="267">
        <f t="shared" si="41"/>
        <v>68036212</v>
      </c>
      <c r="L236" s="547"/>
    </row>
    <row r="237" spans="1:12" ht="24.75" customHeight="1" thickBot="1">
      <c r="A237" s="537" t="s">
        <v>1142</v>
      </c>
      <c r="B237" s="186" t="s">
        <v>1169</v>
      </c>
      <c r="C237" s="200" t="s">
        <v>1141</v>
      </c>
      <c r="D237" s="474">
        <f>E237+F237+G237+H237+I237</f>
        <v>6828849</v>
      </c>
      <c r="E237" s="538">
        <v>2276283</v>
      </c>
      <c r="F237" s="538">
        <v>2276283</v>
      </c>
      <c r="G237" s="538">
        <v>2276283</v>
      </c>
      <c r="H237" s="538"/>
      <c r="I237" s="538"/>
      <c r="J237" s="267">
        <f t="shared" si="41"/>
        <v>4552566</v>
      </c>
      <c r="L237" s="547"/>
    </row>
    <row r="238" spans="1:10" ht="24.75" customHeight="1" thickBot="1">
      <c r="A238" s="303"/>
      <c r="B238" s="187" t="s">
        <v>85</v>
      </c>
      <c r="C238" s="188"/>
      <c r="D238" s="205">
        <f>SUM(D172:D237)</f>
        <v>1052906194</v>
      </c>
      <c r="E238" s="205">
        <f aca="true" t="shared" si="42" ref="E238:J238">SUM(E172:E237)</f>
        <v>283504543</v>
      </c>
      <c r="F238" s="205">
        <f t="shared" si="42"/>
        <v>283398089</v>
      </c>
      <c r="G238" s="205">
        <f t="shared" si="42"/>
        <v>185930780</v>
      </c>
      <c r="H238" s="205">
        <f t="shared" si="42"/>
        <v>149636391</v>
      </c>
      <c r="I238" s="205">
        <f t="shared" si="42"/>
        <v>150436391</v>
      </c>
      <c r="J238" s="206">
        <f t="shared" si="42"/>
        <v>769401651</v>
      </c>
    </row>
    <row r="239" spans="1:10" ht="24.75" customHeight="1" thickBot="1">
      <c r="A239" s="299"/>
      <c r="B239" s="184"/>
      <c r="C239" s="185"/>
      <c r="D239" s="186">
        <f>E239+F239+G239+H239+I239</f>
        <v>0</v>
      </c>
      <c r="E239" s="186"/>
      <c r="F239" s="186"/>
      <c r="G239" s="186"/>
      <c r="H239" s="186"/>
      <c r="I239" s="186"/>
      <c r="J239" s="218"/>
    </row>
    <row r="240" spans="1:10" ht="24.75" customHeight="1" thickBot="1">
      <c r="A240" s="579" t="s">
        <v>682</v>
      </c>
      <c r="B240" s="580"/>
      <c r="C240" s="188"/>
      <c r="D240" s="205">
        <f aca="true" t="shared" si="43" ref="D240:J240">D50+D6+D34</f>
        <v>3432722957.2445817</v>
      </c>
      <c r="E240" s="205">
        <f t="shared" si="43"/>
        <v>955287060</v>
      </c>
      <c r="F240" s="205">
        <f t="shared" si="43"/>
        <v>812527524.38</v>
      </c>
      <c r="G240" s="205">
        <f t="shared" si="43"/>
        <v>549892572.4574001</v>
      </c>
      <c r="H240" s="205">
        <f t="shared" si="43"/>
        <v>520291909.76851404</v>
      </c>
      <c r="I240" s="205">
        <f t="shared" si="43"/>
        <v>599073386.6386682</v>
      </c>
      <c r="J240" s="206">
        <f t="shared" si="43"/>
        <v>2481785393.244582</v>
      </c>
    </row>
  </sheetData>
  <sheetProtection/>
  <mergeCells count="8">
    <mergeCell ref="J3:J4"/>
    <mergeCell ref="A240:B240"/>
    <mergeCell ref="A3:A4"/>
    <mergeCell ref="B3:B4"/>
    <mergeCell ref="C3:C4"/>
    <mergeCell ref="D3:D4"/>
    <mergeCell ref="F3:I3"/>
    <mergeCell ref="E3:E4"/>
  </mergeCells>
  <printOptions horizontalCentered="1"/>
  <pageMargins left="0.5905511811023623" right="0.5905511811023623" top="0.8267716535433072" bottom="0.7874015748031497" header="0.3937007874015748" footer="0.5905511811023623"/>
  <pageSetup horizontalDpi="600" verticalDpi="600" orientation="landscape" paperSize="9" scale="65" r:id="rId1"/>
  <headerFooter differentFirst="1" alignWithMargins="0">
    <oddHeader>&amp;C&amp;"Times New Roman CE,Félkövér"&amp;12
Többéves kihatással járó döntésekből származó kötelezettségek célok szerint, évenkénti bontásban&amp;R2. tájékoztató tábla</oddHeader>
    <oddFooter>&amp;C&amp;P</oddFooter>
    <firstHeader>&amp;C&amp;"Times New Roman CE,Félkövér"
Költségvetési évet követő év vagy évek kiadási előirányzatai terhére vállalható kötelezettségvállalások&amp;R2. tájékoztató tábla</firstHeader>
  </headerFooter>
  <rowBreaks count="6" manualBreakCount="6">
    <brk id="40" max="9" man="1"/>
    <brk id="73" max="9" man="1"/>
    <brk id="98" max="9" man="1"/>
    <brk id="123" max="9" man="1"/>
    <brk id="148" max="9" man="1"/>
    <brk id="1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workbookViewId="0" topLeftCell="A4">
      <selection activeCell="I80" sqref="I80"/>
    </sheetView>
  </sheetViews>
  <sheetFormatPr defaultColWidth="9.00390625" defaultRowHeight="12.75"/>
  <cols>
    <col min="1" max="1" width="6.875" style="62" customWidth="1"/>
    <col min="2" max="2" width="55.875" style="2" customWidth="1"/>
    <col min="3" max="3" width="15.875" style="2" customWidth="1"/>
    <col min="4" max="4" width="13.875" style="2" customWidth="1"/>
    <col min="5" max="8" width="15.875" style="2" customWidth="1"/>
    <col min="9" max="9" width="5.625" style="2" customWidth="1"/>
    <col min="10" max="16384" width="9.375" style="2" customWidth="1"/>
  </cols>
  <sheetData>
    <row r="1" spans="1:9" s="4" customFormat="1" ht="15.75" thickBot="1">
      <c r="A1" s="14"/>
      <c r="H1" s="77" t="s">
        <v>659</v>
      </c>
      <c r="I1" s="589"/>
    </row>
    <row r="2" spans="1:9" s="78" customFormat="1" ht="26.25" customHeight="1">
      <c r="A2" s="590" t="s">
        <v>28</v>
      </c>
      <c r="B2" s="592" t="s">
        <v>497</v>
      </c>
      <c r="C2" s="590" t="s">
        <v>498</v>
      </c>
      <c r="D2" s="590" t="s">
        <v>499</v>
      </c>
      <c r="E2" s="594" t="s">
        <v>867</v>
      </c>
      <c r="F2" s="596" t="s">
        <v>500</v>
      </c>
      <c r="G2" s="597"/>
      <c r="H2" s="598" t="s">
        <v>868</v>
      </c>
      <c r="I2" s="589"/>
    </row>
    <row r="3" spans="1:9" s="79" customFormat="1" ht="40.5" customHeight="1" thickBot="1">
      <c r="A3" s="591"/>
      <c r="B3" s="593"/>
      <c r="C3" s="593"/>
      <c r="D3" s="591"/>
      <c r="E3" s="595"/>
      <c r="F3" s="141" t="s">
        <v>699</v>
      </c>
      <c r="G3" s="142" t="s">
        <v>774</v>
      </c>
      <c r="H3" s="599"/>
      <c r="I3" s="589"/>
    </row>
    <row r="4" spans="1:9" s="83" customFormat="1" ht="12.75" customHeight="1" thickBot="1">
      <c r="A4" s="80" t="s">
        <v>61</v>
      </c>
      <c r="B4" s="63" t="s">
        <v>62</v>
      </c>
      <c r="C4" s="63" t="s">
        <v>63</v>
      </c>
      <c r="D4" s="81" t="s">
        <v>64</v>
      </c>
      <c r="E4" s="80" t="s">
        <v>65</v>
      </c>
      <c r="F4" s="81" t="s">
        <v>66</v>
      </c>
      <c r="G4" s="81" t="s">
        <v>67</v>
      </c>
      <c r="H4" s="82" t="s">
        <v>68</v>
      </c>
      <c r="I4" s="589"/>
    </row>
    <row r="5" spans="1:9" ht="22.5" customHeight="1" thickBot="1">
      <c r="A5" s="84" t="s">
        <v>1</v>
      </c>
      <c r="B5" s="85" t="s">
        <v>501</v>
      </c>
      <c r="C5" s="86"/>
      <c r="D5" s="87"/>
      <c r="E5" s="88">
        <f>SUM(E6:E11)</f>
        <v>0</v>
      </c>
      <c r="F5" s="89">
        <f>SUM(F6:F11)</f>
        <v>0</v>
      </c>
      <c r="G5" s="89">
        <f>SUM(G6:G11)</f>
        <v>0</v>
      </c>
      <c r="H5" s="90">
        <f>SUM(H6:H11)</f>
        <v>0</v>
      </c>
      <c r="I5" s="589"/>
    </row>
    <row r="6" spans="1:9" ht="22.5" customHeight="1">
      <c r="A6" s="91" t="s">
        <v>2</v>
      </c>
      <c r="B6" s="92" t="s">
        <v>502</v>
      </c>
      <c r="C6" s="93"/>
      <c r="D6" s="94"/>
      <c r="E6" s="95"/>
      <c r="F6" s="96"/>
      <c r="G6" s="96"/>
      <c r="H6" s="97"/>
      <c r="I6" s="589"/>
    </row>
    <row r="7" spans="1:9" ht="22.5" customHeight="1">
      <c r="A7" s="91" t="s">
        <v>3</v>
      </c>
      <c r="B7" s="92" t="s">
        <v>502</v>
      </c>
      <c r="C7" s="93"/>
      <c r="D7" s="94"/>
      <c r="E7" s="95"/>
      <c r="F7" s="96"/>
      <c r="G7" s="96"/>
      <c r="H7" s="97"/>
      <c r="I7" s="589"/>
    </row>
    <row r="8" spans="1:9" ht="22.5" customHeight="1">
      <c r="A8" s="98" t="s">
        <v>4</v>
      </c>
      <c r="B8" s="99" t="s">
        <v>502</v>
      </c>
      <c r="C8" s="100"/>
      <c r="D8" s="101"/>
      <c r="E8" s="59"/>
      <c r="F8" s="58"/>
      <c r="G8" s="58"/>
      <c r="H8" s="102"/>
      <c r="I8" s="589"/>
    </row>
    <row r="9" spans="1:9" ht="22.5" customHeight="1">
      <c r="A9" s="98" t="s">
        <v>5</v>
      </c>
      <c r="B9" s="99" t="s">
        <v>502</v>
      </c>
      <c r="C9" s="100"/>
      <c r="D9" s="101"/>
      <c r="E9" s="59"/>
      <c r="F9" s="58"/>
      <c r="G9" s="58"/>
      <c r="H9" s="102"/>
      <c r="I9" s="589"/>
    </row>
    <row r="10" spans="1:9" ht="22.5" customHeight="1">
      <c r="A10" s="98" t="s">
        <v>6</v>
      </c>
      <c r="B10" s="99" t="s">
        <v>502</v>
      </c>
      <c r="C10" s="100"/>
      <c r="D10" s="101"/>
      <c r="E10" s="59"/>
      <c r="F10" s="58"/>
      <c r="G10" s="58"/>
      <c r="H10" s="102"/>
      <c r="I10" s="589"/>
    </row>
    <row r="11" spans="1:9" ht="22.5" customHeight="1" thickBot="1">
      <c r="A11" s="98" t="s">
        <v>7</v>
      </c>
      <c r="B11" s="99" t="s">
        <v>502</v>
      </c>
      <c r="C11" s="100"/>
      <c r="D11" s="101"/>
      <c r="E11" s="59"/>
      <c r="F11" s="58"/>
      <c r="G11" s="58"/>
      <c r="H11" s="102"/>
      <c r="I11" s="589"/>
    </row>
    <row r="12" spans="1:9" ht="22.5" customHeight="1" thickBot="1">
      <c r="A12" s="103" t="s">
        <v>8</v>
      </c>
      <c r="B12" s="104" t="s">
        <v>503</v>
      </c>
      <c r="C12" s="105"/>
      <c r="D12" s="106"/>
      <c r="E12" s="170">
        <f>SUM(E13:E18)</f>
        <v>400023455</v>
      </c>
      <c r="F12" s="172">
        <f>SUM(F13:F18)</f>
        <v>540861660</v>
      </c>
      <c r="G12" s="172">
        <f>SUM(G13:G18)</f>
        <v>651320318</v>
      </c>
      <c r="H12" s="171">
        <f>SUM(H13:H18)</f>
        <v>731820318</v>
      </c>
      <c r="I12" s="589"/>
    </row>
    <row r="13" spans="1:9" ht="22.5" customHeight="1">
      <c r="A13" s="108" t="s">
        <v>9</v>
      </c>
      <c r="B13" s="99" t="s">
        <v>504</v>
      </c>
      <c r="C13" s="100" t="s">
        <v>1144</v>
      </c>
      <c r="D13" s="101" t="s">
        <v>1145</v>
      </c>
      <c r="E13" s="59">
        <v>18900409</v>
      </c>
      <c r="F13" s="58">
        <v>15200000</v>
      </c>
      <c r="G13" s="58">
        <v>12200000</v>
      </c>
      <c r="H13" s="298">
        <v>9200000</v>
      </c>
      <c r="I13" s="589"/>
    </row>
    <row r="14" spans="1:9" ht="22.5" customHeight="1">
      <c r="A14" s="108" t="s">
        <v>10</v>
      </c>
      <c r="B14" s="99" t="s">
        <v>790</v>
      </c>
      <c r="C14" s="100" t="s">
        <v>1008</v>
      </c>
      <c r="D14" s="101" t="s">
        <v>1146</v>
      </c>
      <c r="E14" s="59">
        <v>295059000</v>
      </c>
      <c r="F14" s="58">
        <v>434000000</v>
      </c>
      <c r="G14" s="58">
        <v>550500000</v>
      </c>
      <c r="H14" s="102">
        <v>645000000</v>
      </c>
      <c r="I14" s="589"/>
    </row>
    <row r="15" spans="1:9" ht="28.5" customHeight="1">
      <c r="A15" s="108" t="s">
        <v>11</v>
      </c>
      <c r="B15" s="99" t="s">
        <v>791</v>
      </c>
      <c r="C15" s="100" t="s">
        <v>1008</v>
      </c>
      <c r="D15" s="101" t="s">
        <v>1147</v>
      </c>
      <c r="E15" s="221">
        <v>32205500</v>
      </c>
      <c r="F15" s="58">
        <v>38000000</v>
      </c>
      <c r="G15" s="58">
        <v>35000000</v>
      </c>
      <c r="H15" s="102">
        <v>24000000</v>
      </c>
      <c r="I15" s="589"/>
    </row>
    <row r="16" spans="1:9" ht="22.5" customHeight="1">
      <c r="A16" s="108" t="s">
        <v>12</v>
      </c>
      <c r="B16" s="99" t="s">
        <v>505</v>
      </c>
      <c r="C16" s="100" t="s">
        <v>1148</v>
      </c>
      <c r="D16" s="101" t="s">
        <v>774</v>
      </c>
      <c r="E16" s="145">
        <v>238228</v>
      </c>
      <c r="F16" s="58">
        <v>41342</v>
      </c>
      <c r="G16" s="58"/>
      <c r="H16" s="146"/>
      <c r="I16" s="589"/>
    </row>
    <row r="17" spans="1:9" ht="22.5" customHeight="1">
      <c r="A17" s="108" t="s">
        <v>13</v>
      </c>
      <c r="B17" s="99" t="s">
        <v>506</v>
      </c>
      <c r="C17" s="100" t="s">
        <v>1149</v>
      </c>
      <c r="D17" s="101" t="s">
        <v>1150</v>
      </c>
      <c r="E17" s="59">
        <v>53620318</v>
      </c>
      <c r="F17" s="58">
        <v>53620318</v>
      </c>
      <c r="G17" s="58">
        <v>53620318</v>
      </c>
      <c r="H17" s="102">
        <v>53620318</v>
      </c>
      <c r="I17" s="589"/>
    </row>
    <row r="18" spans="1:9" ht="22.5" customHeight="1" thickBot="1">
      <c r="A18" s="108" t="s">
        <v>14</v>
      </c>
      <c r="B18" s="109" t="s">
        <v>502</v>
      </c>
      <c r="C18" s="110"/>
      <c r="D18" s="111"/>
      <c r="E18" s="112"/>
      <c r="F18" s="61"/>
      <c r="G18" s="61"/>
      <c r="H18" s="102"/>
      <c r="I18" s="589"/>
    </row>
    <row r="19" spans="1:9" ht="24.75" customHeight="1" thickBot="1">
      <c r="A19" s="113" t="s">
        <v>15</v>
      </c>
      <c r="B19" s="104" t="s">
        <v>858</v>
      </c>
      <c r="C19" s="114"/>
      <c r="D19" s="115"/>
      <c r="E19" s="107">
        <f>E5+E12</f>
        <v>400023455</v>
      </c>
      <c r="F19" s="172">
        <f>F5+F12</f>
        <v>540861660</v>
      </c>
      <c r="G19" s="172">
        <f>G5+G12</f>
        <v>651320318</v>
      </c>
      <c r="H19" s="197">
        <f>H5+H12</f>
        <v>731820318</v>
      </c>
      <c r="I19" s="589"/>
    </row>
    <row r="20" ht="19.5" customHeight="1"/>
  </sheetData>
  <sheetProtection/>
  <mergeCells count="8">
    <mergeCell ref="I1:I19"/>
    <mergeCell ref="A2:A3"/>
    <mergeCell ref="B2:B3"/>
    <mergeCell ref="C2:C3"/>
    <mergeCell ref="D2:D3"/>
    <mergeCell ref="E2:E3"/>
    <mergeCell ref="F2:G2"/>
    <mergeCell ref="H2:H3"/>
  </mergeCells>
  <printOptions horizontalCentered="1"/>
  <pageMargins left="0.7874015748031497" right="0.7874015748031497" top="1.7322834645669292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
Az önkormányzat által nyújtott hitel és kölcsön alakulása
 lejárat és eszközök szerinti bontásban&amp;R&amp;11 3.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1">
      <selection activeCell="I80" sqref="I80"/>
    </sheetView>
  </sheetViews>
  <sheetFormatPr defaultColWidth="9.00390625" defaultRowHeight="12.75"/>
  <cols>
    <col min="1" max="1" width="5.875" style="152" customWidth="1"/>
    <col min="2" max="2" width="64.625" style="1" customWidth="1"/>
    <col min="3" max="3" width="4.50390625" style="1" hidden="1" customWidth="1"/>
    <col min="4" max="4" width="14.875" style="1" customWidth="1"/>
    <col min="5" max="16384" width="9.375" style="1" customWidth="1"/>
  </cols>
  <sheetData>
    <row r="1" spans="1:4" s="4" customFormat="1" ht="15.75" thickBot="1">
      <c r="A1" s="14"/>
      <c r="D1" s="169" t="s">
        <v>674</v>
      </c>
    </row>
    <row r="2" spans="1:4" s="5" customFormat="1" ht="48" customHeight="1" thickBot="1">
      <c r="A2" s="147" t="s">
        <v>0</v>
      </c>
      <c r="B2" s="15" t="s">
        <v>662</v>
      </c>
      <c r="C2" s="15" t="s">
        <v>663</v>
      </c>
      <c r="D2" s="148" t="s">
        <v>664</v>
      </c>
    </row>
    <row r="3" spans="1:4" s="5" customFormat="1" ht="13.5" customHeight="1" thickBot="1">
      <c r="A3" s="149" t="s">
        <v>61</v>
      </c>
      <c r="B3" s="150" t="s">
        <v>62</v>
      </c>
      <c r="C3" s="150" t="s">
        <v>63</v>
      </c>
      <c r="D3" s="151" t="s">
        <v>63</v>
      </c>
    </row>
    <row r="4" spans="1:4" ht="18" customHeight="1">
      <c r="A4" s="153" t="s">
        <v>1</v>
      </c>
      <c r="B4" s="154" t="s">
        <v>665</v>
      </c>
      <c r="C4" s="155"/>
      <c r="D4" s="167"/>
    </row>
    <row r="5" spans="1:4" ht="18" customHeight="1">
      <c r="A5" s="156" t="s">
        <v>2</v>
      </c>
      <c r="B5" s="157" t="s">
        <v>666</v>
      </c>
      <c r="C5" s="144"/>
      <c r="D5" s="158"/>
    </row>
    <row r="6" spans="1:4" ht="18" customHeight="1">
      <c r="A6" s="156" t="s">
        <v>3</v>
      </c>
      <c r="B6" s="157" t="s">
        <v>667</v>
      </c>
      <c r="C6" s="144"/>
      <c r="D6" s="158"/>
    </row>
    <row r="7" spans="1:4" ht="18" customHeight="1">
      <c r="A7" s="156" t="s">
        <v>4</v>
      </c>
      <c r="B7" s="157" t="s">
        <v>668</v>
      </c>
      <c r="C7" s="144"/>
      <c r="D7" s="158"/>
    </row>
    <row r="8" spans="1:4" ht="18" customHeight="1">
      <c r="A8" s="159" t="s">
        <v>5</v>
      </c>
      <c r="B8" s="157" t="s">
        <v>669</v>
      </c>
      <c r="C8" s="144">
        <f>SUM(C9:C14)</f>
        <v>0</v>
      </c>
      <c r="D8" s="158">
        <f>SUM(D9:CD14)</f>
        <v>12290818</v>
      </c>
    </row>
    <row r="9" spans="1:4" ht="18" customHeight="1">
      <c r="A9" s="156" t="s">
        <v>6</v>
      </c>
      <c r="B9" s="194" t="s">
        <v>862</v>
      </c>
      <c r="C9" s="144"/>
      <c r="D9" s="158">
        <v>4962526</v>
      </c>
    </row>
    <row r="10" spans="1:4" ht="18" customHeight="1">
      <c r="A10" s="159" t="s">
        <v>7</v>
      </c>
      <c r="B10" s="160" t="s">
        <v>677</v>
      </c>
      <c r="C10" s="144"/>
      <c r="D10" s="158"/>
    </row>
    <row r="11" spans="1:4" ht="18" customHeight="1">
      <c r="A11" s="159" t="s">
        <v>8</v>
      </c>
      <c r="B11" s="160" t="s">
        <v>678</v>
      </c>
      <c r="C11" s="144"/>
      <c r="D11" s="158"/>
    </row>
    <row r="12" spans="1:4" ht="18" customHeight="1">
      <c r="A12" s="156" t="s">
        <v>9</v>
      </c>
      <c r="B12" s="160" t="s">
        <v>861</v>
      </c>
      <c r="C12" s="144"/>
      <c r="D12" s="158"/>
    </row>
    <row r="13" spans="1:4" ht="18" customHeight="1">
      <c r="A13" s="159" t="s">
        <v>10</v>
      </c>
      <c r="B13" s="160" t="s">
        <v>679</v>
      </c>
      <c r="C13" s="144"/>
      <c r="D13" s="158"/>
    </row>
    <row r="14" spans="1:4" ht="12.75">
      <c r="A14" s="156" t="s">
        <v>11</v>
      </c>
      <c r="B14" s="160" t="s">
        <v>1172</v>
      </c>
      <c r="C14" s="144"/>
      <c r="D14" s="158">
        <v>7328292</v>
      </c>
    </row>
    <row r="15" spans="1:4" ht="18" customHeight="1">
      <c r="A15" s="159" t="s">
        <v>12</v>
      </c>
      <c r="B15" s="157" t="s">
        <v>787</v>
      </c>
      <c r="C15" s="144"/>
      <c r="D15" s="158"/>
    </row>
    <row r="16" spans="1:4" ht="18" customHeight="1">
      <c r="A16" s="156" t="s">
        <v>13</v>
      </c>
      <c r="B16" s="157" t="s">
        <v>702</v>
      </c>
      <c r="C16" s="144"/>
      <c r="D16" s="158">
        <v>137700</v>
      </c>
    </row>
    <row r="17" spans="1:4" ht="18" customHeight="1">
      <c r="A17" s="159" t="s">
        <v>14</v>
      </c>
      <c r="B17" s="157" t="s">
        <v>675</v>
      </c>
      <c r="C17" s="144"/>
      <c r="D17" s="158"/>
    </row>
    <row r="18" spans="1:4" ht="18" customHeight="1">
      <c r="A18" s="156" t="s">
        <v>15</v>
      </c>
      <c r="B18" s="157" t="s">
        <v>670</v>
      </c>
      <c r="C18" s="144"/>
      <c r="D18" s="158"/>
    </row>
    <row r="19" spans="1:4" ht="18" customHeight="1">
      <c r="A19" s="159" t="s">
        <v>16</v>
      </c>
      <c r="B19" s="157" t="s">
        <v>671</v>
      </c>
      <c r="C19" s="144"/>
      <c r="D19" s="158"/>
    </row>
    <row r="20" spans="1:4" ht="18" customHeight="1">
      <c r="A20" s="159" t="s">
        <v>17</v>
      </c>
      <c r="B20" s="157" t="s">
        <v>673</v>
      </c>
      <c r="C20" s="144"/>
      <c r="D20" s="158"/>
    </row>
    <row r="21" spans="1:4" ht="18" customHeight="1">
      <c r="A21" s="159" t="s">
        <v>18</v>
      </c>
      <c r="B21" s="157" t="s">
        <v>1152</v>
      </c>
      <c r="C21" s="144"/>
      <c r="D21" s="158">
        <v>465000</v>
      </c>
    </row>
    <row r="22" spans="1:4" ht="18" customHeight="1">
      <c r="A22" s="159" t="s">
        <v>19</v>
      </c>
      <c r="B22" s="157"/>
      <c r="C22" s="144"/>
      <c r="D22" s="158"/>
    </row>
    <row r="23" spans="1:4" ht="18" customHeight="1">
      <c r="A23" s="159" t="s">
        <v>20</v>
      </c>
      <c r="B23" s="157"/>
      <c r="C23" s="144"/>
      <c r="D23" s="158"/>
    </row>
    <row r="24" spans="1:4" ht="18" customHeight="1">
      <c r="A24" s="159" t="s">
        <v>21</v>
      </c>
      <c r="B24" s="157"/>
      <c r="C24" s="144"/>
      <c r="D24" s="158"/>
    </row>
    <row r="25" spans="1:4" ht="18" customHeight="1">
      <c r="A25" s="159" t="s">
        <v>22</v>
      </c>
      <c r="B25" s="157"/>
      <c r="C25" s="144"/>
      <c r="D25" s="158"/>
    </row>
    <row r="26" spans="1:4" ht="18" customHeight="1">
      <c r="A26" s="159" t="s">
        <v>23</v>
      </c>
      <c r="B26" s="161"/>
      <c r="C26" s="144"/>
      <c r="D26" s="158"/>
    </row>
    <row r="27" spans="1:4" ht="18" customHeight="1">
      <c r="A27" s="159" t="s">
        <v>24</v>
      </c>
      <c r="B27" s="161"/>
      <c r="C27" s="144"/>
      <c r="D27" s="158"/>
    </row>
    <row r="28" spans="1:4" ht="18" customHeight="1" thickBot="1">
      <c r="A28" s="159" t="s">
        <v>25</v>
      </c>
      <c r="B28" s="161"/>
      <c r="C28" s="144"/>
      <c r="D28" s="158"/>
    </row>
    <row r="29" spans="1:4" ht="18" customHeight="1" thickBot="1">
      <c r="A29" s="162" t="s">
        <v>26</v>
      </c>
      <c r="B29" s="163" t="s">
        <v>672</v>
      </c>
      <c r="C29" s="164">
        <f>+C4+C5+C6+C7+C8+C15+C16+C17+C18+C19+C20+C21+C22+C23+C24+C25+C26+C27+C28</f>
        <v>0</v>
      </c>
      <c r="D29" s="165">
        <f>+D4+D5+D6+D7+D8+D15+D16+D17+D18+D19+D20+D21+D22+D23+D24+D25+D26+D27+D28</f>
        <v>12893518</v>
      </c>
    </row>
    <row r="30" spans="1:4" ht="25.5" customHeight="1">
      <c r="A30" s="195"/>
      <c r="B30" s="600" t="s">
        <v>680</v>
      </c>
      <c r="C30" s="600"/>
      <c r="D30" s="600"/>
    </row>
    <row r="31" spans="1:4" ht="25.5" customHeight="1">
      <c r="A31" s="195"/>
      <c r="B31" s="600" t="s">
        <v>788</v>
      </c>
      <c r="C31" s="600"/>
      <c r="D31" s="600"/>
    </row>
    <row r="32" spans="1:4" ht="31.5" customHeight="1">
      <c r="A32" s="166"/>
      <c r="B32" s="600" t="s">
        <v>1153</v>
      </c>
      <c r="C32" s="600"/>
      <c r="D32" s="600"/>
    </row>
    <row r="33" spans="2:4" ht="12.75">
      <c r="B33" s="600" t="s">
        <v>1151</v>
      </c>
      <c r="C33" s="600"/>
      <c r="D33" s="600"/>
    </row>
  </sheetData>
  <sheetProtection/>
  <mergeCells count="4">
    <mergeCell ref="B30:D30"/>
    <mergeCell ref="B32:D32"/>
    <mergeCell ref="B31:D31"/>
    <mergeCell ref="B33:D33"/>
  </mergeCells>
  <printOptions horizontalCentered="1"/>
  <pageMargins left="0.7874015748031497" right="0.7874015748031497" top="1.771653543307086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CE,Félkövér"&amp;14
&amp;12
Az önkormányzat által adott közvetett támogatások
(kedvezmények)
&amp;R&amp;11 4. tájékoztató tábla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22"/>
  <sheetViews>
    <sheetView zoomScaleSheetLayoutView="98" workbookViewId="0" topLeftCell="A1">
      <selection activeCell="I80" sqref="I80"/>
    </sheetView>
  </sheetViews>
  <sheetFormatPr defaultColWidth="9.00390625" defaultRowHeight="12.75"/>
  <cols>
    <col min="1" max="1" width="5.50390625" style="3" customWidth="1"/>
    <col min="2" max="2" width="36.875" style="3" customWidth="1"/>
    <col min="3" max="8" width="13.875" style="3" customWidth="1"/>
    <col min="9" max="9" width="15.125" style="3" customWidth="1"/>
    <col min="10" max="12" width="9.375" style="3" customWidth="1"/>
    <col min="13" max="14" width="13.875" style="3" hidden="1" customWidth="1"/>
    <col min="15" max="15" width="12.875" style="3" hidden="1" customWidth="1"/>
    <col min="16" max="16" width="9.375" style="3" hidden="1" customWidth="1"/>
    <col min="17" max="17" width="11.375" style="3" hidden="1" customWidth="1"/>
    <col min="18" max="18" width="14.00390625" style="3" customWidth="1"/>
    <col min="19" max="19" width="10.125" style="3" bestFit="1" customWidth="1"/>
    <col min="20" max="16384" width="9.375" style="3" customWidth="1"/>
  </cols>
  <sheetData>
    <row r="1" spans="8:17" ht="13.5" thickBot="1">
      <c r="H1" s="602" t="s">
        <v>659</v>
      </c>
      <c r="I1" s="602"/>
      <c r="M1" s="30" t="s">
        <v>689</v>
      </c>
      <c r="N1" s="30"/>
      <c r="O1" s="3" t="s">
        <v>696</v>
      </c>
      <c r="P1" s="3" t="s">
        <v>697</v>
      </c>
      <c r="Q1" s="3" t="s">
        <v>693</v>
      </c>
    </row>
    <row r="2" spans="1:14" ht="12.75">
      <c r="A2" s="603" t="s">
        <v>0</v>
      </c>
      <c r="B2" s="605" t="s">
        <v>38</v>
      </c>
      <c r="C2" s="607" t="s">
        <v>39</v>
      </c>
      <c r="D2" s="609" t="s">
        <v>40</v>
      </c>
      <c r="E2" s="610"/>
      <c r="F2" s="610"/>
      <c r="G2" s="610"/>
      <c r="H2" s="611"/>
      <c r="I2" s="612" t="s">
        <v>41</v>
      </c>
      <c r="M2" s="607" t="s">
        <v>39</v>
      </c>
      <c r="N2" s="271"/>
    </row>
    <row r="3" spans="1:14" s="5" customFormat="1" ht="42" customHeight="1" thickBot="1">
      <c r="A3" s="604"/>
      <c r="B3" s="606"/>
      <c r="C3" s="608"/>
      <c r="D3" s="354" t="s">
        <v>42</v>
      </c>
      <c r="E3" s="354" t="s">
        <v>43</v>
      </c>
      <c r="F3" s="354" t="s">
        <v>44</v>
      </c>
      <c r="G3" s="393" t="s">
        <v>45</v>
      </c>
      <c r="H3" s="393" t="s">
        <v>46</v>
      </c>
      <c r="I3" s="613"/>
      <c r="M3" s="608"/>
      <c r="N3" s="271"/>
    </row>
    <row r="4" spans="1:14" s="5" customFormat="1" ht="12" customHeight="1" thickBot="1">
      <c r="A4" s="47" t="s">
        <v>61</v>
      </c>
      <c r="B4" s="16" t="s">
        <v>62</v>
      </c>
      <c r="C4" s="16" t="s">
        <v>63</v>
      </c>
      <c r="D4" s="16" t="s">
        <v>64</v>
      </c>
      <c r="E4" s="16" t="s">
        <v>65</v>
      </c>
      <c r="F4" s="16" t="s">
        <v>66</v>
      </c>
      <c r="G4" s="16" t="s">
        <v>67</v>
      </c>
      <c r="H4" s="16" t="s">
        <v>69</v>
      </c>
      <c r="I4" s="17" t="s">
        <v>70</v>
      </c>
      <c r="M4" s="16" t="s">
        <v>63</v>
      </c>
      <c r="N4" s="272"/>
    </row>
    <row r="5" spans="1:9" s="5" customFormat="1" ht="18" customHeight="1" thickBot="1">
      <c r="A5" s="614" t="s">
        <v>47</v>
      </c>
      <c r="B5" s="615"/>
      <c r="C5" s="615"/>
      <c r="D5" s="615"/>
      <c r="E5" s="615"/>
      <c r="F5" s="615"/>
      <c r="G5" s="615"/>
      <c r="H5" s="615"/>
      <c r="I5" s="616"/>
    </row>
    <row r="6" spans="1:14" ht="15.75" customHeight="1">
      <c r="A6" s="53" t="s">
        <v>1</v>
      </c>
      <c r="B6" s="54" t="s">
        <v>48</v>
      </c>
      <c r="C6" s="55"/>
      <c r="D6" s="55"/>
      <c r="E6" s="55"/>
      <c r="F6" s="55"/>
      <c r="G6" s="55"/>
      <c r="H6" s="56">
        <f aca="true" t="shared" si="0" ref="H6:H12">SUM(D6:G6)</f>
        <v>0</v>
      </c>
      <c r="I6" s="57">
        <f aca="true" t="shared" si="1" ref="I6:I12">C6+H6</f>
        <v>0</v>
      </c>
      <c r="M6" s="7"/>
      <c r="N6" s="273"/>
    </row>
    <row r="7" spans="1:14" ht="24">
      <c r="A7" s="10" t="s">
        <v>2</v>
      </c>
      <c r="B7" s="9" t="s">
        <v>29</v>
      </c>
      <c r="C7" s="7">
        <v>56747405</v>
      </c>
      <c r="D7" s="7"/>
      <c r="E7" s="7"/>
      <c r="F7" s="7"/>
      <c r="G7" s="7"/>
      <c r="H7" s="52">
        <f t="shared" si="0"/>
        <v>0</v>
      </c>
      <c r="I7" s="11">
        <f t="shared" si="1"/>
        <v>56747405</v>
      </c>
      <c r="M7" s="7"/>
      <c r="N7" s="273"/>
    </row>
    <row r="8" spans="1:14" ht="24">
      <c r="A8" s="10" t="s">
        <v>3</v>
      </c>
      <c r="B8" s="9" t="s">
        <v>30</v>
      </c>
      <c r="C8" s="7"/>
      <c r="D8" s="7"/>
      <c r="E8" s="7"/>
      <c r="F8" s="7"/>
      <c r="G8" s="7"/>
      <c r="H8" s="52">
        <f t="shared" si="0"/>
        <v>0</v>
      </c>
      <c r="I8" s="11">
        <f t="shared" si="1"/>
        <v>0</v>
      </c>
      <c r="M8" s="7"/>
      <c r="N8" s="273"/>
    </row>
    <row r="9" spans="1:14" ht="15.75" customHeight="1">
      <c r="A9" s="10" t="s">
        <v>4</v>
      </c>
      <c r="B9" s="9" t="s">
        <v>31</v>
      </c>
      <c r="C9" s="7"/>
      <c r="D9" s="7"/>
      <c r="E9" s="7"/>
      <c r="F9" s="7"/>
      <c r="G9" s="7"/>
      <c r="H9" s="52">
        <f t="shared" si="0"/>
        <v>0</v>
      </c>
      <c r="I9" s="11">
        <f t="shared" si="1"/>
        <v>0</v>
      </c>
      <c r="M9" s="7"/>
      <c r="N9" s="273"/>
    </row>
    <row r="10" spans="1:14" ht="24">
      <c r="A10" s="10" t="s">
        <v>5</v>
      </c>
      <c r="B10" s="9" t="s">
        <v>32</v>
      </c>
      <c r="C10" s="7"/>
      <c r="D10" s="7"/>
      <c r="E10" s="7"/>
      <c r="F10" s="7"/>
      <c r="G10" s="7"/>
      <c r="H10" s="52">
        <f t="shared" si="0"/>
        <v>0</v>
      </c>
      <c r="I10" s="11">
        <f t="shared" si="1"/>
        <v>0</v>
      </c>
      <c r="M10" s="7"/>
      <c r="N10" s="273"/>
    </row>
    <row r="11" spans="1:18" ht="15.75" customHeight="1">
      <c r="A11" s="10" t="s">
        <v>6</v>
      </c>
      <c r="B11" s="9" t="s">
        <v>49</v>
      </c>
      <c r="C11" s="246">
        <f>23913070+1044233+41617588+8281825+285714</f>
        <v>75142430</v>
      </c>
      <c r="D11" s="7"/>
      <c r="E11" s="7"/>
      <c r="F11" s="7"/>
      <c r="G11" s="7"/>
      <c r="H11" s="52">
        <f t="shared" si="0"/>
        <v>0</v>
      </c>
      <c r="I11" s="11">
        <f t="shared" si="1"/>
        <v>75142430</v>
      </c>
      <c r="M11" s="246">
        <v>10820439</v>
      </c>
      <c r="N11" s="246">
        <v>5676</v>
      </c>
      <c r="O11" s="246">
        <v>90800856</v>
      </c>
      <c r="P11" s="246">
        <v>340267</v>
      </c>
      <c r="Q11" s="392">
        <v>14107271</v>
      </c>
      <c r="R11" s="273"/>
    </row>
    <row r="12" spans="1:17" ht="15.75" customHeight="1" thickBot="1">
      <c r="A12" s="10" t="s">
        <v>7</v>
      </c>
      <c r="B12" s="9" t="s">
        <v>50</v>
      </c>
      <c r="C12" s="7">
        <v>160021443</v>
      </c>
      <c r="D12" s="7"/>
      <c r="E12" s="7"/>
      <c r="F12" s="7"/>
      <c r="G12" s="7">
        <v>0</v>
      </c>
      <c r="H12" s="52">
        <f t="shared" si="0"/>
        <v>0</v>
      </c>
      <c r="I12" s="11">
        <f t="shared" si="1"/>
        <v>160021443</v>
      </c>
      <c r="M12" s="22">
        <v>159791</v>
      </c>
      <c r="N12" s="22"/>
      <c r="O12" s="22">
        <v>241082749</v>
      </c>
      <c r="P12" s="22"/>
      <c r="Q12" s="22">
        <v>26703451</v>
      </c>
    </row>
    <row r="13" spans="1:14" ht="24.75" thickBot="1">
      <c r="A13" s="10" t="s">
        <v>8</v>
      </c>
      <c r="B13" s="9" t="s">
        <v>84</v>
      </c>
      <c r="C13" s="7"/>
      <c r="D13" s="7"/>
      <c r="E13" s="7"/>
      <c r="F13" s="7"/>
      <c r="G13" s="7"/>
      <c r="H13" s="52"/>
      <c r="I13" s="11">
        <f>C13+H13</f>
        <v>0</v>
      </c>
      <c r="M13" s="12">
        <f>SUM(M6:M12)</f>
        <v>10980230</v>
      </c>
      <c r="N13" s="274"/>
    </row>
    <row r="14" spans="1:9" s="8" customFormat="1" ht="18" customHeight="1" thickBot="1">
      <c r="A14" s="617" t="s">
        <v>51</v>
      </c>
      <c r="B14" s="618"/>
      <c r="C14" s="12">
        <f>SUM(C6:C13)</f>
        <v>291911278</v>
      </c>
      <c r="D14" s="12">
        <f>SUM(D6:D12)</f>
        <v>0</v>
      </c>
      <c r="E14" s="12">
        <f>SUM(E6:E12)</f>
        <v>0</v>
      </c>
      <c r="F14" s="12">
        <f>SUM(F6:F12)</f>
        <v>0</v>
      </c>
      <c r="G14" s="24">
        <f>SUM(G6:G12)</f>
        <v>0</v>
      </c>
      <c r="H14" s="24">
        <f>SUM(H6:H12)</f>
        <v>0</v>
      </c>
      <c r="I14" s="13">
        <f>SUM(I6:I13)</f>
        <v>291911278</v>
      </c>
    </row>
    <row r="15" spans="1:14" s="6" customFormat="1" ht="18" customHeight="1">
      <c r="A15" s="619" t="s">
        <v>52</v>
      </c>
      <c r="B15" s="620"/>
      <c r="C15" s="620"/>
      <c r="D15" s="620"/>
      <c r="E15" s="620"/>
      <c r="F15" s="620"/>
      <c r="G15" s="620"/>
      <c r="H15" s="620"/>
      <c r="I15" s="621"/>
      <c r="M15" s="7"/>
      <c r="N15" s="273"/>
    </row>
    <row r="16" spans="1:14" s="6" customFormat="1" ht="13.5" thickBot="1">
      <c r="A16" s="10" t="s">
        <v>1</v>
      </c>
      <c r="B16" s="9" t="s">
        <v>53</v>
      </c>
      <c r="C16" s="7"/>
      <c r="D16" s="7"/>
      <c r="E16" s="7"/>
      <c r="F16" s="7"/>
      <c r="G16" s="18"/>
      <c r="H16" s="19">
        <f>SUM(D16:G16)</f>
        <v>0</v>
      </c>
      <c r="I16" s="11">
        <f>C16+H16</f>
        <v>0</v>
      </c>
      <c r="M16" s="22"/>
      <c r="N16" s="273"/>
    </row>
    <row r="17" spans="1:14" ht="13.5" thickBot="1">
      <c r="A17" s="20" t="s">
        <v>2</v>
      </c>
      <c r="B17" s="21" t="s">
        <v>50</v>
      </c>
      <c r="C17" s="22"/>
      <c r="D17" s="22"/>
      <c r="E17" s="22"/>
      <c r="F17" s="22"/>
      <c r="G17" s="23"/>
      <c r="H17" s="19">
        <f>SUM(D17:G17)</f>
        <v>0</v>
      </c>
      <c r="I17" s="25">
        <f>C17+H17</f>
        <v>0</v>
      </c>
      <c r="M17" s="12">
        <f>SUM(M15:M16)</f>
        <v>0</v>
      </c>
      <c r="N17" s="274"/>
    </row>
    <row r="18" spans="1:14" ht="15.75" customHeight="1" thickBot="1">
      <c r="A18" s="617" t="s">
        <v>54</v>
      </c>
      <c r="B18" s="618"/>
      <c r="C18" s="12">
        <f aca="true" t="shared" si="2" ref="C18:I18">SUM(C16:C17)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24">
        <f t="shared" si="2"/>
        <v>0</v>
      </c>
      <c r="H18" s="24">
        <f t="shared" si="2"/>
        <v>0</v>
      </c>
      <c r="I18" s="13">
        <f t="shared" si="2"/>
        <v>0</v>
      </c>
      <c r="M18" s="26">
        <f>M13+M17</f>
        <v>10980230</v>
      </c>
      <c r="N18" s="275"/>
    </row>
    <row r="19" spans="1:9" ht="18" customHeight="1" thickBot="1">
      <c r="A19" s="622" t="s">
        <v>55</v>
      </c>
      <c r="B19" s="623"/>
      <c r="C19" s="26">
        <f aca="true" t="shared" si="3" ref="C19:I19">C14+C18</f>
        <v>291911278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  <c r="I19" s="13">
        <f t="shared" si="3"/>
        <v>291911278</v>
      </c>
    </row>
    <row r="22" spans="3:6" ht="12.75">
      <c r="C22" s="601"/>
      <c r="D22" s="601"/>
      <c r="E22" s="601"/>
      <c r="F22" s="601"/>
    </row>
  </sheetData>
  <sheetProtection/>
  <mergeCells count="13">
    <mergeCell ref="M2:M3"/>
    <mergeCell ref="A5:I5"/>
    <mergeCell ref="A14:B14"/>
    <mergeCell ref="A15:I15"/>
    <mergeCell ref="A18:B18"/>
    <mergeCell ref="A19:B19"/>
    <mergeCell ref="C22:F22"/>
    <mergeCell ref="H1:I1"/>
    <mergeCell ref="A2:A3"/>
    <mergeCell ref="B2:B3"/>
    <mergeCell ref="C2:C3"/>
    <mergeCell ref="D2:H2"/>
    <mergeCell ref="I2:I3"/>
  </mergeCells>
  <printOptions horizontalCentered="1"/>
  <pageMargins left="0.5905511811023623" right="0.5905511811023623" top="1.7716535433070868" bottom="0.984251968503937" header="0.7874015748031497" footer="0.5905511811023623"/>
  <pageSetup horizontalDpi="600" verticalDpi="600" orientation="landscape" paperSize="9" scale="95" r:id="rId3"/>
  <headerFooter alignWithMargins="0">
    <oddHeader>&amp;C&amp;"Times New Roman CE,Félkövér"&amp;12
Adósságállomány alakulása lejárat, eszközök, bel- és külföldi hitelezők szerinti bontásban
2023. december 31-én&amp;"Times New Roman CE,Félkövér dőlt"
&amp;R5. tájékoztató tábla</oddHeader>
  </headerFooter>
  <colBreaks count="1" manualBreakCount="1">
    <brk id="9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zoomScaleSheetLayoutView="100" workbookViewId="0" topLeftCell="A1">
      <selection activeCell="J29" sqref="J29"/>
    </sheetView>
  </sheetViews>
  <sheetFormatPr defaultColWidth="9.00390625" defaultRowHeight="12.75"/>
  <cols>
    <col min="1" max="1" width="17.375" style="65" customWidth="1"/>
    <col min="2" max="2" width="49.375" style="65" customWidth="1"/>
    <col min="3" max="3" width="15.875" style="65" customWidth="1"/>
    <col min="4" max="4" width="22.125" style="65" customWidth="1"/>
    <col min="5" max="5" width="25.00390625" style="65" customWidth="1"/>
    <col min="6" max="16384" width="9.375" style="65" customWidth="1"/>
  </cols>
  <sheetData>
    <row r="1" spans="1:5" ht="21" customHeight="1">
      <c r="A1" s="64"/>
      <c r="E1" s="66" t="s">
        <v>792</v>
      </c>
    </row>
    <row r="2" spans="1:5" ht="15.75">
      <c r="A2" s="64"/>
      <c r="E2" s="66"/>
    </row>
    <row r="3" spans="1:5" ht="12.75" customHeight="1">
      <c r="A3" s="64"/>
      <c r="E3" s="222"/>
    </row>
    <row r="4" spans="1:5" ht="47.25" customHeight="1">
      <c r="A4" s="624" t="s">
        <v>869</v>
      </c>
      <c r="B4" s="624"/>
      <c r="C4" s="624"/>
      <c r="D4" s="624"/>
      <c r="E4" s="624"/>
    </row>
    <row r="5" spans="1:5" ht="16.5">
      <c r="A5" s="355"/>
      <c r="B5" s="355"/>
      <c r="C5" s="355"/>
      <c r="D5" s="355"/>
      <c r="E5" s="355"/>
    </row>
    <row r="6" spans="1:5" ht="16.5" thickBot="1">
      <c r="A6" s="67"/>
      <c r="E6" s="168"/>
    </row>
    <row r="7" spans="1:5" ht="81.75" customHeight="1" thickBot="1">
      <c r="A7" s="227" t="s">
        <v>56</v>
      </c>
      <c r="B7" s="68" t="s">
        <v>90</v>
      </c>
      <c r="C7" s="68" t="s">
        <v>859</v>
      </c>
      <c r="D7" s="68" t="s">
        <v>91</v>
      </c>
      <c r="E7" s="69" t="s">
        <v>92</v>
      </c>
    </row>
    <row r="8" spans="1:13" ht="24.75" customHeight="1">
      <c r="A8" s="504" t="s">
        <v>1</v>
      </c>
      <c r="B8" s="223" t="s">
        <v>93</v>
      </c>
      <c r="C8" s="228">
        <v>100</v>
      </c>
      <c r="D8" s="346">
        <v>29500000</v>
      </c>
      <c r="E8" s="558">
        <v>12328384</v>
      </c>
      <c r="F8" s="394"/>
      <c r="G8" s="394"/>
      <c r="H8" s="394"/>
      <c r="I8" s="394"/>
      <c r="J8" s="394"/>
      <c r="K8" s="395"/>
      <c r="L8" s="395"/>
      <c r="M8" s="395"/>
    </row>
    <row r="9" spans="1:5" ht="24.75" customHeight="1">
      <c r="A9" s="505" t="s">
        <v>2</v>
      </c>
      <c r="B9" s="224" t="s">
        <v>94</v>
      </c>
      <c r="C9" s="229">
        <v>100</v>
      </c>
      <c r="D9" s="276">
        <v>3000000</v>
      </c>
      <c r="E9" s="297">
        <v>59495083</v>
      </c>
    </row>
    <row r="10" spans="1:5" ht="24.75" customHeight="1">
      <c r="A10" s="505" t="s">
        <v>3</v>
      </c>
      <c r="B10" s="224" t="s">
        <v>95</v>
      </c>
      <c r="C10" s="229">
        <v>100</v>
      </c>
      <c r="D10" s="276">
        <v>320000000</v>
      </c>
      <c r="E10" s="297">
        <v>55441138</v>
      </c>
    </row>
    <row r="11" spans="1:5" ht="24.75" customHeight="1">
      <c r="A11" s="505" t="s">
        <v>4</v>
      </c>
      <c r="B11" s="224" t="s">
        <v>657</v>
      </c>
      <c r="C11" s="229">
        <v>100</v>
      </c>
      <c r="D11" s="276">
        <v>4351200000</v>
      </c>
      <c r="E11" s="297">
        <v>1213668062</v>
      </c>
    </row>
    <row r="12" spans="1:5" ht="24.75" customHeight="1">
      <c r="A12" s="506" t="s">
        <v>5</v>
      </c>
      <c r="B12" s="224"/>
      <c r="C12" s="225"/>
      <c r="D12" s="276"/>
      <c r="E12" s="297"/>
    </row>
    <row r="13" spans="1:5" ht="24.75" customHeight="1">
      <c r="A13" s="506" t="s">
        <v>6</v>
      </c>
      <c r="B13" s="224"/>
      <c r="C13" s="225"/>
      <c r="D13" s="276"/>
      <c r="E13" s="297"/>
    </row>
    <row r="14" spans="1:5" ht="24.75" customHeight="1">
      <c r="A14" s="506" t="s">
        <v>7</v>
      </c>
      <c r="B14" s="224"/>
      <c r="C14" s="70"/>
      <c r="D14" s="71"/>
      <c r="E14" s="226"/>
    </row>
    <row r="15" spans="1:5" ht="24.75" customHeight="1">
      <c r="A15" s="506" t="s">
        <v>8</v>
      </c>
      <c r="B15" s="224"/>
      <c r="C15" s="70"/>
      <c r="D15" s="71"/>
      <c r="E15" s="226"/>
    </row>
    <row r="16" spans="1:5" ht="24.75" customHeight="1">
      <c r="A16" s="506" t="s">
        <v>9</v>
      </c>
      <c r="B16" s="224"/>
      <c r="C16" s="70"/>
      <c r="D16" s="71"/>
      <c r="E16" s="226"/>
    </row>
    <row r="17" spans="1:5" ht="24.75" customHeight="1" thickBot="1">
      <c r="A17" s="506" t="s">
        <v>10</v>
      </c>
      <c r="B17" s="224"/>
      <c r="C17" s="70"/>
      <c r="D17" s="71"/>
      <c r="E17" s="226"/>
    </row>
    <row r="18" spans="1:5" ht="19.5" customHeight="1" thickBot="1">
      <c r="A18" s="72" t="s">
        <v>96</v>
      </c>
      <c r="B18" s="76"/>
      <c r="C18" s="73"/>
      <c r="D18" s="74">
        <f>IF(SUM(D8:D17)=0,"",SUM(D8:D17))</f>
        <v>4703700000</v>
      </c>
      <c r="E18" s="75">
        <f>IF(SUM(E8:E17)=0,"",SUM(E8:E17))</f>
        <v>1340932667</v>
      </c>
    </row>
    <row r="19" ht="15.75">
      <c r="A19" s="67"/>
    </row>
    <row r="21" ht="13.5" thickBot="1"/>
    <row r="22" ht="16.5" thickBot="1">
      <c r="D22" s="345"/>
    </row>
  </sheetData>
  <sheetProtection/>
  <mergeCells count="1">
    <mergeCell ref="A4:E4"/>
  </mergeCells>
  <printOptions horizontalCentered="1" verticalCentered="1"/>
  <pageMargins left="0.7086614173228347" right="0.7086614173228347" top="0.32447916666666665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7"/>
  <sheetViews>
    <sheetView tabSelected="1" view="pageBreakPreview" zoomScale="118" zoomScaleSheetLayoutView="118" workbookViewId="0" topLeftCell="A1">
      <pane xSplit="2" ySplit="7" topLeftCell="C8" activePane="bottomRight" state="frozen"/>
      <selection pane="topLeft" activeCell="I80" sqref="I80"/>
      <selection pane="topRight" activeCell="I80" sqref="I80"/>
      <selection pane="bottomLeft" activeCell="I80" sqref="I80"/>
      <selection pane="bottomRight" activeCell="R13" sqref="R13"/>
    </sheetView>
  </sheetViews>
  <sheetFormatPr defaultColWidth="9.00390625" defaultRowHeight="12.75"/>
  <cols>
    <col min="1" max="1" width="7.625" style="277" customWidth="1"/>
    <col min="2" max="2" width="60.875" style="277" customWidth="1"/>
    <col min="3" max="3" width="20.625" style="277" customWidth="1"/>
    <col min="4" max="10" width="16.875" style="277" hidden="1" customWidth="1"/>
    <col min="11" max="11" width="15.125" style="277" hidden="1" customWidth="1"/>
    <col min="12" max="12" width="19.50390625" style="279" hidden="1" customWidth="1"/>
    <col min="13" max="13" width="0" style="277" hidden="1" customWidth="1"/>
    <col min="14" max="16384" width="9.375" style="277" customWidth="1"/>
  </cols>
  <sheetData>
    <row r="1" spans="3:10" ht="15">
      <c r="C1" s="396" t="s">
        <v>89</v>
      </c>
      <c r="E1" s="278"/>
      <c r="F1" s="278"/>
      <c r="G1" s="278"/>
      <c r="H1" s="278"/>
      <c r="I1" s="278"/>
      <c r="J1" s="278"/>
    </row>
    <row r="2" spans="3:10" ht="15">
      <c r="C2" s="278"/>
      <c r="E2" s="278"/>
      <c r="F2" s="278"/>
      <c r="G2" s="278"/>
      <c r="H2" s="278"/>
      <c r="I2" s="278"/>
      <c r="J2" s="278"/>
    </row>
    <row r="3" spans="1:10" ht="14.25">
      <c r="A3" s="280"/>
      <c r="B3" s="280"/>
      <c r="C3" s="280"/>
      <c r="D3" s="280"/>
      <c r="E3" s="280"/>
      <c r="F3" s="280"/>
      <c r="G3" s="280"/>
      <c r="H3" s="280"/>
      <c r="I3" s="280"/>
      <c r="J3" s="280"/>
    </row>
    <row r="4" spans="1:3" ht="33.75" customHeight="1">
      <c r="A4" s="625" t="s">
        <v>77</v>
      </c>
      <c r="B4" s="625"/>
      <c r="C4" s="625"/>
    </row>
    <row r="5" spans="1:3" ht="14.25">
      <c r="A5" s="356"/>
      <c r="B5" s="356"/>
      <c r="C5" s="356"/>
    </row>
    <row r="6" spans="3:11" ht="13.5" thickBot="1">
      <c r="C6" s="281"/>
      <c r="D6" s="282" t="s">
        <v>688</v>
      </c>
      <c r="E6" s="282" t="s">
        <v>695</v>
      </c>
      <c r="F6" s="282" t="s">
        <v>689</v>
      </c>
      <c r="G6" s="282" t="s">
        <v>690</v>
      </c>
      <c r="H6" s="282" t="s">
        <v>691</v>
      </c>
      <c r="I6" s="282" t="s">
        <v>692</v>
      </c>
      <c r="J6" s="282" t="s">
        <v>693</v>
      </c>
      <c r="K6" s="282" t="s">
        <v>698</v>
      </c>
    </row>
    <row r="7" spans="1:12" s="283" customFormat="1" ht="43.5" customHeight="1" thickBot="1">
      <c r="A7" s="27" t="s">
        <v>0</v>
      </c>
      <c r="B7" s="631" t="s">
        <v>1174</v>
      </c>
      <c r="C7" s="29" t="s">
        <v>79</v>
      </c>
      <c r="D7" s="29" t="s">
        <v>79</v>
      </c>
      <c r="E7" s="29" t="s">
        <v>79</v>
      </c>
      <c r="F7" s="29" t="s">
        <v>79</v>
      </c>
      <c r="G7" s="29" t="s">
        <v>79</v>
      </c>
      <c r="H7" s="29" t="s">
        <v>79</v>
      </c>
      <c r="I7" s="29" t="s">
        <v>79</v>
      </c>
      <c r="J7" s="29" t="s">
        <v>79</v>
      </c>
      <c r="L7" s="284"/>
    </row>
    <row r="8" spans="1:12" ht="28.5" customHeight="1">
      <c r="A8" s="41" t="s">
        <v>1</v>
      </c>
      <c r="B8" s="285" t="s">
        <v>870</v>
      </c>
      <c r="C8" s="286">
        <f>C9+C10</f>
        <v>519009198</v>
      </c>
      <c r="D8" s="33">
        <f aca="true" t="shared" si="0" ref="D8:J8">D9+D10</f>
        <v>0</v>
      </c>
      <c r="E8" s="33"/>
      <c r="F8" s="33">
        <f t="shared" si="0"/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L8" s="279">
        <f>SUM(D8:K8)</f>
        <v>0</v>
      </c>
    </row>
    <row r="9" spans="1:14" ht="18" customHeight="1">
      <c r="A9" s="34" t="s">
        <v>2</v>
      </c>
      <c r="B9" s="287" t="s">
        <v>57</v>
      </c>
      <c r="C9" s="288">
        <v>517980733</v>
      </c>
      <c r="D9" s="36"/>
      <c r="E9" s="36"/>
      <c r="F9" s="36"/>
      <c r="G9" s="36"/>
      <c r="H9" s="36"/>
      <c r="I9" s="36"/>
      <c r="J9" s="36"/>
      <c r="L9" s="279">
        <f>SUM(D9:K9)</f>
        <v>0</v>
      </c>
      <c r="N9" s="461"/>
    </row>
    <row r="10" spans="1:14" ht="18" customHeight="1">
      <c r="A10" s="34" t="s">
        <v>3</v>
      </c>
      <c r="B10" s="287" t="s">
        <v>1173</v>
      </c>
      <c r="C10" s="288">
        <v>1028465</v>
      </c>
      <c r="D10" s="36"/>
      <c r="E10" s="36"/>
      <c r="F10" s="36"/>
      <c r="G10" s="36"/>
      <c r="H10" s="36"/>
      <c r="I10" s="36"/>
      <c r="J10" s="36"/>
      <c r="N10" s="461"/>
    </row>
    <row r="11" spans="1:11" ht="18" customHeight="1">
      <c r="A11" s="34" t="s">
        <v>4</v>
      </c>
      <c r="B11" s="289" t="s">
        <v>59</v>
      </c>
      <c r="C11" s="288">
        <v>107132915270</v>
      </c>
      <c r="D11" s="36"/>
      <c r="E11" s="36"/>
      <c r="F11" s="36"/>
      <c r="G11" s="36"/>
      <c r="H11" s="36"/>
      <c r="I11" s="36"/>
      <c r="J11" s="36"/>
      <c r="K11" s="290"/>
    </row>
    <row r="12" spans="1:11" ht="18" customHeight="1">
      <c r="A12" s="34" t="s">
        <v>5</v>
      </c>
      <c r="B12" s="289" t="s">
        <v>60</v>
      </c>
      <c r="C12" s="288">
        <v>106389268926</v>
      </c>
      <c r="D12" s="40"/>
      <c r="E12" s="40"/>
      <c r="F12" s="40"/>
      <c r="G12" s="40"/>
      <c r="H12" s="40"/>
      <c r="I12" s="40"/>
      <c r="J12" s="40"/>
      <c r="K12" s="290"/>
    </row>
    <row r="13" spans="1:10" ht="18" customHeight="1" thickBot="1">
      <c r="A13" s="34" t="s">
        <v>6</v>
      </c>
      <c r="B13" s="291" t="s">
        <v>78</v>
      </c>
      <c r="C13" s="288">
        <f>(C8+C11-C12-C14)*-1</f>
        <v>-46003771</v>
      </c>
      <c r="D13" s="46"/>
      <c r="E13" s="46"/>
      <c r="F13" s="46"/>
      <c r="G13" s="46"/>
      <c r="H13" s="46"/>
      <c r="I13" s="46"/>
      <c r="J13" s="46"/>
    </row>
    <row r="14" spans="1:10" ht="25.5" customHeight="1">
      <c r="A14" s="34" t="s">
        <v>7</v>
      </c>
      <c r="B14" s="292" t="s">
        <v>871</v>
      </c>
      <c r="C14" s="293">
        <f>SUM(C15:C16)</f>
        <v>1216651771</v>
      </c>
      <c r="D14" s="43">
        <f aca="true" t="shared" si="1" ref="D14:J14">D8+D11-D12+D13</f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43">
        <f t="shared" si="1"/>
        <v>0</v>
      </c>
      <c r="I14" s="43">
        <f t="shared" si="1"/>
        <v>0</v>
      </c>
      <c r="J14" s="43">
        <f t="shared" si="1"/>
        <v>0</v>
      </c>
    </row>
    <row r="15" spans="1:12" ht="18" customHeight="1">
      <c r="A15" s="34" t="s">
        <v>8</v>
      </c>
      <c r="B15" s="287" t="s">
        <v>57</v>
      </c>
      <c r="C15" s="288">
        <v>1215530611</v>
      </c>
      <c r="D15" s="36"/>
      <c r="E15" s="36"/>
      <c r="F15" s="36"/>
      <c r="G15" s="36"/>
      <c r="H15" s="36"/>
      <c r="I15" s="36"/>
      <c r="J15" s="36"/>
      <c r="L15" s="279">
        <f>SUM(D15:J15)</f>
        <v>0</v>
      </c>
    </row>
    <row r="16" spans="1:12" ht="18" customHeight="1" thickBot="1">
      <c r="A16" s="44" t="s">
        <v>9</v>
      </c>
      <c r="B16" s="294" t="s">
        <v>1173</v>
      </c>
      <c r="C16" s="295">
        <v>1121160</v>
      </c>
      <c r="D16" s="46"/>
      <c r="E16" s="46"/>
      <c r="F16" s="46"/>
      <c r="G16" s="46"/>
      <c r="H16" s="46"/>
      <c r="I16" s="46"/>
      <c r="J16" s="46"/>
      <c r="L16" s="279">
        <f>SUM(D16:J16)</f>
        <v>0</v>
      </c>
    </row>
    <row r="17" spans="4:10" ht="12.75">
      <c r="D17" s="296">
        <f aca="true" t="shared" si="2" ref="D17:J17">SUM(D15:D16)</f>
        <v>0</v>
      </c>
      <c r="E17" s="296">
        <f t="shared" si="2"/>
        <v>0</v>
      </c>
      <c r="F17" s="296">
        <f t="shared" si="2"/>
        <v>0</v>
      </c>
      <c r="G17" s="296">
        <f t="shared" si="2"/>
        <v>0</v>
      </c>
      <c r="H17" s="296">
        <f t="shared" si="2"/>
        <v>0</v>
      </c>
      <c r="I17" s="296">
        <f t="shared" si="2"/>
        <v>0</v>
      </c>
      <c r="J17" s="296">
        <f t="shared" si="2"/>
        <v>0</v>
      </c>
    </row>
  </sheetData>
  <sheetProtection/>
  <mergeCells count="1">
    <mergeCell ref="A4:C4"/>
  </mergeCells>
  <conditionalFormatting sqref="D14:J14">
    <cfRule type="cellIs" priority="7" dxfId="2" operator="notEqual" stopIfTrue="1">
      <formula>SUM(D15:D16)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F21" sqref="F21"/>
    </sheetView>
  </sheetViews>
  <sheetFormatPr defaultColWidth="9.00390625" defaultRowHeight="12.75"/>
  <cols>
    <col min="1" max="1" width="7.625" style="3" customWidth="1"/>
    <col min="2" max="2" width="60.875" style="3" customWidth="1"/>
    <col min="3" max="3" width="25.625" style="3" customWidth="1"/>
    <col min="4" max="4" width="9.375" style="3" customWidth="1"/>
    <col min="5" max="5" width="12.875" style="3" customWidth="1"/>
    <col min="6" max="6" width="13.375" style="3" customWidth="1"/>
    <col min="7" max="16384" width="9.375" style="3" customWidth="1"/>
  </cols>
  <sheetData>
    <row r="1" ht="15">
      <c r="C1" s="48" t="s">
        <v>80</v>
      </c>
    </row>
    <row r="2" spans="1:3" ht="14.25">
      <c r="A2" s="49"/>
      <c r="B2" s="49"/>
      <c r="C2" s="49"/>
    </row>
    <row r="3" spans="1:3" ht="33.75" customHeight="1">
      <c r="A3" s="626" t="s">
        <v>77</v>
      </c>
      <c r="B3" s="626"/>
      <c r="C3" s="626"/>
    </row>
    <row r="4" ht="13.5" thickBot="1">
      <c r="C4" s="50"/>
    </row>
    <row r="5" spans="1:3" s="30" customFormat="1" ht="43.5" customHeight="1" thickBot="1">
      <c r="A5" s="27" t="s">
        <v>0</v>
      </c>
      <c r="B5" s="28" t="s">
        <v>27</v>
      </c>
      <c r="C5" s="29" t="s">
        <v>79</v>
      </c>
    </row>
    <row r="6" spans="1:3" ht="28.5" customHeight="1">
      <c r="A6" s="31" t="s">
        <v>1</v>
      </c>
      <c r="B6" s="32" t="s">
        <v>683</v>
      </c>
      <c r="C6" s="33">
        <f>C7+C8</f>
        <v>0</v>
      </c>
    </row>
    <row r="7" spans="1:3" ht="18" customHeight="1">
      <c r="A7" s="34" t="s">
        <v>2</v>
      </c>
      <c r="B7" s="35" t="s">
        <v>57</v>
      </c>
      <c r="C7" s="36"/>
    </row>
    <row r="8" spans="1:3" ht="18" customHeight="1">
      <c r="A8" s="34" t="s">
        <v>3</v>
      </c>
      <c r="B8" s="35" t="s">
        <v>58</v>
      </c>
      <c r="C8" s="36"/>
    </row>
    <row r="9" spans="1:3" ht="18" customHeight="1">
      <c r="A9" s="34" t="s">
        <v>4</v>
      </c>
      <c r="B9" s="37" t="s">
        <v>59</v>
      </c>
      <c r="C9" s="36"/>
    </row>
    <row r="10" spans="1:3" ht="18" customHeight="1">
      <c r="A10" s="38" t="s">
        <v>5</v>
      </c>
      <c r="B10" s="39" t="s">
        <v>60</v>
      </c>
      <c r="C10" s="40"/>
    </row>
    <row r="11" spans="1:3" ht="18" customHeight="1" thickBot="1">
      <c r="A11" s="44" t="s">
        <v>6</v>
      </c>
      <c r="B11" s="51" t="s">
        <v>78</v>
      </c>
      <c r="C11" s="46"/>
    </row>
    <row r="12" spans="1:3" ht="25.5" customHeight="1">
      <c r="A12" s="41" t="s">
        <v>7</v>
      </c>
      <c r="B12" s="42" t="s">
        <v>684</v>
      </c>
      <c r="C12" s="43">
        <f>C6+C9-C10+C11</f>
        <v>0</v>
      </c>
    </row>
    <row r="13" spans="1:3" ht="18" customHeight="1">
      <c r="A13" s="34" t="s">
        <v>8</v>
      </c>
      <c r="B13" s="35" t="s">
        <v>57</v>
      </c>
      <c r="C13" s="36"/>
    </row>
    <row r="14" spans="1:3" ht="18" customHeight="1" thickBot="1">
      <c r="A14" s="44" t="s">
        <v>9</v>
      </c>
      <c r="B14" s="45" t="s">
        <v>58</v>
      </c>
      <c r="C14" s="46"/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Czaga Judit</cp:lastModifiedBy>
  <cp:lastPrinted>2024-04-16T09:34:08Z</cp:lastPrinted>
  <dcterms:created xsi:type="dcterms:W3CDTF">1999-10-30T10:30:45Z</dcterms:created>
  <dcterms:modified xsi:type="dcterms:W3CDTF">2024-04-16T09:36:58Z</dcterms:modified>
  <cp:category/>
  <cp:version/>
  <cp:contentType/>
  <cp:contentStatus/>
</cp:coreProperties>
</file>